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<sst xmlns="http://schemas.openxmlformats.org/spreadsheetml/2006/main" count="309" uniqueCount="140">
  <si>
    <t xml:space="preserve">KSP temperatureCurve Calculator</t>
  </si>
  <si>
    <t xml:space="preserve">Version 1.0.1</t>
  </si>
  <si>
    <t xml:space="preserve"> Robert A. Braeunig, ©2017</t>
  </si>
  <si>
    <t xml:space="preserve">Instructions and Help</t>
  </si>
  <si>
    <t xml:space="preserve">Star</t>
  </si>
  <si>
    <t xml:space="preserve">Gas Giant</t>
  </si>
  <si>
    <t xml:space="preserve">Earthlike</t>
  </si>
  <si>
    <t xml:space="preserve">Other</t>
  </si>
  <si>
    <t xml:space="preserve">Home world</t>
  </si>
  <si>
    <t xml:space="preserve">Solar constant</t>
  </si>
  <si>
    <t xml:space="preserve">W/m²</t>
  </si>
  <si>
    <t xml:space="preserve">Semimajor axis</t>
  </si>
  <si>
    <t xml:space="preserve">Mm</t>
  </si>
  <si>
    <t xml:space="preserve">AU</t>
  </si>
  <si>
    <t xml:space="preserve">Current body</t>
  </si>
  <si>
    <t xml:space="preserve">Mean radius</t>
  </si>
  <si>
    <t xml:space="preserve">km</t>
  </si>
  <si>
    <t xml:space="preserve">Scale factor</t>
  </si>
  <si>
    <t xml:space="preserve">Surface gravity</t>
  </si>
  <si>
    <t xml:space="preserve">g</t>
  </si>
  <si>
    <t xml:space="preserve">Luminosity</t>
  </si>
  <si>
    <t xml:space="preserve">W</t>
  </si>
  <si>
    <t xml:space="preserve">Surface temperature</t>
  </si>
  <si>
    <t xml:space="preserve">K</t>
  </si>
  <si>
    <t xml:space="preserve">Albedo</t>
  </si>
  <si>
    <t xml:space="preserve">Gas pressure, at datum</t>
  </si>
  <si>
    <t xml:space="preserve">kPa</t>
  </si>
  <si>
    <t xml:space="preserve">Solar flux</t>
  </si>
  <si>
    <t xml:space="preserve">Gas molecular weight</t>
  </si>
  <si>
    <t xml:space="preserve">g/mol</t>
  </si>
  <si>
    <t xml:space="preserve">Effective temperarture</t>
  </si>
  <si>
    <t xml:space="preserve">atm</t>
  </si>
  <si>
    <t xml:space="preserve">Suggested properties</t>
  </si>
  <si>
    <t xml:space="preserve">Diurnal range, at equator</t>
  </si>
  <si>
    <t xml:space="preserve">Greenhouse effect</t>
  </si>
  <si>
    <t xml:space="preserve">Diurnal range, at poles</t>
  </si>
  <si>
    <t xml:space="preserve">Spectral type</t>
  </si>
  <si>
    <t xml:space="preserve">Latitudinal range, night</t>
  </si>
  <si>
    <t xml:space="preserve">Mean surface elevation</t>
  </si>
  <si>
    <t xml:space="preserve">m</t>
  </si>
  <si>
    <t xml:space="preserve">Magnetosphere?</t>
  </si>
  <si>
    <t xml:space="preserve">N</t>
  </si>
  <si>
    <t xml:space="preserve">Surface gravity (rocky)</t>
  </si>
  <si>
    <t xml:space="preserve">Surface gravity (icy)</t>
  </si>
  <si>
    <t xml:space="preserve">Temperature profile (temperatureCurve)</t>
  </si>
  <si>
    <t xml:space="preserve">Altitude</t>
  </si>
  <si>
    <t xml:space="preserve">Temp.</t>
  </si>
  <si>
    <t xml:space="preserve">(m)</t>
  </si>
  <si>
    <t xml:space="preserve">(K)</t>
  </si>
  <si>
    <t xml:space="preserve">temperatureSunMultCurve</t>
  </si>
  <si>
    <t xml:space="preserve">Multiplier</t>
  </si>
  <si>
    <t xml:space="preserve">---</t>
  </si>
  <si>
    <t xml:space="preserve">  </t>
  </si>
  <si>
    <t xml:space="preserve">Type</t>
  </si>
  <si>
    <r>
      <rPr>
        <sz val="11"/>
        <color rgb="FF000000"/>
        <rFont val="Calibri"/>
        <family val="2"/>
        <charset val="1"/>
      </rPr>
      <t xml:space="preserve">M</t>
    </r>
    <r>
      <rPr>
        <vertAlign val="subscript"/>
        <sz val="11"/>
        <color rgb="FF000000"/>
        <rFont val="Calibri"/>
        <family val="2"/>
        <charset val="1"/>
      </rPr>
      <t xml:space="preserve">sun</t>
    </r>
  </si>
  <si>
    <t xml:space="preserve">log(L)</t>
  </si>
  <si>
    <t xml:space="preserve">log(T)</t>
  </si>
  <si>
    <t xml:space="preserve">log(P)</t>
  </si>
  <si>
    <t xml:space="preserve">P</t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</si>
  <si>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1"/>
      </rPr>
      <t xml:space="preserve">mean</t>
    </r>
  </si>
  <si>
    <t xml:space="preserve">H</t>
  </si>
  <si>
    <t xml:space="preserve">h</t>
  </si>
  <si>
    <t xml:space="preserve">z</t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</si>
  <si>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1"/>
      </rPr>
      <t xml:space="preserve">base</t>
    </r>
  </si>
  <si>
    <t xml:space="preserve">Mult</t>
  </si>
  <si>
    <t xml:space="preserve">T</t>
  </si>
  <si>
    <t xml:space="preserve">#</t>
  </si>
  <si>
    <t xml:space="preserve">O9V</t>
  </si>
  <si>
    <t xml:space="preserve">O9.5V</t>
  </si>
  <si>
    <t xml:space="preserve">B0V</t>
  </si>
  <si>
    <t xml:space="preserve">B0.5V</t>
  </si>
  <si>
    <t xml:space="preserve">B1V</t>
  </si>
  <si>
    <t xml:space="preserve">B1.5V</t>
  </si>
  <si>
    <t xml:space="preserve">B2V</t>
  </si>
  <si>
    <t xml:space="preserve">B2.5V</t>
  </si>
  <si>
    <t xml:space="preserve">B3V</t>
  </si>
  <si>
    <t xml:space="preserve">B4V</t>
  </si>
  <si>
    <t xml:space="preserve">B5V</t>
  </si>
  <si>
    <t xml:space="preserve">B6V</t>
  </si>
  <si>
    <t xml:space="preserve">B7V</t>
  </si>
  <si>
    <t xml:space="preserve">B8V</t>
  </si>
  <si>
    <t xml:space="preserve">B9V</t>
  </si>
  <si>
    <t xml:space="preserve">x</t>
  </si>
  <si>
    <t xml:space="preserve">B9.5V</t>
  </si>
  <si>
    <t xml:space="preserve">A0V</t>
  </si>
  <si>
    <t xml:space="preserve">A1V</t>
  </si>
  <si>
    <t xml:space="preserve">A2V</t>
  </si>
  <si>
    <t xml:space="preserve">A3V</t>
  </si>
  <si>
    <t xml:space="preserve">A4V</t>
  </si>
  <si>
    <t xml:space="preserve">A5V</t>
  </si>
  <si>
    <t xml:space="preserve">A6V</t>
  </si>
  <si>
    <t xml:space="preserve">A7V</t>
  </si>
  <si>
    <t xml:space="preserve">A8V</t>
  </si>
  <si>
    <t xml:space="preserve">A9V</t>
  </si>
  <si>
    <t xml:space="preserve">F0V</t>
  </si>
  <si>
    <t xml:space="preserve">F1V</t>
  </si>
  <si>
    <t xml:space="preserve">F2V</t>
  </si>
  <si>
    <t xml:space="preserve">F3V</t>
  </si>
  <si>
    <t xml:space="preserve">F4V</t>
  </si>
  <si>
    <t xml:space="preserve">F5V</t>
  </si>
  <si>
    <t xml:space="preserve">F6V</t>
  </si>
  <si>
    <t xml:space="preserve">F7V</t>
  </si>
  <si>
    <t xml:space="preserve">F8V</t>
  </si>
  <si>
    <t xml:space="preserve">F9V</t>
  </si>
  <si>
    <t xml:space="preserve">G0V</t>
  </si>
  <si>
    <t xml:space="preserve">G1V</t>
  </si>
  <si>
    <t xml:space="preserve">G2V</t>
  </si>
  <si>
    <t xml:space="preserve">G3V</t>
  </si>
  <si>
    <t xml:space="preserve">G4V</t>
  </si>
  <si>
    <t xml:space="preserve">G5V</t>
  </si>
  <si>
    <t xml:space="preserve">G6V</t>
  </si>
  <si>
    <t xml:space="preserve">G7V</t>
  </si>
  <si>
    <t xml:space="preserve">G8V</t>
  </si>
  <si>
    <t xml:space="preserve">G9V</t>
  </si>
  <si>
    <t xml:space="preserve">K0V</t>
  </si>
  <si>
    <t xml:space="preserve">K1V</t>
  </si>
  <si>
    <t xml:space="preserve">K2V</t>
  </si>
  <si>
    <t xml:space="preserve">K3V</t>
  </si>
  <si>
    <t xml:space="preserve">K4V</t>
  </si>
  <si>
    <t xml:space="preserve">K5V</t>
  </si>
  <si>
    <t xml:space="preserve">K6V</t>
  </si>
  <si>
    <t xml:space="preserve">K7V</t>
  </si>
  <si>
    <t xml:space="preserve">K8V</t>
  </si>
  <si>
    <t xml:space="preserve">K9V</t>
  </si>
  <si>
    <t xml:space="preserve">M0V</t>
  </si>
  <si>
    <t xml:space="preserve">M1V</t>
  </si>
  <si>
    <t xml:space="preserve">M1.5V</t>
  </si>
  <si>
    <t xml:space="preserve">M2V</t>
  </si>
  <si>
    <t xml:space="preserve">M2.5V</t>
  </si>
  <si>
    <t xml:space="preserve">M3V</t>
  </si>
  <si>
    <t xml:space="preserve">M4V</t>
  </si>
  <si>
    <t xml:space="preserve">M4.5V</t>
  </si>
  <si>
    <t xml:space="preserve">M5V</t>
  </si>
  <si>
    <t xml:space="preserve">M5.5V</t>
  </si>
  <si>
    <t xml:space="preserve">M6V</t>
  </si>
  <si>
    <t xml:space="preserve">M7V</t>
  </si>
  <si>
    <t xml:space="preserve">M7.5V</t>
  </si>
  <si>
    <t xml:space="preserve">M8V</t>
  </si>
  <si>
    <t xml:space="preserve">M9V</t>
  </si>
  <si>
    <t xml:space="preserve">0``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</si>
</sst>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E+00"/>
    <numFmt numFmtId="166" formatCode="0"/>
    <numFmt numFmtId="167" formatCode="0.00"/>
    <numFmt numFmtId="168" formatCode="General"/>
    <numFmt numFmtId="169" formatCode="0.0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Georgia"/>
      <family val="1"/>
      <charset val="1"/>
    </font>
    <font>
      <sz val="12"/>
      <color rgb="FF000000"/>
      <name val="Calibri"/>
      <family val="2"/>
      <charset val="1"/>
    </font>
    <font>
      <sz val="11"/>
      <color rgb="FF0563C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20"/>
      <color rgb="FF000000"/>
      <name val="Georgia"/>
      <family val="1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2F2F2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1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15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left" vertical="bottom" textRotation="0" wrapText="false" indent="15" shrinkToFit="false"/>
      <protection locked="true" hidden="false"/>
    </xf>
    <xf numFmtId="166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11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11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2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forum.kerbalspaceprogram.com/index.php?/topic/158163-make-your-own-atmospheres-for-ksp-automatically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61"/>
  <sheetViews>
    <sheetView showFormulas="false" showGridLines="true" showRowColHeaders="true" showZeros="true" rightToLeft="false" tabSelected="true" showOutlineSymbols="true" defaultGridColor="true" view="normal" topLeftCell="F28" colorId="64" zoomScale="100" zoomScaleNormal="100" zoomScalePageLayoutView="100" workbookViewId="0">
      <selection pane="topLeft" activeCell="S39" activeCellId="0" sqref="S39"/>
    </sheetView>
  </sheetViews>
  <sheetFormatPr defaultColWidth="9.13671875" defaultRowHeight="14.4" zeroHeight="false" outlineLevelRow="0" outlineLevelCol="0"/>
  <cols>
    <col collapsed="false" customWidth="true" hidden="false" outlineLevel="0" max="2" min="1" style="1" width="12.66"/>
    <col collapsed="false" customWidth="false" hidden="false" outlineLevel="0" max="3" min="3" style="1" width="9.13"/>
    <col collapsed="false" customWidth="true" hidden="false" outlineLevel="0" max="4" min="4" style="1" width="6.22"/>
    <col collapsed="false" customWidth="false" hidden="false" outlineLevel="0" max="5" min="5" style="1" width="9.13"/>
    <col collapsed="false" customWidth="true" hidden="false" outlineLevel="0" max="7" min="6" style="1" width="12.66"/>
    <col collapsed="false" customWidth="false" hidden="false" outlineLevel="0" max="8" min="8" style="1" width="9.13"/>
    <col collapsed="false" customWidth="true" hidden="false" outlineLevel="0" max="9" min="9" style="1" width="6.22"/>
    <col collapsed="false" customWidth="false" hidden="false" outlineLevel="0" max="10" min="10" style="1" width="9.13"/>
    <col collapsed="false" customWidth="true" hidden="false" outlineLevel="0" max="12" min="11" style="1" width="12.66"/>
    <col collapsed="false" customWidth="false" hidden="false" outlineLevel="0" max="13" min="13" style="1" width="9.13"/>
    <col collapsed="false" customWidth="true" hidden="false" outlineLevel="0" max="14" min="14" style="1" width="6.22"/>
    <col collapsed="false" customWidth="false" hidden="false" outlineLevel="0" max="15" min="15" style="1" width="9.13"/>
    <col collapsed="false" customWidth="true" hidden="false" outlineLevel="0" max="17" min="16" style="1" width="12.66"/>
    <col collapsed="false" customWidth="false" hidden="false" outlineLevel="0" max="18" min="18" style="1" width="9.13"/>
    <col collapsed="false" customWidth="true" hidden="false" outlineLevel="0" max="19" min="19" style="1" width="6.22"/>
    <col collapsed="false" customWidth="false" hidden="false" outlineLevel="0" max="1024" min="20" style="1" width="9.13"/>
  </cols>
  <sheetData>
    <row r="1" customFormat="false" ht="30" hidden="false" customHeight="false" outlineLevel="0" collapsed="false">
      <c r="A1" s="2" t="s">
        <v>0</v>
      </c>
      <c r="B1" s="3"/>
      <c r="C1" s="3"/>
      <c r="D1" s="3"/>
      <c r="E1" s="3"/>
      <c r="F1" s="3"/>
      <c r="G1" s="4"/>
      <c r="H1" s="4"/>
      <c r="I1" s="4"/>
      <c r="J1" s="3"/>
      <c r="K1" s="3"/>
      <c r="L1" s="3"/>
      <c r="M1" s="3"/>
      <c r="N1" s="4"/>
      <c r="O1" s="4"/>
      <c r="P1" s="3"/>
      <c r="Q1" s="3"/>
      <c r="R1" s="5" t="s">
        <v>1</v>
      </c>
      <c r="S1" s="6"/>
    </row>
    <row r="2" customFormat="false" ht="19.5" hidden="false" customHeight="true" outlineLevel="0" collapsed="false">
      <c r="A2" s="7" t="s">
        <v>2</v>
      </c>
      <c r="B2" s="7"/>
      <c r="C2" s="7"/>
      <c r="D2" s="7"/>
      <c r="E2" s="7"/>
      <c r="F2" s="7"/>
      <c r="G2" s="8"/>
      <c r="H2" s="8"/>
      <c r="I2" s="8"/>
      <c r="J2" s="7"/>
      <c r="K2" s="7"/>
      <c r="L2" s="7"/>
      <c r="M2" s="7"/>
      <c r="N2" s="8"/>
      <c r="O2" s="8"/>
      <c r="P2" s="9" t="s">
        <v>3</v>
      </c>
      <c r="Q2" s="9"/>
      <c r="R2" s="9"/>
      <c r="S2" s="8"/>
    </row>
    <row r="3" customFormat="false" ht="14.4" hidden="false" customHeight="false" outlineLevel="0" collapsed="false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customFormat="false" ht="24.6" hidden="false" customHeight="false" outlineLevel="0" collapsed="false">
      <c r="A4" s="11" t="s">
        <v>4</v>
      </c>
      <c r="B4" s="10"/>
      <c r="C4" s="10"/>
      <c r="D4" s="10"/>
      <c r="E4" s="10"/>
      <c r="F4" s="11" t="s">
        <v>5</v>
      </c>
      <c r="G4" s="10"/>
      <c r="H4" s="10"/>
      <c r="I4" s="10"/>
      <c r="J4" s="10"/>
      <c r="K4" s="11" t="s">
        <v>6</v>
      </c>
      <c r="L4" s="10"/>
      <c r="M4" s="10"/>
      <c r="N4" s="10"/>
      <c r="O4" s="10"/>
      <c r="P4" s="11" t="s">
        <v>7</v>
      </c>
      <c r="Q4" s="10"/>
      <c r="R4" s="10"/>
      <c r="S4" s="10"/>
    </row>
    <row r="5" customFormat="false" ht="14.4" hidden="false" customHeight="false" outlineLevel="0" collapsed="false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customFormat="false" ht="14.4" hidden="false" customHeight="false" outlineLevel="0" collapsed="false">
      <c r="A6" s="12" t="s">
        <v>8</v>
      </c>
      <c r="B6" s="12"/>
      <c r="C6" s="10"/>
      <c r="D6" s="10"/>
      <c r="E6" s="10"/>
      <c r="F6" s="12" t="s">
        <v>8</v>
      </c>
      <c r="G6" s="12"/>
      <c r="H6" s="10"/>
      <c r="I6" s="10"/>
      <c r="J6" s="10"/>
      <c r="K6" s="12" t="s">
        <v>8</v>
      </c>
      <c r="L6" s="12"/>
      <c r="M6" s="10"/>
      <c r="N6" s="10"/>
      <c r="O6" s="10"/>
      <c r="P6" s="12" t="s">
        <v>8</v>
      </c>
      <c r="Q6" s="12"/>
      <c r="R6" s="10"/>
      <c r="S6" s="10"/>
    </row>
    <row r="7" customFormat="false" ht="14.4" hidden="false" customHeight="false" outlineLevel="0" collapsed="false">
      <c r="A7" s="13" t="s">
        <v>9</v>
      </c>
      <c r="B7" s="13"/>
      <c r="C7" s="14" t="n">
        <v>1360</v>
      </c>
      <c r="D7" s="10" t="s">
        <v>10</v>
      </c>
      <c r="E7" s="10"/>
      <c r="F7" s="13" t="s">
        <v>9</v>
      </c>
      <c r="G7" s="13"/>
      <c r="H7" s="14" t="n">
        <v>1360</v>
      </c>
      <c r="I7" s="10" t="s">
        <v>10</v>
      </c>
      <c r="J7" s="10"/>
      <c r="K7" s="13" t="s">
        <v>9</v>
      </c>
      <c r="L7" s="13"/>
      <c r="M7" s="14" t="n">
        <v>1360</v>
      </c>
      <c r="N7" s="10" t="s">
        <v>10</v>
      </c>
      <c r="O7" s="10"/>
      <c r="P7" s="13" t="s">
        <v>9</v>
      </c>
      <c r="Q7" s="13"/>
      <c r="R7" s="14" t="n">
        <v>1360</v>
      </c>
      <c r="S7" s="10" t="s">
        <v>10</v>
      </c>
    </row>
    <row r="8" customFormat="false" ht="14.4" hidden="false" customHeight="false" outlineLevel="0" collapsed="false">
      <c r="A8" s="13" t="s">
        <v>11</v>
      </c>
      <c r="B8" s="13"/>
      <c r="C8" s="14" t="n">
        <v>15000</v>
      </c>
      <c r="D8" s="10" t="s">
        <v>12</v>
      </c>
      <c r="E8" s="10"/>
      <c r="F8" s="13" t="s">
        <v>11</v>
      </c>
      <c r="G8" s="13"/>
      <c r="H8" s="14" t="n">
        <v>0.099749822</v>
      </c>
      <c r="I8" s="10" t="s">
        <v>13</v>
      </c>
      <c r="J8" s="10"/>
      <c r="K8" s="13" t="s">
        <v>11</v>
      </c>
      <c r="L8" s="13"/>
      <c r="M8" s="14" t="n">
        <v>0.047</v>
      </c>
      <c r="N8" s="10" t="s">
        <v>13</v>
      </c>
      <c r="O8" s="10"/>
      <c r="P8" s="13" t="s">
        <v>11</v>
      </c>
      <c r="Q8" s="13"/>
      <c r="R8" s="14" t="n">
        <v>0.047</v>
      </c>
      <c r="S8" s="10" t="s">
        <v>13</v>
      </c>
    </row>
    <row r="9" customFormat="false" ht="14.4" hidden="false" customHeight="false" outlineLevel="0" collapsed="false">
      <c r="A9" s="12" t="s">
        <v>14</v>
      </c>
      <c r="B9" s="10"/>
      <c r="C9" s="10"/>
      <c r="D9" s="10"/>
      <c r="E9" s="10"/>
      <c r="F9" s="12" t="s">
        <v>14</v>
      </c>
      <c r="G9" s="12"/>
      <c r="H9" s="4"/>
      <c r="I9" s="10"/>
      <c r="J9" s="10"/>
      <c r="K9" s="12" t="s">
        <v>14</v>
      </c>
      <c r="L9" s="12"/>
      <c r="M9" s="4"/>
      <c r="N9" s="10"/>
      <c r="O9" s="10"/>
      <c r="P9" s="12" t="s">
        <v>14</v>
      </c>
      <c r="Q9" s="12"/>
      <c r="R9" s="4"/>
      <c r="S9" s="10"/>
    </row>
    <row r="10" customFormat="false" ht="14.4" hidden="false" customHeight="false" outlineLevel="0" collapsed="false">
      <c r="A10" s="13" t="s">
        <v>15</v>
      </c>
      <c r="B10" s="13"/>
      <c r="C10" s="14" t="n">
        <v>70270</v>
      </c>
      <c r="D10" s="10" t="s">
        <v>16</v>
      </c>
      <c r="E10" s="10"/>
      <c r="F10" s="13" t="s">
        <v>15</v>
      </c>
      <c r="G10" s="13"/>
      <c r="H10" s="14" t="n">
        <v>5925.03</v>
      </c>
      <c r="I10" s="10" t="s">
        <v>16</v>
      </c>
      <c r="J10" s="10"/>
      <c r="K10" s="13" t="s">
        <v>15</v>
      </c>
      <c r="L10" s="13"/>
      <c r="M10" s="14" t="n">
        <v>634</v>
      </c>
      <c r="N10" s="10" t="s">
        <v>16</v>
      </c>
      <c r="O10" s="10"/>
      <c r="P10" s="13" t="s">
        <v>15</v>
      </c>
      <c r="Q10" s="13"/>
      <c r="R10" s="14" t="n">
        <v>686</v>
      </c>
      <c r="S10" s="10" t="s">
        <v>16</v>
      </c>
    </row>
    <row r="11" customFormat="false" ht="14.4" hidden="false" customHeight="false" outlineLevel="0" collapsed="false">
      <c r="A11" s="13" t="s">
        <v>17</v>
      </c>
      <c r="B11" s="13"/>
      <c r="C11" s="14" t="n">
        <v>1</v>
      </c>
      <c r="D11" s="10"/>
      <c r="E11" s="10"/>
      <c r="F11" s="13" t="s">
        <v>17</v>
      </c>
      <c r="G11" s="13"/>
      <c r="H11" s="14" t="n">
        <v>1</v>
      </c>
      <c r="I11" s="10"/>
      <c r="J11" s="10"/>
      <c r="K11" s="13" t="s">
        <v>17</v>
      </c>
      <c r="L11" s="13"/>
      <c r="M11" s="14" t="n">
        <v>1</v>
      </c>
      <c r="N11" s="10"/>
      <c r="O11" s="10"/>
      <c r="P11" s="13" t="s">
        <v>17</v>
      </c>
      <c r="Q11" s="13"/>
      <c r="R11" s="14" t="n">
        <v>1</v>
      </c>
      <c r="S11" s="10"/>
    </row>
    <row r="12" customFormat="false" ht="14.4" hidden="false" customHeight="false" outlineLevel="0" collapsed="false">
      <c r="A12" s="13" t="s">
        <v>18</v>
      </c>
      <c r="B12" s="13"/>
      <c r="C12" s="14" t="n">
        <v>27.74</v>
      </c>
      <c r="D12" s="10" t="s">
        <v>19</v>
      </c>
      <c r="E12" s="10"/>
      <c r="F12" s="13" t="s">
        <v>18</v>
      </c>
      <c r="G12" s="13"/>
      <c r="H12" s="14" t="n">
        <v>1.53661</v>
      </c>
      <c r="I12" s="10" t="s">
        <v>19</v>
      </c>
      <c r="J12" s="10"/>
      <c r="K12" s="13" t="s">
        <v>18</v>
      </c>
      <c r="L12" s="13"/>
      <c r="M12" s="14" t="n">
        <v>1.022</v>
      </c>
      <c r="N12" s="10" t="s">
        <v>19</v>
      </c>
      <c r="O12" s="10"/>
      <c r="P12" s="13" t="s">
        <v>18</v>
      </c>
      <c r="Q12" s="13"/>
      <c r="R12" s="14" t="n">
        <v>1.089</v>
      </c>
      <c r="S12" s="10" t="s">
        <v>19</v>
      </c>
    </row>
    <row r="13" customFormat="false" ht="14.4" hidden="false" customHeight="false" outlineLevel="0" collapsed="false">
      <c r="A13" s="13" t="s">
        <v>20</v>
      </c>
      <c r="B13" s="10"/>
      <c r="C13" s="15" t="n">
        <f aca="false">C7*4*PI()*(C8*1000000)^2</f>
        <v>3.84530940799391E+024</v>
      </c>
      <c r="D13" s="10" t="s">
        <v>21</v>
      </c>
      <c r="E13" s="10"/>
      <c r="F13" s="13" t="s">
        <v>11</v>
      </c>
      <c r="G13" s="13"/>
      <c r="H13" s="14" t="n">
        <v>0.339030621</v>
      </c>
      <c r="I13" s="10" t="s">
        <v>13</v>
      </c>
      <c r="J13" s="10"/>
      <c r="K13" s="13" t="s">
        <v>11</v>
      </c>
      <c r="L13" s="13"/>
      <c r="M13" s="14" t="n">
        <v>0.045236441</v>
      </c>
      <c r="N13" s="10" t="s">
        <v>13</v>
      </c>
      <c r="O13" s="10"/>
      <c r="P13" s="13" t="s">
        <v>11</v>
      </c>
      <c r="Q13" s="13"/>
      <c r="R13" s="14" t="n">
        <v>0.031</v>
      </c>
      <c r="S13" s="10" t="s">
        <v>13</v>
      </c>
    </row>
    <row r="14" customFormat="false" ht="14.4" hidden="false" customHeight="false" outlineLevel="0" collapsed="false">
      <c r="A14" s="13" t="s">
        <v>22</v>
      </c>
      <c r="B14" s="10"/>
      <c r="C14" s="16" t="n">
        <f aca="false">(C13/(4*PI()*(C10*1000)^2)/0.00000005670367)^0.25</f>
        <v>5749.66561128741</v>
      </c>
      <c r="D14" s="10" t="s">
        <v>23</v>
      </c>
      <c r="E14" s="10"/>
      <c r="F14" s="13" t="s">
        <v>24</v>
      </c>
      <c r="G14" s="13"/>
      <c r="H14" s="14" t="n">
        <v>0.32</v>
      </c>
      <c r="I14" s="4"/>
      <c r="J14" s="10"/>
      <c r="K14" s="13" t="s">
        <v>24</v>
      </c>
      <c r="L14" s="13"/>
      <c r="M14" s="14" t="n">
        <v>0.7</v>
      </c>
      <c r="N14" s="4"/>
      <c r="O14" s="10"/>
      <c r="P14" s="13" t="s">
        <v>24</v>
      </c>
      <c r="Q14" s="13"/>
      <c r="R14" s="14" t="n">
        <v>0.2</v>
      </c>
      <c r="S14" s="4"/>
    </row>
    <row r="15" customFormat="false" ht="14.4" hidden="false" customHeight="false" outlineLevel="0" collapsed="false">
      <c r="A15" s="13" t="s">
        <v>25</v>
      </c>
      <c r="B15" s="10"/>
      <c r="C15" s="15" t="n">
        <f aca="false">32.4*C12*9.80665/1000</f>
        <v>8.8139816604</v>
      </c>
      <c r="D15" s="10" t="s">
        <v>26</v>
      </c>
      <c r="E15" s="10"/>
      <c r="F15" s="13" t="s">
        <v>27</v>
      </c>
      <c r="G15" s="13"/>
      <c r="H15" s="17" t="n">
        <f aca="false">H7/(H13/H8)^2</f>
        <v>117.729504685602</v>
      </c>
      <c r="I15" s="4" t="s">
        <v>10</v>
      </c>
      <c r="J15" s="10"/>
      <c r="K15" s="13" t="s">
        <v>27</v>
      </c>
      <c r="L15" s="13"/>
      <c r="M15" s="17" t="n">
        <f aca="false">M7/(M13/M8)^2</f>
        <v>1468.10719038459</v>
      </c>
      <c r="N15" s="4" t="s">
        <v>10</v>
      </c>
      <c r="O15" s="10"/>
      <c r="P15" s="13" t="s">
        <v>27</v>
      </c>
      <c r="Q15" s="13"/>
      <c r="R15" s="17" t="n">
        <f aca="false">R7/(R13/R8)^2</f>
        <v>3126.16024973985</v>
      </c>
      <c r="S15" s="4" t="s">
        <v>10</v>
      </c>
    </row>
    <row r="16" customFormat="false" ht="14.4" hidden="false" customHeight="false" outlineLevel="0" collapsed="false">
      <c r="A16" s="13" t="s">
        <v>28</v>
      </c>
      <c r="B16" s="12"/>
      <c r="C16" s="14" t="n">
        <v>1.3</v>
      </c>
      <c r="D16" s="4" t="s">
        <v>29</v>
      </c>
      <c r="E16" s="10"/>
      <c r="F16" s="13" t="s">
        <v>30</v>
      </c>
      <c r="G16" s="13"/>
      <c r="H16" s="17" t="n">
        <f aca="false">(H15*(1-H14)/(4*0.000000056704))^0.25</f>
        <v>137.0661251864</v>
      </c>
      <c r="I16" s="4" t="s">
        <v>23</v>
      </c>
      <c r="J16" s="10"/>
      <c r="K16" s="13" t="s">
        <v>30</v>
      </c>
      <c r="L16" s="13"/>
      <c r="M16" s="17" t="n">
        <f aca="false">(M15*(1-M14)/(4*0.000000056704))^0.25</f>
        <v>209.918799154868</v>
      </c>
      <c r="N16" s="4" t="s">
        <v>23</v>
      </c>
      <c r="O16" s="10"/>
      <c r="P16" s="13" t="s">
        <v>30</v>
      </c>
      <c r="Q16" s="13"/>
      <c r="R16" s="17" t="n">
        <f aca="false">(R15*(1-R14)/(4*0.000000056704))^0.25</f>
        <v>324.046163531143</v>
      </c>
      <c r="S16" s="4" t="s">
        <v>23</v>
      </c>
    </row>
    <row r="17" customFormat="false" ht="14.4" hidden="false" customHeight="false" outlineLevel="0" collapsed="false">
      <c r="E17" s="10"/>
      <c r="F17" s="13" t="s">
        <v>25</v>
      </c>
      <c r="G17" s="12"/>
      <c r="H17" s="14" t="n">
        <v>50</v>
      </c>
      <c r="I17" s="4" t="s">
        <v>31</v>
      </c>
      <c r="J17" s="10"/>
      <c r="K17" s="13" t="s">
        <v>25</v>
      </c>
      <c r="L17" s="12"/>
      <c r="M17" s="14" t="n">
        <v>0.7</v>
      </c>
      <c r="N17" s="4" t="s">
        <v>31</v>
      </c>
      <c r="O17" s="10"/>
      <c r="P17" s="13" t="s">
        <v>25</v>
      </c>
      <c r="Q17" s="12"/>
      <c r="R17" s="14" t="n">
        <v>0.07</v>
      </c>
      <c r="S17" s="4" t="s">
        <v>31</v>
      </c>
    </row>
    <row r="18" customFormat="false" ht="14.4" hidden="false" customHeight="false" outlineLevel="0" collapsed="false">
      <c r="A18" s="18" t="s">
        <v>32</v>
      </c>
      <c r="B18" s="19"/>
      <c r="C18" s="19"/>
      <c r="D18" s="19"/>
      <c r="E18" s="10"/>
      <c r="F18" s="13" t="s">
        <v>33</v>
      </c>
      <c r="G18" s="12"/>
      <c r="H18" s="14" t="n">
        <v>6</v>
      </c>
      <c r="I18" s="4" t="s">
        <v>23</v>
      </c>
      <c r="J18" s="10"/>
      <c r="K18" s="13" t="s">
        <v>34</v>
      </c>
      <c r="L18" s="12"/>
      <c r="M18" s="14" t="n">
        <v>46</v>
      </c>
      <c r="N18" s="4" t="s">
        <v>23</v>
      </c>
      <c r="O18" s="10"/>
      <c r="P18" s="13" t="s">
        <v>34</v>
      </c>
      <c r="Q18" s="12"/>
      <c r="R18" s="14" t="n">
        <v>27</v>
      </c>
      <c r="S18" s="4" t="s">
        <v>23</v>
      </c>
    </row>
    <row r="19" customFormat="false" ht="14.4" hidden="false" customHeight="false" outlineLevel="0" collapsed="false">
      <c r="A19" s="20" t="s">
        <v>15</v>
      </c>
      <c r="B19" s="19"/>
      <c r="C19" s="21" t="n">
        <f aca="false">ROUND(SQRT((C13/(0.00000005670367*(10^Sheet2!F3)^4))/(4*PI()))/1000,IF(SQRT((C13/(0.00000005670367*(10^Sheet2!F3)^4))/(4*PI()))&lt;100000000,-1,-2))</f>
        <v>70270</v>
      </c>
      <c r="D19" s="19" t="s">
        <v>16</v>
      </c>
      <c r="E19" s="10"/>
      <c r="F19" s="13" t="s">
        <v>35</v>
      </c>
      <c r="G19" s="12"/>
      <c r="H19" s="14" t="n">
        <v>2</v>
      </c>
      <c r="I19" s="4" t="s">
        <v>23</v>
      </c>
      <c r="J19" s="10"/>
      <c r="K19" s="13" t="s">
        <v>33</v>
      </c>
      <c r="L19" s="12"/>
      <c r="M19" s="14" t="n">
        <v>15</v>
      </c>
      <c r="N19" s="4" t="s">
        <v>23</v>
      </c>
      <c r="O19" s="10"/>
      <c r="P19" s="13" t="s">
        <v>33</v>
      </c>
      <c r="Q19" s="12"/>
      <c r="R19" s="14" t="n">
        <v>92</v>
      </c>
      <c r="S19" s="4" t="s">
        <v>23</v>
      </c>
    </row>
    <row r="20" customFormat="false" ht="14.4" hidden="false" customHeight="false" outlineLevel="0" collapsed="false">
      <c r="A20" s="20" t="s">
        <v>18</v>
      </c>
      <c r="B20" s="19"/>
      <c r="C20" s="22" t="n">
        <f aca="false">Sheet2!E3*1.98855E+030*0.0000000000667408/(C19*(-C11+11)*1000)^2/9.80665</f>
        <v>27.7351432354581</v>
      </c>
      <c r="D20" s="19" t="s">
        <v>19</v>
      </c>
      <c r="E20" s="10"/>
      <c r="F20" s="13" t="s">
        <v>28</v>
      </c>
      <c r="G20" s="12"/>
      <c r="H20" s="14" t="n">
        <v>2.78</v>
      </c>
      <c r="I20" s="4" t="s">
        <v>29</v>
      </c>
      <c r="J20" s="10"/>
      <c r="K20" s="13" t="s">
        <v>35</v>
      </c>
      <c r="L20" s="12"/>
      <c r="M20" s="14" t="n">
        <v>4</v>
      </c>
      <c r="N20" s="4" t="s">
        <v>23</v>
      </c>
      <c r="O20" s="10"/>
      <c r="P20" s="13" t="s">
        <v>35</v>
      </c>
      <c r="Q20" s="12"/>
      <c r="R20" s="14" t="n">
        <v>27</v>
      </c>
      <c r="S20" s="4" t="s">
        <v>23</v>
      </c>
    </row>
    <row r="21" customFormat="false" ht="14.4" hidden="false" customHeight="false" outlineLevel="0" collapsed="false">
      <c r="A21" s="20" t="s">
        <v>36</v>
      </c>
      <c r="B21" s="19"/>
      <c r="C21" s="23" t="str">
        <f aca="false">Sheet2!G3</f>
        <v>G2V</v>
      </c>
      <c r="D21" s="19"/>
      <c r="E21" s="10"/>
      <c r="F21" s="10"/>
      <c r="G21" s="10"/>
      <c r="H21" s="10"/>
      <c r="I21" s="10"/>
      <c r="J21" s="10"/>
      <c r="K21" s="13" t="s">
        <v>28</v>
      </c>
      <c r="L21" s="12"/>
      <c r="M21" s="14" t="n">
        <v>28.21</v>
      </c>
      <c r="N21" s="4" t="s">
        <v>29</v>
      </c>
      <c r="O21" s="10"/>
      <c r="P21" s="13" t="s">
        <v>37</v>
      </c>
      <c r="Q21" s="10"/>
      <c r="R21" s="14" t="n">
        <v>83</v>
      </c>
      <c r="S21" s="4" t="s">
        <v>23</v>
      </c>
    </row>
    <row r="22" customFormat="false" ht="14.4" hidden="false" customHeight="false" outlineLevel="0" collapsed="false">
      <c r="A22" s="10"/>
      <c r="B22" s="10"/>
      <c r="C22" s="10"/>
      <c r="D22" s="10"/>
      <c r="E22" s="10"/>
      <c r="J22" s="10"/>
      <c r="O22" s="10"/>
      <c r="P22" s="13" t="s">
        <v>28</v>
      </c>
      <c r="Q22" s="12"/>
      <c r="R22" s="14" t="n">
        <v>44.01</v>
      </c>
      <c r="S22" s="4" t="s">
        <v>29</v>
      </c>
    </row>
    <row r="23" customFormat="false" ht="14.4" hidden="false" customHeight="false" outlineLevel="0" collapsed="false">
      <c r="E23" s="10"/>
      <c r="F23" s="18" t="s">
        <v>32</v>
      </c>
      <c r="G23" s="19"/>
      <c r="H23" s="19"/>
      <c r="I23" s="19"/>
      <c r="J23" s="10"/>
      <c r="K23" s="18" t="s">
        <v>32</v>
      </c>
      <c r="L23" s="19"/>
      <c r="M23" s="19"/>
      <c r="N23" s="19"/>
      <c r="O23" s="10"/>
      <c r="P23" s="13" t="s">
        <v>38</v>
      </c>
      <c r="Q23" s="12"/>
      <c r="R23" s="14" t="n">
        <v>2000</v>
      </c>
      <c r="S23" s="4" t="s">
        <v>39</v>
      </c>
    </row>
    <row r="24" customFormat="false" ht="14.4" hidden="false" customHeight="false" outlineLevel="0" collapsed="false">
      <c r="A24" s="10"/>
      <c r="B24" s="10"/>
      <c r="C24" s="10"/>
      <c r="D24" s="10"/>
      <c r="E24" s="10"/>
      <c r="F24" s="20" t="s">
        <v>18</v>
      </c>
      <c r="G24" s="19"/>
      <c r="H24" s="24" t="n">
        <f aca="false">IF(H10*(11-H11)&gt;69996,"n/a",10^((-0.02280546144+SQRT(0.02280546144^2-4*-0.2458665261*-LOG(H10*(11-H11)/69911)))/(2*-0.2458665261))*1.89819E+027*0.0000000000667408/(H10*(11-H11)*1000)^2/9.80665)</f>
        <v>1.17386473577061</v>
      </c>
      <c r="I24" s="19" t="s">
        <v>19</v>
      </c>
      <c r="J24" s="10"/>
      <c r="K24" s="20" t="s">
        <v>18</v>
      </c>
      <c r="L24" s="19"/>
      <c r="M24" s="24" t="n">
        <f aca="false">10^((LOG(M10*10/M11)+3.52219761)/0.2958543654)*0.0000000000667408/(M10*(11-M11)*1000)^2/9.80665</f>
        <v>0.966239908051842</v>
      </c>
      <c r="N24" s="19" t="s">
        <v>19</v>
      </c>
      <c r="O24" s="10"/>
      <c r="P24" s="13" t="s">
        <v>40</v>
      </c>
      <c r="Q24" s="10"/>
      <c r="R24" s="25" t="s">
        <v>41</v>
      </c>
      <c r="S24" s="10"/>
    </row>
    <row r="25" customFormat="false" ht="14.4" hidden="false" customHeight="false" outlineLevel="0" collapsed="false">
      <c r="A25" s="10"/>
      <c r="B25" s="10"/>
      <c r="C25" s="10"/>
      <c r="D25" s="10"/>
      <c r="E25" s="10"/>
      <c r="F25" s="20" t="s">
        <v>33</v>
      </c>
      <c r="G25" s="10"/>
      <c r="H25" s="21" t="n">
        <f aca="false">H16*0.04405</f>
        <v>6.03776281446093</v>
      </c>
      <c r="I25" s="19" t="s">
        <v>23</v>
      </c>
      <c r="J25" s="10"/>
      <c r="K25" s="20" t="s">
        <v>34</v>
      </c>
      <c r="L25" s="19"/>
      <c r="M25" s="21" t="n">
        <f aca="false">1.1*2^LOG(M17/M12)*3^LOG(M15)</f>
        <v>31.8306116692116</v>
      </c>
      <c r="N25" s="19" t="s">
        <v>23</v>
      </c>
      <c r="O25" s="10"/>
      <c r="P25" s="10"/>
      <c r="Q25" s="10"/>
      <c r="R25" s="10"/>
      <c r="S25" s="10"/>
    </row>
    <row r="26" customFormat="false" ht="14.4" hidden="false" customHeight="false" outlineLevel="0" collapsed="false">
      <c r="A26" s="10"/>
      <c r="B26" s="10"/>
      <c r="C26" s="10"/>
      <c r="D26" s="10"/>
      <c r="E26" s="10"/>
      <c r="F26" s="20" t="s">
        <v>35</v>
      </c>
      <c r="G26" s="10"/>
      <c r="H26" s="21" t="n">
        <f aca="false">H16*0.01269</f>
        <v>1.73936912861542</v>
      </c>
      <c r="I26" s="19" t="s">
        <v>23</v>
      </c>
      <c r="J26" s="10"/>
      <c r="K26" s="20" t="s">
        <v>33</v>
      </c>
      <c r="L26" s="10"/>
      <c r="M26" s="21" t="n">
        <f aca="false">M16*(-0.035*LOG(M17*101325*M21/(8314.46*(M16+M18)))+0.07)</f>
        <v>14.8906209735035</v>
      </c>
      <c r="N26" s="19" t="s">
        <v>23</v>
      </c>
      <c r="O26" s="10"/>
      <c r="P26" s="18" t="s">
        <v>32</v>
      </c>
      <c r="Q26" s="19"/>
      <c r="R26" s="19"/>
      <c r="S26" s="19"/>
    </row>
    <row r="27" customFormat="false" ht="14.4" hidden="false" customHeight="false" outlineLevel="0" collapsed="false">
      <c r="A27" s="10"/>
      <c r="B27" s="10"/>
      <c r="C27" s="10"/>
      <c r="D27" s="10"/>
      <c r="E27" s="10"/>
      <c r="F27" s="20" t="s">
        <v>37</v>
      </c>
      <c r="G27" s="10"/>
      <c r="H27" s="21" t="n">
        <f aca="false">H16*0.03928</f>
        <v>5.3839573973218</v>
      </c>
      <c r="I27" s="19" t="s">
        <v>23</v>
      </c>
      <c r="J27" s="10"/>
      <c r="K27" s="20" t="s">
        <v>35</v>
      </c>
      <c r="L27" s="10"/>
      <c r="M27" s="21" t="n">
        <f aca="false">M16*(-0.01*LOG(M17*101325*M21/(8314.46*(M16+M18)))+0.02)</f>
        <v>4.25446313528672</v>
      </c>
      <c r="N27" s="19" t="s">
        <v>23</v>
      </c>
      <c r="O27" s="10"/>
      <c r="P27" s="20" t="s">
        <v>42</v>
      </c>
      <c r="Q27" s="19"/>
      <c r="R27" s="24" t="n">
        <f aca="false">10^((LOG(R10*10/R11)+3.52219761)/0.2958543654)*0.0000000000667408/(R10*(11-R11)*1000)^2/9.80665</f>
        <v>1.0772846994668</v>
      </c>
      <c r="S27" s="19" t="s">
        <v>19</v>
      </c>
    </row>
    <row r="28" customFormat="false" ht="14.4" hidden="false" customHeight="false" outlineLevel="0" collapsed="false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20" t="s">
        <v>37</v>
      </c>
      <c r="L28" s="10"/>
      <c r="M28" s="21" t="n">
        <f aca="false">M16*(-0.084*LOG(M17*101325*M21/(8314.46*(M16+M18)))+0.168)</f>
        <v>35.7374903364085</v>
      </c>
      <c r="N28" s="19" t="s">
        <v>23</v>
      </c>
      <c r="O28" s="10"/>
      <c r="P28" s="20" t="s">
        <v>43</v>
      </c>
      <c r="Q28" s="19"/>
      <c r="R28" s="24" t="n">
        <f aca="false">10^((LOG(R10*10/R11)+3.999631131)/0.320354443)*0.0000000000667408/(R10*(11-R11)*1000)^2/9.80665</f>
        <v>0.417339618186951</v>
      </c>
      <c r="S28" s="19" t="s">
        <v>19</v>
      </c>
    </row>
    <row r="29" customFormat="false" ht="14.4" hidden="false" customHeight="false" outlineLevel="0" collapsed="false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20" t="s">
        <v>34</v>
      </c>
      <c r="Q29" s="19"/>
      <c r="R29" s="21" t="n">
        <f aca="false">1.344*2^LOG(R17/R12)*3^LOG(R15)</f>
        <v>27.3613033256499</v>
      </c>
      <c r="S29" s="19" t="s">
        <v>23</v>
      </c>
    </row>
    <row r="30" customFormat="false" ht="14.4" hidden="false" customHeight="false" outlineLevel="0" collapsed="false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20" t="s">
        <v>33</v>
      </c>
      <c r="Q30" s="10"/>
      <c r="R30" s="21" t="n">
        <f aca="false">R16*(-0.096*LOG(R17*101325*R22/(8314.46*(R16+R18)))+0.192)</f>
        <v>92.417932401174</v>
      </c>
      <c r="S30" s="19" t="s">
        <v>23</v>
      </c>
    </row>
    <row r="31" customFormat="false" ht="14.4" hidden="false" customHeight="false" outlineLevel="0" collapsed="false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20" t="s">
        <v>35</v>
      </c>
      <c r="Q31" s="10"/>
      <c r="R31" s="21" t="n">
        <f aca="false">R16*(-0.028*LOG(R17*101325*R22/(8314.46*(R16+R18)))+0.056)</f>
        <v>26.9552302836758</v>
      </c>
      <c r="S31" s="19" t="s">
        <v>23</v>
      </c>
    </row>
    <row r="32" customFormat="false" ht="14.4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20" t="s">
        <v>37</v>
      </c>
      <c r="Q32" s="10"/>
      <c r="R32" s="21" t="n">
        <f aca="false">R16*(-0.086*LOG(R17*101325*R22/(8314.46*(R16+R18)))+0.172)</f>
        <v>82.7910644427184</v>
      </c>
      <c r="S32" s="19" t="s">
        <v>23</v>
      </c>
    </row>
    <row r="33" customFormat="false" ht="14.4" hidden="false" customHeight="false" outlineLevel="0" collapsed="false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</row>
    <row r="34" customFormat="false" ht="14.4" hidden="false" customHeight="false" outlineLevel="0" collapsed="false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customFormat="false" ht="14.4" hidden="false" customHeight="false" outlineLevel="0" collapsed="false">
      <c r="A35" s="12" t="s">
        <v>44</v>
      </c>
      <c r="B35" s="12"/>
      <c r="C35" s="10"/>
      <c r="D35" s="10"/>
      <c r="E35" s="10"/>
      <c r="F35" s="12" t="s">
        <v>44</v>
      </c>
      <c r="G35" s="12"/>
      <c r="H35" s="4"/>
      <c r="I35" s="4"/>
      <c r="J35" s="10"/>
      <c r="K35" s="12" t="s">
        <v>44</v>
      </c>
      <c r="L35" s="12"/>
      <c r="M35" s="4"/>
      <c r="N35" s="4"/>
      <c r="O35" s="10"/>
      <c r="P35" s="12" t="s">
        <v>44</v>
      </c>
      <c r="Q35" s="12"/>
      <c r="R35" s="4"/>
      <c r="S35" s="4"/>
    </row>
    <row r="36" customFormat="false" ht="14.4" hidden="false" customHeight="false" outlineLevel="0" collapsed="false">
      <c r="A36" s="27" t="s">
        <v>45</v>
      </c>
      <c r="B36" s="27" t="s">
        <v>46</v>
      </c>
      <c r="C36" s="10"/>
      <c r="D36" s="10"/>
      <c r="E36" s="10"/>
      <c r="F36" s="27" t="s">
        <v>45</v>
      </c>
      <c r="G36" s="27" t="s">
        <v>46</v>
      </c>
      <c r="H36" s="4"/>
      <c r="I36" s="10"/>
      <c r="J36" s="10"/>
      <c r="K36" s="27" t="s">
        <v>45</v>
      </c>
      <c r="L36" s="27" t="s">
        <v>46</v>
      </c>
      <c r="M36" s="4"/>
      <c r="N36" s="10"/>
      <c r="O36" s="10"/>
      <c r="P36" s="27" t="s">
        <v>45</v>
      </c>
      <c r="Q36" s="27" t="s">
        <v>46</v>
      </c>
      <c r="R36" s="4"/>
      <c r="S36" s="10"/>
    </row>
    <row r="37" customFormat="false" ht="14.4" hidden="false" customHeight="false" outlineLevel="0" collapsed="false">
      <c r="A37" s="27" t="s">
        <v>47</v>
      </c>
      <c r="B37" s="27" t="s">
        <v>48</v>
      </c>
      <c r="C37" s="10"/>
      <c r="D37" s="10"/>
      <c r="E37" s="10"/>
      <c r="F37" s="27" t="s">
        <v>47</v>
      </c>
      <c r="G37" s="27" t="s">
        <v>48</v>
      </c>
      <c r="H37" s="4"/>
      <c r="I37" s="10"/>
      <c r="J37" s="10"/>
      <c r="K37" s="27" t="s">
        <v>47</v>
      </c>
      <c r="L37" s="27" t="s">
        <v>48</v>
      </c>
      <c r="M37" s="4"/>
      <c r="N37" s="10"/>
      <c r="O37" s="10"/>
      <c r="P37" s="27" t="s">
        <v>47</v>
      </c>
      <c r="Q37" s="27" t="s">
        <v>48</v>
      </c>
      <c r="R37" s="4"/>
      <c r="S37" s="10"/>
    </row>
    <row r="38" customFormat="false" ht="14.4" hidden="false" customHeight="false" outlineLevel="0" collapsed="false">
      <c r="A38" s="28" t="n">
        <f aca="false">Sheet2!O4</f>
        <v>0</v>
      </c>
      <c r="B38" s="28" t="n">
        <f aca="false">Sheet2!L4</f>
        <v>5749.66561128741</v>
      </c>
      <c r="C38" s="10"/>
      <c r="D38" s="10"/>
      <c r="E38" s="10"/>
      <c r="F38" s="28" t="n">
        <f aca="false">ROUND(IF(Sheet2!AC4&gt;0,Sheet2!AC4-Sheet2!AC$4,0)*H$11^LOG(1.25)/1.25,IF((Sheet2!AC4-Sheet2!AC$4)*H$11^LOG(1.25)/1.25&lt;1000000,-3,-4))</f>
        <v>0</v>
      </c>
      <c r="G38" s="28" t="n">
        <f aca="false">ROUND(Sheet2!AD4,0)</f>
        <v>472</v>
      </c>
      <c r="H38" s="4"/>
      <c r="I38" s="10"/>
      <c r="J38" s="10"/>
      <c r="K38" s="28" t="n">
        <f aca="false">Sheet2!AM4</f>
        <v>0</v>
      </c>
      <c r="L38" s="28" t="n">
        <f aca="false">ROUND(Sheet2!AH4,0)</f>
        <v>250</v>
      </c>
      <c r="M38" s="4"/>
      <c r="N38" s="10"/>
      <c r="O38" s="10"/>
      <c r="P38" s="28" t="n">
        <f aca="false">Sheet2!AV4</f>
        <v>0</v>
      </c>
      <c r="Q38" s="28" t="n">
        <f aca="false">ROUND(Sheet2!AQ4,0)</f>
        <v>329</v>
      </c>
      <c r="R38" s="4"/>
      <c r="S38" s="10"/>
    </row>
    <row r="39" customFormat="false" ht="14.4" hidden="false" customHeight="false" outlineLevel="0" collapsed="false">
      <c r="A39" s="28" t="n">
        <f aca="false">ROUND(Sheet2!O10*C$11^LOG(1.25)/1.25,IF(Sheet2!O10*C$11^LOG(1.25)/1.25&lt;1000000,-3,-4))</f>
        <v>113000</v>
      </c>
      <c r="B39" s="28" t="n">
        <f aca="false">ROUND(Sheet2!L10,IF(Sheet2!L10&lt;10000,-1,-2))</f>
        <v>5000</v>
      </c>
      <c r="C39" s="10"/>
      <c r="D39" s="10"/>
      <c r="E39" s="10"/>
      <c r="F39" s="28" t="n">
        <f aca="false">ROUND(IF(Sheet2!AC5&gt;0,Sheet2!AC5-Sheet2!AC$4,0)*H$11^LOG(1.25)/1.25,IF((Sheet2!AC5-Sheet2!AC$4)*H$11^LOG(1.25)/1.25&lt;1000000,-3,-4))</f>
        <v>42000</v>
      </c>
      <c r="G39" s="28" t="n">
        <f aca="false">ROUND(Sheet2!AD5,0)</f>
        <v>404</v>
      </c>
      <c r="H39" s="4"/>
      <c r="I39" s="10"/>
      <c r="J39" s="10"/>
      <c r="K39" s="28" t="n">
        <f aca="false">ROUND(Sheet2!AM10*M$11^LOG(1.25)/1.25,IF(Sheet2!AM10*M$11^LOG(1.25)/1.25&lt;100000,-2,IF(Sheet2!AM10*M$11^LOG(1.25)/1.25&lt;1000000,-3,-4)))</f>
        <v>5600</v>
      </c>
      <c r="L39" s="28" t="n">
        <f aca="false">ROUND(Sheet2!AH10,0)</f>
        <v>208</v>
      </c>
      <c r="M39" s="4"/>
      <c r="N39" s="10"/>
      <c r="O39" s="10"/>
      <c r="P39" s="28" t="n">
        <f aca="false">ROUND(Sheet2!AV19*R$11^LOG(1.25)/1.25,IF(Sheet2!AV19*R$11^LOG(1.25)/1.25&lt;100000,-2,IF(Sheet2!AV19*R$11^LOG(1.25)/1.25&lt;1000000,-3,-4)))</f>
        <v>11100</v>
      </c>
      <c r="Q39" s="28" t="n">
        <f aca="false">ROUND(Sheet2!AQ19,0)</f>
        <v>256</v>
      </c>
      <c r="R39" s="4"/>
      <c r="S39" s="10"/>
    </row>
    <row r="40" customFormat="false" ht="14.4" hidden="false" customHeight="false" outlineLevel="0" collapsed="false">
      <c r="A40" s="28" t="n">
        <f aca="false">ROUND(Sheet2!O16*C$11^LOG(1.25)/1.25,IF(Sheet2!O16*C$11^LOG(1.25)/1.25&lt;1000000,-3,-4))</f>
        <v>215000</v>
      </c>
      <c r="B40" s="28" t="n">
        <f aca="false">ROUND(Sheet2!L16,IF(Sheet2!L16&lt;10000,-1,-2))</f>
        <v>4710</v>
      </c>
      <c r="C40" s="10"/>
      <c r="D40" s="10"/>
      <c r="E40" s="10"/>
      <c r="F40" s="28" t="n">
        <f aca="false">ROUND(IF(Sheet2!AC6&gt;0,Sheet2!AC6-Sheet2!AC$4,0)*H$11^LOG(1.25)/1.25,IF((Sheet2!AC6-Sheet2!AC$4)*H$11^LOG(1.25)/1.25&lt;1000000,-3,-4))</f>
        <v>158000</v>
      </c>
      <c r="G40" s="28" t="n">
        <f aca="false">ROUND(Sheet2!AD6,0)</f>
        <v>229</v>
      </c>
      <c r="H40" s="4"/>
      <c r="I40" s="10"/>
      <c r="J40" s="10"/>
      <c r="K40" s="28" t="n">
        <f aca="false">ROUND(Sheet2!AM13*M$11^LOG(1.25)/1.25,IF(Sheet2!AM13*M$11^LOG(1.25)/1.25&lt;100000,-2,IF(Sheet2!AM13*M$11^LOG(1.25)/1.25&lt;1000000,-3,-4)))</f>
        <v>8400</v>
      </c>
      <c r="L40" s="28" t="n">
        <f aca="false">ROUND(Sheet2!AH13,0)</f>
        <v>194</v>
      </c>
      <c r="M40" s="4"/>
      <c r="N40" s="10"/>
      <c r="O40" s="10"/>
      <c r="P40" s="28" t="n">
        <f aca="false">ROUND(Sheet2!AV31*R$11^LOG(1.25)/1.25,IF(Sheet2!AV31*R$11^LOG(1.25)/1.25&lt;100000,-2,IF(Sheet2!AV31*R$11^LOG(1.25)/1.25&lt;1000000,-3,-4)))</f>
        <v>19700</v>
      </c>
      <c r="Q40" s="28" t="n">
        <f aca="false">ROUND(Sheet2!AQ31,0)</f>
        <v>221</v>
      </c>
      <c r="R40" s="4"/>
      <c r="S40" s="10"/>
    </row>
    <row r="41" customFormat="false" ht="14.4" hidden="false" customHeight="false" outlineLevel="0" collapsed="false">
      <c r="A41" s="28" t="n">
        <f aca="false">ROUND(Sheet2!O22*C$11^LOG(1.25)/1.25,IF(Sheet2!O22*C$11^LOG(1.25)/1.25&lt;1000000,-3,-4))</f>
        <v>312000</v>
      </c>
      <c r="B41" s="28" t="n">
        <f aca="false">ROUND(Sheet2!L22,IF(Sheet2!L22&lt;10000,-1,-2))</f>
        <v>4480</v>
      </c>
      <c r="C41" s="10"/>
      <c r="D41" s="10"/>
      <c r="E41" s="10"/>
      <c r="F41" s="28" t="n">
        <f aca="false">ROUND(IF(Sheet2!AC7&gt;0,Sheet2!AC7-Sheet2!AC$4,0)*H$11^LOG(1.25)/1.25,IF((Sheet2!AC7-Sheet2!AC$4)*H$11^LOG(1.25)/1.25&lt;1000000,-3,-4))</f>
        <v>227000</v>
      </c>
      <c r="G41" s="28" t="n">
        <f aca="false">ROUND(Sheet2!AD7,0)</f>
        <v>141</v>
      </c>
      <c r="H41" s="4"/>
      <c r="I41" s="10"/>
      <c r="J41" s="10"/>
      <c r="K41" s="28" t="n">
        <f aca="false">ROUND(Sheet2!AM18*M$11^LOG(1.25)/1.25,IF(Sheet2!AM18*M$11^LOG(1.25)/1.25&lt;100000,-2,IF(Sheet2!AM18*M$11^LOG(1.25)/1.25&lt;1000000,-3,-4)))</f>
        <v>13000</v>
      </c>
      <c r="L41" s="28" t="n">
        <f aca="false">ROUND(Sheet2!AH18,0)</f>
        <v>189</v>
      </c>
      <c r="M41" s="4"/>
      <c r="N41" s="10"/>
      <c r="O41" s="10"/>
      <c r="P41" s="28" t="n">
        <f aca="false">ROUND(Sheet2!AV41*R$11^LOG(1.25)/1.25,IF(Sheet2!AV41*R$11^LOG(1.25)/1.25&lt;100000,-2,IF(Sheet2!AV41*R$11^LOG(1.25)/1.25&lt;1000000,-3,-4)))</f>
        <v>26700</v>
      </c>
      <c r="Q41" s="28" t="n">
        <f aca="false">ROUND(Sheet2!AQ41,0)</f>
        <v>184</v>
      </c>
      <c r="R41" s="4"/>
      <c r="S41" s="10"/>
    </row>
    <row r="42" customFormat="false" ht="14.4" hidden="false" customHeight="false" outlineLevel="0" collapsed="false">
      <c r="A42" s="28" t="n">
        <f aca="false">ROUND(Sheet2!O28*C$11^LOG(1.25)/1.25,IF(Sheet2!O28*C$11^LOG(1.25)/1.25&lt;1000000,-3,-4))</f>
        <v>407000</v>
      </c>
      <c r="B42" s="28" t="n">
        <f aca="false">ROUND(Sheet2!L28,IF(Sheet2!L28&lt;10000,-1,-2))</f>
        <v>4480</v>
      </c>
      <c r="C42" s="10"/>
      <c r="D42" s="10"/>
      <c r="E42" s="10"/>
      <c r="F42" s="28" t="n">
        <f aca="false">ROUND(IF(Sheet2!AC8&gt;0,Sheet2!AC8-Sheet2!AC$4,0)*H$11^LOG(1.25)/1.25,IF((Sheet2!AC8-Sheet2!AC$4)*H$11^LOG(1.25)/1.25&lt;1000000,-3,-4))</f>
        <v>280000</v>
      </c>
      <c r="G42" s="28" t="n">
        <f aca="false">ROUND(Sheet2!AD8,0)</f>
        <v>139</v>
      </c>
      <c r="H42" s="4"/>
      <c r="I42" s="10"/>
      <c r="J42" s="10"/>
      <c r="K42" s="28" t="n">
        <f aca="false">ROUND(Sheet2!AM25*M$11^LOG(1.25)/1.25,IF(Sheet2!AM25*M$11^LOG(1.25)/1.25&lt;100000,-2,IF(Sheet2!AM25*M$11^LOG(1.25)/1.25&lt;1000000,-3,-4)))</f>
        <v>20300</v>
      </c>
      <c r="L42" s="28" t="n">
        <f aca="false">ROUND(Sheet2!AH25,0)</f>
        <v>196</v>
      </c>
      <c r="M42" s="4"/>
      <c r="N42" s="10"/>
      <c r="O42" s="10"/>
      <c r="P42" s="28" t="n">
        <f aca="false">ROUND(Sheet2!AV51*R$11^LOG(1.25)/1.25,IF(Sheet2!AV51*R$11^LOG(1.25)/1.25&lt;100000,-2,IF(Sheet2!AV51*R$11^LOG(1.25)/1.25&lt;1000000,-3,-4)))</f>
        <v>32800</v>
      </c>
      <c r="Q42" s="28" t="n">
        <f aca="false">ROUND(Sheet2!AQ51,0)</f>
        <v>163</v>
      </c>
      <c r="R42" s="4"/>
      <c r="S42" s="10"/>
    </row>
    <row r="43" customFormat="false" ht="14.4" hidden="false" customHeight="false" outlineLevel="0" collapsed="false">
      <c r="A43" s="28" t="n">
        <f aca="false">ROUND(Sheet2!O43*C$11^LOG(1.25)/1.25,IF(Sheet2!O43*C$11^LOG(1.25)/1.25&lt;1000000,-3,-4))</f>
        <v>743000</v>
      </c>
      <c r="B43" s="28" t="n">
        <f aca="false">ROUND(Sheet2!L43,IF(Sheet2!L43&lt;10000,-1,-2))</f>
        <v>5920</v>
      </c>
      <c r="C43" s="10"/>
      <c r="D43" s="10"/>
      <c r="E43" s="10"/>
      <c r="F43" s="28" t="n">
        <f aca="false">ROUND(IF(Sheet2!AC9&gt;0,Sheet2!AC9-Sheet2!AC$4,0)*H$11^LOG(1.25)/1.25,IF((Sheet2!AC9-Sheet2!AC$4)*H$11^LOG(1.25)/1.25&lt;1000000,-3,-4))</f>
        <v>432000</v>
      </c>
      <c r="G43" s="28" t="n">
        <f aca="false">ROUND(Sheet2!AD9,0)</f>
        <v>218</v>
      </c>
      <c r="H43" s="4"/>
      <c r="I43" s="10"/>
      <c r="J43" s="10"/>
      <c r="K43" s="28" t="n">
        <f aca="false">ROUND(Sheet2!AM35*M$11^LOG(1.25)/1.25,IF(Sheet2!AM35*M$11^LOG(1.25)/1.25&lt;100000,-2,IF(Sheet2!AM35*M$11^LOG(1.25)/1.25&lt;1000000,-3,-4)))</f>
        <v>31700</v>
      </c>
      <c r="L43" s="28" t="n">
        <f aca="false">ROUND(Sheet2!AH35,0)</f>
        <v>220</v>
      </c>
      <c r="M43" s="4"/>
      <c r="N43" s="10"/>
      <c r="O43" s="10"/>
      <c r="P43" s="28" t="n">
        <f aca="false">ROUND(Sheet2!AV61*R$11^LOG(1.25)/1.25,IF(Sheet2!AV61*R$11^LOG(1.25)/1.25&lt;100000,-2,IF(Sheet2!AV61*R$11^LOG(1.25)/1.25&lt;1000000,-3,-4)))</f>
        <v>38400</v>
      </c>
      <c r="Q43" s="28" t="n">
        <f aca="false">ROUND(Sheet2!AQ61,0)</f>
        <v>155</v>
      </c>
      <c r="R43" s="4"/>
      <c r="S43" s="10"/>
    </row>
    <row r="44" customFormat="false" ht="14.4" hidden="false" customHeight="false" outlineLevel="0" collapsed="false">
      <c r="A44" s="28" t="n">
        <f aca="false">ROUND(Sheet2!O53*C$11^LOG(1.25)/1.25,IF(Sheet2!O53*C$11^LOG(1.25)/1.25&lt;1000000,-3,-4))</f>
        <v>1010000</v>
      </c>
      <c r="B44" s="28" t="n">
        <f aca="false">ROUND(Sheet2!L53,IF(Sheet2!L53&lt;10000,-1,-2))</f>
        <v>6500</v>
      </c>
      <c r="C44" s="10"/>
      <c r="D44" s="10"/>
      <c r="E44" s="10"/>
      <c r="F44" s="28" t="n">
        <f aca="false">ROUND(IF(Sheet2!AC10&gt;0,Sheet2!AC10-Sheet2!AC$4,0)*H$11^LOG(1.25)/1.25,IF((Sheet2!AC10-Sheet2!AC$4)*H$11^LOG(1.25)/1.25&lt;1000000,-3,-4))</f>
        <v>538000</v>
      </c>
      <c r="G44" s="28" t="n">
        <f aca="false">ROUND(Sheet2!AD10,0)</f>
        <v>217</v>
      </c>
      <c r="H44" s="4"/>
      <c r="I44" s="10"/>
      <c r="J44" s="10"/>
      <c r="K44" s="28" t="n">
        <f aca="false">ROUND(Sheet2!AM37*M$11^LOG(1.25)/1.25,IF(Sheet2!AM37*M$11^LOG(1.25)/1.25&lt;100000,-2,IF(Sheet2!AM37*M$11^LOG(1.25)/1.25&lt;1000000,-3,-4)))</f>
        <v>34200</v>
      </c>
      <c r="L44" s="28" t="n">
        <f aca="false">ROUND(Sheet2!AH37,0)</f>
        <v>220</v>
      </c>
      <c r="M44" s="4"/>
      <c r="N44" s="10"/>
      <c r="O44" s="10"/>
      <c r="P44" s="28" t="n">
        <f aca="false">ROUND(Sheet2!AV69*R$11^LOG(1.25)/1.25,IF(Sheet2!AV69*R$11^LOG(1.25)/1.25&lt;100000,-2,IF(Sheet2!AV69*R$11^LOG(1.25)/1.25&lt;1000000,-3,-4)))</f>
        <v>43600</v>
      </c>
      <c r="Q44" s="28" t="n">
        <f aca="false">ROUND(Sheet2!AQ69,0)</f>
        <v>154</v>
      </c>
      <c r="R44" s="4"/>
      <c r="S44" s="10"/>
    </row>
    <row r="45" customFormat="false" ht="14.4" hidden="false" customHeight="false" outlineLevel="0" collapsed="false">
      <c r="A45" s="28" t="n">
        <f aca="false">ROUND(Sheet2!O68*C$11^LOG(1.25)/1.25,IF(Sheet2!O68*C$11^LOG(1.25)/1.25&lt;1000000,-3,-4))</f>
        <v>1450000</v>
      </c>
      <c r="B45" s="28" t="n">
        <f aca="false">ROUND(Sheet2!L68,IF(Sheet2!L68&lt;10000,-1,-2))</f>
        <v>6900</v>
      </c>
      <c r="C45" s="10"/>
      <c r="D45" s="10"/>
      <c r="E45" s="10"/>
      <c r="F45" s="28" t="n">
        <f aca="false">ROUND(IF(Sheet2!AC11&gt;0,Sheet2!AC11-Sheet2!AC$4,0)*H$11^LOG(1.25)/1.25,IF((Sheet2!AC11-Sheet2!AC$4)*H$11^LOG(1.25)/1.25&lt;1000000,-3,-4))</f>
        <v>631000</v>
      </c>
      <c r="G45" s="28" t="n">
        <f aca="false">ROUND(Sheet2!AD11,0)</f>
        <v>262</v>
      </c>
      <c r="H45" s="4"/>
      <c r="I45" s="10"/>
      <c r="J45" s="10"/>
      <c r="K45" s="28" t="n">
        <f aca="false">ROUND(Sheet2!AM50*M$11^LOG(1.25)/1.25,IF(Sheet2!AM50*M$11^LOG(1.25)/1.25&lt;100000,-2,IF(Sheet2!AM50*M$11^LOG(1.25)/1.25&lt;1000000,-3,-4)))</f>
        <v>48200</v>
      </c>
      <c r="L45" s="28" t="n">
        <f aca="false">ROUND(Sheet2!AH50,0)</f>
        <v>177</v>
      </c>
      <c r="M45" s="4"/>
      <c r="N45" s="10"/>
      <c r="O45" s="10"/>
      <c r="P45" s="28" t="n">
        <f aca="false">ROUND(Sheet2!AV77*R$11^LOG(1.25)/1.25,IF(Sheet2!AV77*R$11^LOG(1.25)/1.25&lt;100000,-2,IF(Sheet2!AV77*R$11^LOG(1.25)/1.25&lt;1000000,-3,-4)))</f>
        <v>47900</v>
      </c>
      <c r="Q45" s="28" t="n">
        <f aca="false">ROUND(Sheet2!AQ77,0)</f>
        <v>164</v>
      </c>
      <c r="R45" s="4"/>
      <c r="S45" s="10"/>
    </row>
    <row r="46" customFormat="false" ht="14.4" hidden="false" customHeight="false" outlineLevel="0" collapsed="false">
      <c r="A46" s="28" t="n">
        <f aca="false">ROUND(Sheet2!O76*C$11^LOG(1.25)/1.25,IF(Sheet2!O76*C$11^LOG(1.25)/1.25&lt;1000000,-3,-4))</f>
        <v>1690000</v>
      </c>
      <c r="B46" s="28" t="n">
        <f aca="false">ROUND(Sheet2!L76,IF(Sheet2!L76&lt;10000,-1,-2))</f>
        <v>8050</v>
      </c>
      <c r="C46" s="10"/>
      <c r="D46" s="10"/>
      <c r="E46" s="10"/>
      <c r="F46" s="28" t="n">
        <f aca="false">ROUND(IF(Sheet2!AC12&gt;0,Sheet2!AC12-Sheet2!AC$4,0)*H$11^LOG(1.25)/1.25,IF((Sheet2!AC12-Sheet2!AC$4)*H$11^LOG(1.25)/1.25&lt;1000000,-3,-4))</f>
        <v>1060000</v>
      </c>
      <c r="G46" s="28" t="n">
        <f aca="false">ROUND(Sheet2!AD12,0)</f>
        <v>675</v>
      </c>
      <c r="H46" s="4"/>
      <c r="I46" s="10"/>
      <c r="J46" s="10"/>
      <c r="K46" s="28" t="n">
        <f aca="false">ROUND(Sheet2!AM62*M$11^LOG(1.25)/1.25,IF(Sheet2!AM62*M$11^LOG(1.25)/1.25&lt;100000,-2,IF(Sheet2!AM62*M$11^LOG(1.25)/1.25&lt;1000000,-3,-4)))</f>
        <v>59100</v>
      </c>
      <c r="L46" s="28" t="n">
        <f aca="false">ROUND(Sheet2!AH62,0)</f>
        <v>154</v>
      </c>
      <c r="M46" s="4"/>
      <c r="N46" s="10"/>
      <c r="O46" s="10"/>
      <c r="P46" s="28" t="n">
        <f aca="false">ROUND(Sheet2!AV86*R$11^LOG(1.25)/1.25,IF(Sheet2!AV86*R$11^LOG(1.25)/1.25&lt;100000,-2,IF(Sheet2!AV86*R$11^LOG(1.25)/1.25&lt;1000000,-3,-4)))</f>
        <v>52900</v>
      </c>
      <c r="Q46" s="28" t="n">
        <f aca="false">ROUND(Sheet2!AQ86,0)</f>
        <v>211</v>
      </c>
      <c r="R46" s="4"/>
      <c r="S46" s="10"/>
    </row>
    <row r="47" customFormat="false" ht="14.4" hidden="false" customHeight="false" outlineLevel="0" collapsed="false">
      <c r="A47" s="28" t="n">
        <f aca="false">ROUND(Sheet2!O79*C$11^LOG(1.25)/1.25,IF(Sheet2!O79*C$11^LOG(1.25)/1.25&lt;1000000,-3,-4))</f>
        <v>1800000</v>
      </c>
      <c r="B47" s="28" t="n">
        <f aca="false">ROUND(Sheet2!L79,IF(Sheet2!L79&lt;10000,-1,-2))</f>
        <v>11500</v>
      </c>
      <c r="C47" s="10"/>
      <c r="D47" s="10"/>
      <c r="E47" s="10"/>
      <c r="F47" s="28" t="n">
        <f aca="false">ROUND(IF(Sheet2!AC13&gt;0,Sheet2!AC13-Sheet2!AC$4,0)*H$11^LOG(1.25)/1.25,IF((Sheet2!AC13-Sheet2!AC$4)*H$11^LOG(1.25)/1.25&lt;1000000,-3,-4))</f>
        <v>1500000</v>
      </c>
      <c r="G47" s="28" t="n">
        <f aca="false">ROUND(Sheet2!AD13,0)</f>
        <v>789</v>
      </c>
      <c r="H47" s="4"/>
      <c r="I47" s="10"/>
      <c r="J47" s="10"/>
      <c r="K47" s="28" t="n">
        <f aca="false">ROUND(Sheet2!AM70*M$11^LOG(1.25)/1.25,IF(Sheet2!AM70*M$11^LOG(1.25)/1.25&lt;100000,-2,IF(Sheet2!AM70*M$11^LOG(1.25)/1.25&lt;1000000,-3,-4)))</f>
        <v>66400</v>
      </c>
      <c r="L47" s="28" t="n">
        <f aca="false">ROUND(Sheet2!AH70,0)</f>
        <v>168</v>
      </c>
      <c r="M47" s="4"/>
      <c r="N47" s="10"/>
      <c r="O47" s="10"/>
      <c r="P47" s="28" t="n">
        <f aca="false">ROUND(Sheet2!AV96*R$11^LOG(1.25)/1.25,IF(Sheet2!AV96*R$11^LOG(1.25)/1.25&lt;100000,-2,IF(Sheet2!AV96*R$11^LOG(1.25)/1.25&lt;1000000,-3,-4)))</f>
        <v>59700</v>
      </c>
      <c r="Q47" s="28" t="n">
        <f aca="false">ROUND(Sheet2!AQ96,0)</f>
        <v>301</v>
      </c>
      <c r="R47" s="4"/>
      <c r="S47" s="10"/>
    </row>
    <row r="48" customFormat="false" ht="14.4" hidden="false" customHeight="false" outlineLevel="0" collapsed="false">
      <c r="A48" s="28" t="n">
        <f aca="false">ROUND(Sheet2!O89*C$11^LOG(1.25)/1.25,IF(Sheet2!O89*C$11^LOG(1.25)/1.25&lt;1000000,-3,-4))</f>
        <v>2710000</v>
      </c>
      <c r="B48" s="28" t="n">
        <f aca="false">ROUND(Sheet2!L89,IF(Sheet2!L89&lt;10000,-1,-2))</f>
        <v>34500</v>
      </c>
      <c r="C48" s="10"/>
      <c r="D48" s="10"/>
      <c r="E48" s="10"/>
      <c r="F48" s="28" t="n">
        <f aca="false">ROUND(IF(Sheet2!AC14&gt;0,Sheet2!AC14-Sheet2!AC$4,0)*H$11^LOG(1.25)/1.25,IF((Sheet2!AC14-Sheet2!AC$4)*H$11^LOG(1.25)/1.25&lt;1000000,-3,-4))</f>
        <v>1990000</v>
      </c>
      <c r="G48" s="28" t="n">
        <f aca="false">ROUND(Sheet2!AD14,0)</f>
        <v>832</v>
      </c>
      <c r="H48" s="4"/>
      <c r="I48" s="10"/>
      <c r="J48" s="10"/>
      <c r="K48" s="28" t="n">
        <f aca="false">ROUND(Sheet2!AM75*M$11^LOG(1.25)/1.25,IF(Sheet2!AM75*M$11^LOG(1.25)/1.25&lt;100000,-2,IF(Sheet2!AM75*M$11^LOG(1.25)/1.25&lt;1000000,-3,-4)))</f>
        <v>71500</v>
      </c>
      <c r="L48" s="28" t="n">
        <f aca="false">ROUND(Sheet2!AH75,0)</f>
        <v>204</v>
      </c>
      <c r="M48" s="4"/>
      <c r="N48" s="10"/>
      <c r="O48" s="10"/>
      <c r="P48" s="28" t="n">
        <f aca="false">ROUND(Sheet2!AV106*R$11^LOG(1.25)/1.25,IF(Sheet2!AV106*R$11^LOG(1.25)/1.25&lt;100000,-2,IF(Sheet2!AV106*R$11^LOG(1.25)/1.25&lt;1000000,-3,-4)))</f>
        <v>68500</v>
      </c>
      <c r="Q48" s="28" t="n">
        <f aca="false">ROUND(Sheet2!AQ106,0)</f>
        <v>347</v>
      </c>
      <c r="R48" s="4"/>
      <c r="S48" s="10"/>
    </row>
    <row r="49" customFormat="false" ht="14.4" hidden="false" customHeight="false" outlineLevel="0" collapsed="false">
      <c r="A49" s="10"/>
      <c r="B49" s="10"/>
      <c r="C49" s="10"/>
      <c r="D49" s="10"/>
      <c r="E49" s="10"/>
      <c r="F49" s="28" t="n">
        <f aca="false">ROUND(IF(Sheet2!AC15&gt;0,Sheet2!AC15-Sheet2!AC$4,0)*H$11^LOG(1.25)/1.25,IF((Sheet2!AC15-Sheet2!AC$4)*H$11^LOG(1.25)/1.25&lt;1000000,-3,-4))</f>
        <v>2510000</v>
      </c>
      <c r="G49" s="28" t="n">
        <f aca="false">ROUND(Sheet2!AD15,0)</f>
        <v>832</v>
      </c>
      <c r="H49" s="4"/>
      <c r="I49" s="10"/>
      <c r="J49" s="10"/>
      <c r="K49" s="28" t="n">
        <f aca="false">ROUND(Sheet2!AM80*M$11^LOG(1.25)/1.25,IF(Sheet2!AM80*M$11^LOG(1.25)/1.25&lt;100000,-2,IF(Sheet2!AM80*M$11^LOG(1.25)/1.25&lt;1000000,-3,-4)))</f>
        <v>78700</v>
      </c>
      <c r="L49" s="28" t="n">
        <f aca="false">ROUND(Sheet2!AH80,0)</f>
        <v>309</v>
      </c>
      <c r="M49" s="4"/>
      <c r="N49" s="10"/>
      <c r="O49" s="10"/>
      <c r="P49" s="28" t="n">
        <f aca="false">ROUND(Sheet2!AV116*R$11^LOG(1.25)/1.25,IF(Sheet2!AV116*R$11^LOG(1.25)/1.25&lt;100000,-2,IF(Sheet2!AV116*R$11^LOG(1.25)/1.25&lt;1000000,-3,-4)))</f>
        <v>78000</v>
      </c>
      <c r="Q49" s="28" t="n">
        <f aca="false">ROUND(Sheet2!AQ116,0)</f>
        <v>357</v>
      </c>
      <c r="R49" s="4"/>
      <c r="S49" s="10"/>
    </row>
    <row r="50" customFormat="false" ht="14.4" hidden="false" customHeight="false" outlineLevel="0" collapsed="false">
      <c r="A50" s="10"/>
      <c r="B50" s="10"/>
      <c r="C50" s="10"/>
      <c r="D50" s="10"/>
      <c r="E50" s="10"/>
      <c r="F50" s="28" t="n">
        <f aca="false">ROUND(IF(Sheet2!AC16&gt;0,Sheet2!AC16-Sheet2!AC$4,0)*H$11^LOG(1.25)/1.25,IF((Sheet2!AC16-Sheet2!AC$4)*H$11^LOG(1.25)/1.25&lt;1000000,-3,-4))</f>
        <v>0</v>
      </c>
      <c r="G50" s="28" t="n">
        <f aca="false">ROUND(Sheet2!AD16,0)</f>
        <v>0</v>
      </c>
      <c r="H50" s="4"/>
      <c r="I50" s="10"/>
      <c r="J50" s="10"/>
      <c r="K50" s="28" t="n">
        <f aca="false">ROUND(Sheet2!AM95*M$11^LOG(1.25)/1.25,IF(Sheet2!AM95*M$11^LOG(1.25)/1.25&lt;100000,-2,IF(Sheet2!AM95*M$11^LOG(1.25)/1.25&lt;1000000,-3,-4)))</f>
        <v>124000</v>
      </c>
      <c r="L50" s="28" t="n">
        <f aca="false">ROUND(Sheet2!AH95,0)</f>
        <v>858</v>
      </c>
      <c r="M50" s="4"/>
      <c r="N50" s="10"/>
      <c r="O50" s="10"/>
      <c r="P50" s="27"/>
      <c r="Q50" s="27"/>
      <c r="R50" s="4"/>
      <c r="S50" s="10"/>
    </row>
    <row r="51" customFormat="false" ht="14.4" hidden="false" customHeight="false" outlineLevel="0" collapsed="false">
      <c r="A51" s="10"/>
      <c r="B51" s="10"/>
      <c r="C51" s="10"/>
      <c r="D51" s="10"/>
      <c r="E51" s="10"/>
      <c r="F51" s="27"/>
      <c r="G51" s="27"/>
      <c r="H51" s="4"/>
      <c r="I51" s="10"/>
      <c r="J51" s="10"/>
      <c r="K51" s="27"/>
      <c r="L51" s="27"/>
      <c r="M51" s="4"/>
      <c r="N51" s="10"/>
      <c r="O51" s="10"/>
      <c r="P51" s="10"/>
      <c r="Q51" s="10"/>
      <c r="R51" s="10"/>
      <c r="S51" s="10"/>
    </row>
    <row r="52" customFormat="false" ht="14.4" hidden="false" customHeight="false" outlineLevel="0" collapsed="false">
      <c r="A52" s="12" t="s">
        <v>49</v>
      </c>
      <c r="B52" s="4"/>
      <c r="C52" s="10"/>
      <c r="D52" s="10"/>
      <c r="E52" s="10"/>
      <c r="F52" s="12" t="s">
        <v>49</v>
      </c>
      <c r="G52" s="4"/>
      <c r="H52" s="4"/>
      <c r="I52" s="10"/>
      <c r="J52" s="10"/>
      <c r="K52" s="12" t="s">
        <v>49</v>
      </c>
      <c r="L52" s="4"/>
      <c r="M52" s="4"/>
      <c r="N52" s="10"/>
      <c r="O52" s="10"/>
      <c r="P52" s="12" t="s">
        <v>49</v>
      </c>
      <c r="Q52" s="4"/>
      <c r="R52" s="4"/>
      <c r="S52" s="10"/>
    </row>
    <row r="53" customFormat="false" ht="14.4" hidden="false" customHeight="false" outlineLevel="0" collapsed="false">
      <c r="A53" s="27" t="s">
        <v>45</v>
      </c>
      <c r="B53" s="27" t="s">
        <v>50</v>
      </c>
      <c r="C53" s="10"/>
      <c r="D53" s="10"/>
      <c r="E53" s="10"/>
      <c r="F53" s="27" t="s">
        <v>45</v>
      </c>
      <c r="G53" s="27" t="s">
        <v>50</v>
      </c>
      <c r="H53" s="4"/>
      <c r="I53" s="10"/>
      <c r="J53" s="10"/>
      <c r="K53" s="27" t="s">
        <v>45</v>
      </c>
      <c r="L53" s="27" t="s">
        <v>50</v>
      </c>
      <c r="M53" s="4"/>
      <c r="N53" s="10"/>
      <c r="O53" s="10"/>
      <c r="P53" s="27" t="s">
        <v>45</v>
      </c>
      <c r="Q53" s="27" t="s">
        <v>50</v>
      </c>
      <c r="R53" s="4"/>
      <c r="S53" s="10"/>
    </row>
    <row r="54" customFormat="false" ht="14.4" hidden="false" customHeight="false" outlineLevel="0" collapsed="false">
      <c r="A54" s="27" t="s">
        <v>47</v>
      </c>
      <c r="B54" s="27" t="s">
        <v>51</v>
      </c>
      <c r="C54" s="10"/>
      <c r="D54" s="10"/>
      <c r="E54" s="10"/>
      <c r="F54" s="27" t="s">
        <v>47</v>
      </c>
      <c r="G54" s="27" t="s">
        <v>51</v>
      </c>
      <c r="H54" s="4"/>
      <c r="I54" s="10"/>
      <c r="J54" s="10"/>
      <c r="K54" s="27" t="s">
        <v>47</v>
      </c>
      <c r="L54" s="27" t="s">
        <v>51</v>
      </c>
      <c r="M54" s="4"/>
      <c r="N54" s="10"/>
      <c r="O54" s="10"/>
      <c r="P54" s="27" t="s">
        <v>47</v>
      </c>
      <c r="Q54" s="27" t="s">
        <v>51</v>
      </c>
      <c r="R54" s="4"/>
      <c r="S54" s="10"/>
    </row>
    <row r="55" customFormat="false" ht="14.4" hidden="false" customHeight="false" outlineLevel="0" collapsed="false">
      <c r="A55" s="28" t="n">
        <v>0</v>
      </c>
      <c r="B55" s="28" t="n">
        <v>0</v>
      </c>
      <c r="C55" s="10"/>
      <c r="D55" s="10"/>
      <c r="E55" s="10"/>
      <c r="F55" s="28" t="n">
        <f aca="false">ROUND(IF(Sheet2!AC19&gt;0,Sheet2!AC19-Sheet2!AC$19,0)*H$11^LOG(1.25)/1.25,IF((Sheet2!AC19-Sheet2!AC$19)*H$11^LOG(1.25)/1.25&lt;1000000,-3,-4))</f>
        <v>0</v>
      </c>
      <c r="G55" s="28" t="n">
        <f aca="false">Sheet2!AD19</f>
        <v>0</v>
      </c>
      <c r="H55" s="4"/>
      <c r="I55" s="10"/>
      <c r="J55" s="10"/>
      <c r="K55" s="28" t="n">
        <f aca="false">Sheet2!AM4</f>
        <v>0</v>
      </c>
      <c r="L55" s="29" t="n">
        <f aca="false">Sheet2!AI4</f>
        <v>1</v>
      </c>
      <c r="M55" s="4"/>
      <c r="N55" s="10"/>
      <c r="O55" s="10"/>
      <c r="P55" s="28" t="n">
        <f aca="false">Sheet2!AV4</f>
        <v>0</v>
      </c>
      <c r="Q55" s="30" t="n">
        <f aca="false">Sheet2!AR4</f>
        <v>1</v>
      </c>
      <c r="R55" s="4"/>
      <c r="S55" s="10"/>
    </row>
    <row r="56" customFormat="false" ht="14.4" hidden="false" customHeight="false" outlineLevel="0" collapsed="false">
      <c r="A56" s="10"/>
      <c r="B56" s="10"/>
      <c r="C56" s="10"/>
      <c r="D56" s="10"/>
      <c r="E56" s="10"/>
      <c r="F56" s="28" t="n">
        <f aca="false">ROUND(IF(Sheet2!AC20&gt;0,Sheet2!AC20-Sheet2!AC$19,0)*H$11^LOG(1.25)/1.25,IF((Sheet2!AC20-Sheet2!AC$19)*H$11^LOG(1.25)/1.25&lt;1000000,-3,-4))</f>
        <v>227000</v>
      </c>
      <c r="G56" s="28" t="n">
        <f aca="false">Sheet2!AD20</f>
        <v>0</v>
      </c>
      <c r="H56" s="4"/>
      <c r="I56" s="10"/>
      <c r="J56" s="10"/>
      <c r="K56" s="28" t="n">
        <f aca="false">ROUND(Sheet2!AM13*M$11^LOG(1.25)/1.25,IF(Sheet2!AM13*M$11^LOG(1.25)/1.25&lt;100000,-2,IF(Sheet2!AM13*M$11^LOG(1.25)/1.25&lt;1000000,-3,-4)))</f>
        <v>8400</v>
      </c>
      <c r="L56" s="29" t="n">
        <f aca="false">Sheet2!AI13</f>
        <v>-0.4</v>
      </c>
      <c r="M56" s="4"/>
      <c r="N56" s="10"/>
      <c r="O56" s="10"/>
      <c r="P56" s="28" t="n">
        <f aca="false">ROUND(Sheet2!AV31*R$11^LOG(1.25)/1.25,IF(Sheet2!AV31*R$11^LOG(1.25)/1.25&lt;100000,-2,IF(Sheet2!AV31*R$11^LOG(1.25)/1.25&lt;1000000,-3,-4)))</f>
        <v>19700</v>
      </c>
      <c r="Q56" s="30" t="n">
        <f aca="false">Sheet2!AR31</f>
        <v>-0.05</v>
      </c>
      <c r="R56" s="4"/>
      <c r="S56" s="10"/>
    </row>
    <row r="57" customFormat="false" ht="14.4" hidden="false" customHeight="false" outlineLevel="0" collapsed="false">
      <c r="A57" s="10"/>
      <c r="B57" s="10"/>
      <c r="C57" s="10"/>
      <c r="D57" s="10"/>
      <c r="E57" s="10"/>
      <c r="F57" s="28" t="n">
        <f aca="false">ROUND(IF(Sheet2!AC21&gt;0,Sheet2!AC21-Sheet2!AC$19,0)*H$11^LOG(1.25)/1.25,IF((Sheet2!AC21-Sheet2!AC$19)*H$11^LOG(1.25)/1.25&lt;1000000,-3,-4))</f>
        <v>280000</v>
      </c>
      <c r="G57" s="28" t="n">
        <f aca="false">Sheet2!AD21</f>
        <v>1</v>
      </c>
      <c r="H57" s="4"/>
      <c r="I57" s="10"/>
      <c r="J57" s="10"/>
      <c r="K57" s="28" t="n">
        <f aca="false">ROUND(Sheet2!AM30*M$11^LOG(1.25)/1.25,IF(Sheet2!AM30*M$11^LOG(1.25)/1.25&lt;100000,-2,IF(Sheet2!AM30*M$11^LOG(1.25)/1.25&lt;1000000,-3,-4)))</f>
        <v>25900</v>
      </c>
      <c r="L57" s="29" t="n">
        <f aca="false">Sheet2!AI30</f>
        <v>0.4</v>
      </c>
      <c r="M57" s="4"/>
      <c r="N57" s="10"/>
      <c r="O57" s="10"/>
      <c r="P57" s="28" t="n">
        <f aca="false">ROUND(Sheet2!AV51*R$11^LOG(1.25)/1.25,IF(Sheet2!AV51*R$11^LOG(1.25)/1.25&lt;100000,-2,IF(Sheet2!AV51*R$11^LOG(1.25)/1.25&lt;1000000,-3,-4)))</f>
        <v>32800</v>
      </c>
      <c r="Q57" s="30" t="n">
        <f aca="false">Sheet2!AR51</f>
        <v>0</v>
      </c>
      <c r="R57" s="4"/>
      <c r="S57" s="10"/>
    </row>
    <row r="58" customFormat="false" ht="14.4" hidden="false" customHeight="false" outlineLevel="0" collapsed="false">
      <c r="A58" s="10"/>
      <c r="B58" s="10"/>
      <c r="C58" s="10"/>
      <c r="D58" s="10"/>
      <c r="E58" s="10"/>
      <c r="F58" s="28" t="n">
        <f aca="false">ROUND(IF(Sheet2!AC22&gt;0,Sheet2!AC22-Sheet2!AC$19,0)*H$11^LOG(1.25)/1.25,IF((Sheet2!AC22-Sheet2!AC$19)*H$11^LOG(1.25)/1.25&lt;1000000,-3,-4))</f>
        <v>631000</v>
      </c>
      <c r="G58" s="28" t="n">
        <f aca="false">Sheet2!AD22</f>
        <v>2</v>
      </c>
      <c r="H58" s="4"/>
      <c r="I58" s="10"/>
      <c r="J58" s="10"/>
      <c r="K58" s="28" t="n">
        <f aca="false">ROUND(Sheet2!AM50*M$11^LOG(1.25)/1.25,IF(Sheet2!AM50*M$11^LOG(1.25)/1.25&lt;100000,-2,IF(Sheet2!AM50*M$11^LOG(1.25)/1.25&lt;1000000,-3,-4)))</f>
        <v>48200</v>
      </c>
      <c r="L58" s="29" t="n">
        <f aca="false">Sheet2!AI50</f>
        <v>-0.4</v>
      </c>
      <c r="M58" s="4"/>
      <c r="N58" s="10"/>
      <c r="O58" s="10"/>
      <c r="P58" s="28" t="n">
        <f aca="false">ROUND(Sheet2!AV116*R$11^LOG(1.25)/1.25,IF(Sheet2!AV116*R$11^LOG(1.25)/1.25&lt;100000,-2,IF(Sheet2!AV116*R$11^LOG(1.25)/1.25&lt;1000000,-3,-4)))</f>
        <v>78000</v>
      </c>
      <c r="Q58" s="30" t="n">
        <f aca="false">Sheet2!AR116</f>
        <v>0.15</v>
      </c>
      <c r="R58" s="4"/>
      <c r="S58" s="10"/>
    </row>
    <row r="59" customFormat="false" ht="14.4" hidden="false" customHeight="false" outlineLevel="0" collapsed="false">
      <c r="A59" s="10"/>
      <c r="B59" s="10"/>
      <c r="C59" s="10"/>
      <c r="D59" s="10"/>
      <c r="E59" s="10"/>
      <c r="F59" s="28" t="n">
        <f aca="false">ROUND(IF(Sheet2!AC23&gt;0,Sheet2!AC23-Sheet2!AC$19,0)*H$11^LOG(1.25)/1.25,IF((Sheet2!AC23-Sheet2!AC$19)*H$11^LOG(1.25)/1.25&lt;1000000,-3,-4))</f>
        <v>2510000</v>
      </c>
      <c r="G59" s="28" t="n">
        <f aca="false">Sheet2!AD23</f>
        <v>4</v>
      </c>
      <c r="H59" s="10"/>
      <c r="I59" s="10"/>
      <c r="J59" s="10"/>
      <c r="K59" s="28" t="n">
        <f aca="false">ROUND(Sheet2!AM62*M$11^LOG(1.25)/1.25,IF(Sheet2!AM62*M$11^LOG(1.25)/1.25&lt;100000,-2,IF(Sheet2!AM62*M$11^LOG(1.25)/1.25&lt;1000000,-3,-4)))</f>
        <v>59200</v>
      </c>
      <c r="L59" s="29" t="n">
        <f aca="false">Sheet2!AI62</f>
        <v>0.2</v>
      </c>
      <c r="M59" s="4"/>
      <c r="N59" s="10"/>
      <c r="O59" s="10"/>
      <c r="P59" s="10"/>
      <c r="Q59" s="10"/>
      <c r="R59" s="4"/>
      <c r="S59" s="10"/>
    </row>
    <row r="60" customFormat="false" ht="14.4" hidden="false" customHeight="false" outlineLevel="0" collapsed="false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28" t="n">
        <f aca="false">ROUND(Sheet2!AM95*M$11^LOG(1.25)/1.25,IF(Sheet2!AM95*M$11^LOG(1.25)/1.25&lt;100000,-2,IF(Sheet2!AM95*M$11^LOG(1.25)/1.25&lt;1000000,-3,-4)))</f>
        <v>124000</v>
      </c>
      <c r="L60" s="29" t="n">
        <f aca="false">Sheet2!AI95</f>
        <v>0.2</v>
      </c>
      <c r="M60" s="4"/>
      <c r="N60" s="10"/>
      <c r="O60" s="10"/>
      <c r="P60" s="10"/>
      <c r="Q60" s="10"/>
      <c r="R60" s="4"/>
      <c r="S60" s="10"/>
    </row>
    <row r="61" customFormat="false" ht="14.4" hidden="false" customHeight="false" outlineLevel="0" collapsed="false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</row>
  </sheetData>
  <sheetProtection sheet="true" password="bc36" objects="true" scenarios="true" formatCells="false" formatColumns="false" formatRows="false" insertHyperlinks="false" sort="false"/>
  <mergeCells count="1">
    <mergeCell ref="P2:R2"/>
  </mergeCells>
  <dataValidations count="2">
    <dataValidation allowBlank="true" errorStyle="stop" operator="greaterThanOrEqual" showDropDown="false" showErrorMessage="true" showInputMessage="true" sqref="M17" type="decimal">
      <formula1>0.1</formula1>
      <formula2>0</formula2>
    </dataValidation>
    <dataValidation allowBlank="true" errorStyle="stop" operator="between" showDropDown="false" showErrorMessage="true" showInputMessage="true" sqref="R17" type="decimal">
      <formula1>0.001</formula1>
      <formula2>100</formula2>
    </dataValidation>
  </dataValidations>
  <hyperlinks>
    <hyperlink ref="P2" r:id="rId1" display="Instructions and Help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1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8359375" defaultRowHeight="14.4" zeroHeight="false" outlineLevelRow="0" outlineLevelCol="0"/>
  <cols>
    <col collapsed="false" customWidth="true" hidden="false" outlineLevel="0" max="1" min="1" style="31" width="6.55"/>
    <col collapsed="false" customWidth="true" hidden="false" outlineLevel="0" max="2" min="2" style="31" width="7.55"/>
    <col collapsed="false" customWidth="true" hidden="false" outlineLevel="0" max="4" min="3" style="31" width="6.55"/>
    <col collapsed="false" customWidth="true" hidden="false" outlineLevel="0" max="5" min="5" style="0" width="7.55"/>
    <col collapsed="false" customWidth="true" hidden="false" outlineLevel="0" max="9" min="6" style="0" width="6.55"/>
    <col collapsed="false" customWidth="true" hidden="false" outlineLevel="0" max="10" min="10" style="32" width="6.88"/>
    <col collapsed="false" customWidth="true" hidden="false" outlineLevel="0" max="11" min="11" style="32" width="9.56"/>
    <col collapsed="false" customWidth="true" hidden="false" outlineLevel="0" max="12" min="12" style="32" width="8"/>
    <col collapsed="false" customWidth="true" hidden="false" outlineLevel="0" max="13" min="13" style="32" width="8.55"/>
    <col collapsed="false" customWidth="true" hidden="false" outlineLevel="0" max="15" min="14" style="32" width="9.56"/>
    <col collapsed="false" customWidth="true" hidden="false" outlineLevel="0" max="17" min="17" style="32" width="6.88"/>
    <col collapsed="false" customWidth="true" hidden="false" outlineLevel="0" max="18" min="18" style="32" width="9.56"/>
    <col collapsed="false" customWidth="true" hidden="false" outlineLevel="0" max="19" min="19" style="32" width="6.55"/>
    <col collapsed="false" customWidth="true" hidden="false" outlineLevel="0" max="20" min="20" style="0" width="6.55"/>
    <col collapsed="false" customWidth="true" hidden="false" outlineLevel="0" max="21" min="21" style="32" width="6.55"/>
    <col collapsed="false" customWidth="true" hidden="false" outlineLevel="0" max="22" min="22" style="32" width="8.55"/>
    <col collapsed="false" customWidth="true" hidden="false" outlineLevel="0" max="24" min="23" style="32" width="9.56"/>
    <col collapsed="false" customWidth="true" hidden="false" outlineLevel="0" max="25" min="25" style="32" width="6.88"/>
    <col collapsed="false" customWidth="true" hidden="false" outlineLevel="0" max="26" min="26" style="32" width="6.01"/>
    <col collapsed="false" customWidth="true" hidden="false" outlineLevel="0" max="27" min="27" style="32" width="9"/>
    <col collapsed="false" customWidth="true" hidden="false" outlineLevel="0" max="28" min="28" style="32" width="3.98"/>
    <col collapsed="false" customWidth="true" hidden="false" outlineLevel="0" max="29" min="29" style="0" width="9.56"/>
    <col collapsed="false" customWidth="true" hidden="false" outlineLevel="0" max="30" min="30" style="0" width="6.55"/>
    <col collapsed="false" customWidth="true" hidden="false" outlineLevel="0" max="32" min="32" style="32" width="6.88"/>
    <col collapsed="false" customWidth="true" hidden="false" outlineLevel="0" max="33" min="33" style="32" width="9.56"/>
    <col collapsed="false" customWidth="true" hidden="false" outlineLevel="0" max="34" min="34" style="32" width="6.55"/>
    <col collapsed="false" customWidth="true" hidden="false" outlineLevel="0" max="35" min="35" style="0" width="6.55"/>
    <col collapsed="false" customWidth="true" hidden="false" outlineLevel="0" max="36" min="36" style="32" width="6.55"/>
    <col collapsed="false" customWidth="true" hidden="false" outlineLevel="0" max="37" min="37" style="32" width="8.55"/>
    <col collapsed="false" customWidth="true" hidden="false" outlineLevel="0" max="39" min="38" style="32" width="9.56"/>
    <col collapsed="false" customWidth="true" hidden="false" outlineLevel="0" max="41" min="41" style="32" width="6.88"/>
    <col collapsed="false" customWidth="true" hidden="false" outlineLevel="0" max="42" min="42" style="32" width="9.56"/>
    <col collapsed="false" customWidth="true" hidden="false" outlineLevel="0" max="43" min="43" style="32" width="6.55"/>
    <col collapsed="false" customWidth="true" hidden="false" outlineLevel="0" max="44" min="44" style="0" width="6.55"/>
    <col collapsed="false" customWidth="true" hidden="false" outlineLevel="0" max="45" min="45" style="32" width="6.55"/>
    <col collapsed="false" customWidth="true" hidden="false" outlineLevel="0" max="46" min="46" style="32" width="8.55"/>
    <col collapsed="false" customWidth="true" hidden="false" outlineLevel="0" max="48" min="47" style="32" width="9.56"/>
  </cols>
  <sheetData>
    <row r="1" customFormat="false" ht="14.4" hidden="false" customHeight="false" outlineLevel="0" collapsed="false">
      <c r="A1" s="31" t="s">
        <v>52</v>
      </c>
    </row>
    <row r="2" customFormat="false" ht="15.6" hidden="false" customHeight="false" outlineLevel="0" collapsed="false">
      <c r="A2" s="33" t="s">
        <v>53</v>
      </c>
      <c r="B2" s="33" t="s">
        <v>54</v>
      </c>
      <c r="C2" s="33" t="s">
        <v>55</v>
      </c>
      <c r="D2" s="33" t="s">
        <v>56</v>
      </c>
      <c r="J2" s="34" t="s">
        <v>57</v>
      </c>
      <c r="K2" s="34" t="s">
        <v>58</v>
      </c>
      <c r="L2" s="34" t="s">
        <v>59</v>
      </c>
      <c r="M2" s="34" t="s">
        <v>60</v>
      </c>
      <c r="N2" s="34" t="s">
        <v>61</v>
      </c>
      <c r="O2" s="34" t="s">
        <v>62</v>
      </c>
      <c r="Q2" s="34" t="s">
        <v>57</v>
      </c>
      <c r="R2" s="34" t="s">
        <v>58</v>
      </c>
      <c r="S2" s="34" t="s">
        <v>63</v>
      </c>
      <c r="T2" s="34" t="s">
        <v>64</v>
      </c>
      <c r="U2" s="34" t="s">
        <v>59</v>
      </c>
      <c r="V2" s="34" t="s">
        <v>60</v>
      </c>
      <c r="W2" s="34" t="s">
        <v>61</v>
      </c>
      <c r="X2" s="34" t="s">
        <v>62</v>
      </c>
      <c r="Y2" s="34" t="s">
        <v>57</v>
      </c>
      <c r="Z2" s="34" t="s">
        <v>65</v>
      </c>
      <c r="AA2" s="34" t="s">
        <v>62</v>
      </c>
      <c r="AB2" s="34" t="s">
        <v>66</v>
      </c>
      <c r="AC2" s="35" t="s">
        <v>62</v>
      </c>
      <c r="AD2" s="35" t="s">
        <v>65</v>
      </c>
      <c r="AF2" s="34" t="s">
        <v>57</v>
      </c>
      <c r="AG2" s="34" t="s">
        <v>58</v>
      </c>
      <c r="AH2" s="34" t="s">
        <v>63</v>
      </c>
      <c r="AI2" s="34" t="s">
        <v>64</v>
      </c>
      <c r="AJ2" s="34" t="s">
        <v>59</v>
      </c>
      <c r="AK2" s="34" t="s">
        <v>60</v>
      </c>
      <c r="AL2" s="34" t="s">
        <v>61</v>
      </c>
      <c r="AM2" s="34" t="s">
        <v>62</v>
      </c>
      <c r="AO2" s="34" t="s">
        <v>57</v>
      </c>
      <c r="AP2" s="34" t="s">
        <v>58</v>
      </c>
      <c r="AQ2" s="34" t="s">
        <v>63</v>
      </c>
      <c r="AR2" s="34" t="s">
        <v>64</v>
      </c>
      <c r="AS2" s="34" t="s">
        <v>59</v>
      </c>
      <c r="AT2" s="34" t="s">
        <v>60</v>
      </c>
      <c r="AU2" s="34" t="s">
        <v>61</v>
      </c>
      <c r="AV2" s="34" t="s">
        <v>62</v>
      </c>
    </row>
    <row r="3" customFormat="false" ht="14.4" hidden="false" customHeight="false" outlineLevel="0" collapsed="false">
      <c r="E3" s="36" t="n">
        <f aca="false">SUM(E4:E74)</f>
        <v>1.01195936139887</v>
      </c>
      <c r="F3" s="37" t="n">
        <f aca="false">SUM(F4:F74)</f>
        <v>3.75965621915319</v>
      </c>
      <c r="G3" s="32" t="str">
        <f aca="false">IF(I5&lt;&gt;0,I5,I40)</f>
        <v>G2V</v>
      </c>
      <c r="H3" s="32"/>
      <c r="I3" s="32"/>
      <c r="AC3" s="32"/>
      <c r="AD3" s="32"/>
    </row>
    <row r="4" customFormat="false" ht="14.4" hidden="false" customHeight="false" outlineLevel="0" collapsed="false">
      <c r="A4" s="31" t="s">
        <v>67</v>
      </c>
      <c r="B4" s="38" t="n">
        <v>19.6</v>
      </c>
      <c r="C4" s="38" t="n">
        <v>4.82</v>
      </c>
      <c r="D4" s="38" t="n">
        <v>4.51188336097887</v>
      </c>
      <c r="E4" s="36"/>
      <c r="F4" s="39"/>
      <c r="G4" s="32"/>
      <c r="H4" s="32"/>
      <c r="I4" s="32"/>
      <c r="J4" s="37" t="n">
        <f aca="false">LOG(Sheet1!C15*1000)</f>
        <v>3.94517214252115</v>
      </c>
      <c r="K4" s="40" t="n">
        <f aca="false">10^J4</f>
        <v>8813.9816604</v>
      </c>
      <c r="L4" s="39" t="n">
        <f aca="false">Sheet1!C14</f>
        <v>5749.66561128741</v>
      </c>
      <c r="M4" s="39" t="n">
        <f aca="false">8314.4621*L4/(Sheet1!C$16*Sheet1!C$12*9.80665)</f>
        <v>135178.076100749</v>
      </c>
      <c r="N4" s="39" t="n">
        <v>0</v>
      </c>
      <c r="O4" s="39" t="n">
        <f aca="false">Sheet1!C$10*10/Sheet1!C$11*1000*N4/(Sheet1!C$10*10/Sheet1!C$11*1000-N4)</f>
        <v>0</v>
      </c>
      <c r="Q4" s="37" t="n">
        <v>8.5</v>
      </c>
      <c r="R4" s="40" t="n">
        <f aca="false">10^Q4</f>
        <v>316227766.016838</v>
      </c>
      <c r="S4" s="39" t="n">
        <f aca="false">U4-T4*((Sheet1!H$18-Sheet1!H$19)*COS(RADIANS(38))+Sheet1!H$19)/2</f>
        <v>1391.8937896246</v>
      </c>
      <c r="T4" s="37" t="n">
        <v>0</v>
      </c>
      <c r="U4" s="39" t="n">
        <f aca="false">1.825*LN((Sheet1!H10/Sheet1!H11)^2*Sheet1!H12)^3-62.1*LN((Sheet1!H10/Sheet1!H11)^2*Sheet1!H12)^2+739*LN((Sheet1!H10/Sheet1!H11)^2*Sheet1!H12)-2380</f>
        <v>1391.8937896246</v>
      </c>
      <c r="V4" s="39" t="n">
        <f aca="false">8314.4621*U4/(Sheet1!H$20*Sheet1!H$12*9.80665)</f>
        <v>276255.624187106</v>
      </c>
      <c r="W4" s="39" t="n">
        <v>0</v>
      </c>
      <c r="X4" s="39" t="n">
        <f aca="false">Sheet1!H$10*10/Sheet1!H$11*1000*W4/(Sheet1!H$10*10/Sheet1!H$11*1000-W4)</f>
        <v>0</v>
      </c>
      <c r="Y4" s="37" t="n">
        <f aca="false">IF(Q4&lt;LOG(Sheet1!H$17*101325),Q4,IF(Q14&lt;LOG(Sheet1!H$17*101325),LOG(Sheet1!H$17*101325),0))</f>
        <v>0</v>
      </c>
      <c r="Z4" s="39" t="n">
        <f aca="false">IF(Y4=LOG(Sheet1!H$17*101325),(LOG(Sheet1!H$17*101325)-Q14)/(Q4-Q14)*(S4-S14)+S14,IF(Y4=0,0,S4))</f>
        <v>0</v>
      </c>
      <c r="AA4" s="39" t="n">
        <f aca="false">IF(Y4=LOG(Sheet1!H$17*101325),(LOG(Sheet1!H$17*101325)-Q14)/(Q4-Q14)*(X4-X14)+X14,IF(Y4=0,0,X4))</f>
        <v>0</v>
      </c>
      <c r="AB4" s="32" t="n">
        <f aca="false">IF(Y4=0,0,1)</f>
        <v>0</v>
      </c>
      <c r="AC4" s="39" t="n">
        <f aca="false">IF(AB4=1,AA4,IF(AB14=1,AA14,IF(AB24=1,AA24,IF(AB34=1,AA34,IF(AB44=1,AA44,IF(AB54=1,AA54,IF(AB77=1,AA77,0)))))))+IF(AB90=1,AA90,IF(AB100=1,AA100,IF(AB125=1,AA125,IF(AB140=1,AA140,IF(AB155=1,AA155,IF(AB170=1,AA170,0))))))</f>
        <v>679241.53676573</v>
      </c>
      <c r="AD4" s="39" t="n">
        <f aca="false">IF(AB4=1,Z4,IF(AB14=1,Z14,IF(AB24=1,Z24,IF(AB34=1,Z34,IF(AB44=1,Z44,IF(AB54=1,Z54,IF(AB77=1,Z77,0)))))))+IF(AB90=1,Z90,IF(AB100=1,Z100,IF(AB125=1,Z125,IF(AB140=1,Z140,IF(AB155=1,Z155,IF(AB170=1,Z170,0))))))</f>
        <v>471.856347294849</v>
      </c>
      <c r="AF4" s="37" t="n">
        <f aca="false">LOG(Sheet1!M17*101325)</f>
        <v>4.85081465242799</v>
      </c>
      <c r="AG4" s="40" t="n">
        <f aca="false">10^AF4</f>
        <v>70927.4999999999</v>
      </c>
      <c r="AH4" s="39" t="n">
        <f aca="false">AJ4-AI4*((Sheet1!M$19-Sheet1!M$20)*COS(RADIANS(38))+Sheet1!M$20)/2</f>
        <v>249.584740010031</v>
      </c>
      <c r="AI4" s="37" t="n">
        <v>1</v>
      </c>
      <c r="AJ4" s="39" t="n">
        <f aca="false">Sheet1!M16+Sheet1!M18</f>
        <v>255.918799154868</v>
      </c>
      <c r="AK4" s="39" t="n">
        <f aca="false">8314.4621*AJ4/(Sheet1!M$21*Sheet1!M$12*9.80665)</f>
        <v>7525.95625638131</v>
      </c>
      <c r="AL4" s="39" t="n">
        <v>0</v>
      </c>
      <c r="AM4" s="39" t="n">
        <f aca="false">Sheet1!M$10*10/Sheet1!M$11*1000*AL4/(Sheet1!M$10*10/Sheet1!M$11*1000-AL4)</f>
        <v>0</v>
      </c>
      <c r="AO4" s="37" t="n">
        <f aca="false">LOG(Sheet1!R17*101325)</f>
        <v>3.85081465242799</v>
      </c>
      <c r="AP4" s="40" t="n">
        <f aca="false">10^AO4</f>
        <v>7092.74999999999</v>
      </c>
      <c r="AQ4" s="39" t="n">
        <f aca="false">AS4-AR4*((Sheet1!R$19-Sheet1!R$20)*COS(RADIANS(38))+Sheet1!R$20)/2</f>
        <v>329.401474269407</v>
      </c>
      <c r="AR4" s="37" t="n">
        <v>1</v>
      </c>
      <c r="AS4" s="39" t="n">
        <f aca="false">Sheet1!R16+Sheet1!R18-Sheet1!R23*(AS19-AS4)/((AV19-AV4)*Sheet1!R11^LOG(1.25)/1.25)</f>
        <v>368.511823761626</v>
      </c>
      <c r="AT4" s="39" t="n">
        <f aca="false">8314.4621*AS4/(Sheet1!R$22*Sheet1!R$12*9.80665)</f>
        <v>6519.0702481065</v>
      </c>
      <c r="AU4" s="39" t="n">
        <v>0</v>
      </c>
      <c r="AV4" s="39" t="n">
        <f aca="false">Sheet1!R$10*10/Sheet1!R$11*1000*AU4/(Sheet1!R$10*10/Sheet1!R$11*1000-AU4)</f>
        <v>0</v>
      </c>
    </row>
    <row r="5" customFormat="false" ht="14.4" hidden="false" customHeight="false" outlineLevel="0" collapsed="false">
      <c r="A5" s="31" t="s">
        <v>68</v>
      </c>
      <c r="B5" s="38" t="n">
        <v>18</v>
      </c>
      <c r="C5" s="38" t="n">
        <v>4.76</v>
      </c>
      <c r="D5" s="38" t="n">
        <v>4.50514997831991</v>
      </c>
      <c r="E5" s="36" t="n">
        <f aca="false">IF(LOG(Sheet1!C$13*(11-Sheet1!C$11)^2/3.828E+026)&gt;C5,IF(LOG(Sheet1!C$13*(11-Sheet1!C$11)^2/3.828E+026)&lt;C4,(LOG(Sheet1!C$13*(11-Sheet1!C$11)^2/3.828E+026)-C5)/(C4-C5)*(B4-B5)+B5,0),0)</f>
        <v>0</v>
      </c>
      <c r="F5" s="37" t="n">
        <f aca="false">IF(LOG(Sheet1!C$13*(11-Sheet1!C$11)^2/3.828E+026)&gt;C5,IF(LOG(Sheet1!C$13*(11-Sheet1!C$11)^2/3.828E+026)&lt;C4,(LOG(Sheet1!C$13*(11-Sheet1!C$11)^2/3.828E+026)-C5)/(C4-C5)*(D4-D5)+D5,0),0)</f>
        <v>0</v>
      </c>
      <c r="G5" s="32" t="n">
        <f aca="false">IF(F5&gt;0,IF(F5&gt;(D4+D5)/2,A4,A5),0)</f>
        <v>0</v>
      </c>
      <c r="H5" s="32" t="n">
        <f aca="false">IF(G5&lt;&gt;0,G5,IF(G6&lt;&gt;0,G6,IF(G7&lt;&gt;0,G7,IF(G8&lt;&gt;0,G8,IF(G9&lt;&gt;0,G9,IF(G10&lt;&gt;0,G10,IF(G11&lt;&gt;0,G11,0)))))))</f>
        <v>0</v>
      </c>
      <c r="I5" s="32" t="n">
        <f aca="false">IF(H5&lt;&gt;0,H5,IF(H12&lt;&gt;0,H12,IF(H19&lt;&gt;0,H19,IF(H26&lt;&gt;0,H26,IF(H33&lt;&gt;0,H33,)))))</f>
        <v>0</v>
      </c>
      <c r="J5" s="37" t="n">
        <f aca="false">J4+(J$10-J$4)/6</f>
        <v>3.86412330324943</v>
      </c>
      <c r="K5" s="40" t="n">
        <f aca="false">10^J5</f>
        <v>7313.46695202036</v>
      </c>
      <c r="L5" s="39" t="n">
        <f aca="false">(O5-O$4)/(O$10-O$4)*(L$10-L$4)+L$4</f>
        <v>5617.77289506123</v>
      </c>
      <c r="M5" s="39" t="n">
        <f aca="false">8314.4621*L5/(Sheet1!C$16*Sheet1!C$12*9.80665)</f>
        <v>132077.199486959</v>
      </c>
      <c r="N5" s="39" t="n">
        <f aca="false">N4-LN(K5/K4)*(M4+M5)/2</f>
        <v>24937.8368574935</v>
      </c>
      <c r="O5" s="39" t="n">
        <f aca="false">Sheet1!C$10*10/Sheet1!C$11*1000*N5/(Sheet1!C$10*10/Sheet1!C$11*1000-N5)</f>
        <v>24938.7218977355</v>
      </c>
      <c r="Q5" s="37" t="n">
        <f aca="false">Q4-0.1</f>
        <v>8.4</v>
      </c>
      <c r="R5" s="40" t="n">
        <f aca="false">10^Q5</f>
        <v>251188643.150958</v>
      </c>
      <c r="S5" s="39" t="n">
        <f aca="false">U5-T5*((Sheet1!H$18-Sheet1!H$19)*COS(RADIANS(38))+Sheet1!H$19)/2</f>
        <v>1306.19491044657</v>
      </c>
      <c r="T5" s="37" t="n">
        <v>0</v>
      </c>
      <c r="U5" s="39" t="n">
        <f aca="false">(X5-X$4)/(X$14-X$4)*(U$14-U$4)+U$4</f>
        <v>1306.19491044657</v>
      </c>
      <c r="V5" s="39" t="n">
        <f aca="false">8314.4621*U5/(Sheet1!H$20*Sheet1!H$12*9.80665)</f>
        <v>259246.56966302</v>
      </c>
      <c r="W5" s="39" t="n">
        <f aca="false">W4-LN(R5/R4)*(V4+V5)/2</f>
        <v>61651.9684412455</v>
      </c>
      <c r="X5" s="39" t="n">
        <f aca="false">Sheet1!H$10*10/Sheet1!H$11*1000*W5/(Sheet1!H$10*10/Sheet1!H$11*1000-W5)</f>
        <v>61716.1862488672</v>
      </c>
      <c r="Y5" s="37"/>
      <c r="Z5" s="39"/>
      <c r="AC5" s="39" t="n">
        <f aca="false">IF(AB4=2,AA4,IF(AB14=2,AA14,IF(AB24=2,AA24,IF(AB34=2,AA34,IF(AB44=2,AA44,IF(AB54=2,AA54,IF(AB77=2,AA77,0)))))))+IF(AB90=2,AA90,IF(AB100=2,AA100,IF(AB125=2,AA125,IF(AB140=2,AA140,IF(AB155=2,AA155,IF(AB170=2,AA170,0))))))</f>
        <v>732049.447489244</v>
      </c>
      <c r="AD5" s="39" t="n">
        <f aca="false">IF(AB4=2,Z4,IF(AB14=2,Z14,IF(AB24=2,Z24,IF(AB34=2,Z34,IF(AB44=2,Z44,IF(AB54=2,Z54,IF(AB77=2,Z77,0)))))))+IF(AB90=2,Z90,IF(AB100=2,Z100,IF(AB125=2,Z125,IF(AB140=2,Z140,IF(AB155=2,Z155,IF(AB170=2,Z170,0))))))</f>
        <v>404.486673296225</v>
      </c>
      <c r="AF5" s="37" t="n">
        <f aca="false">AF4+(AF$10-AF$4)/6</f>
        <v>4.77697071223053</v>
      </c>
      <c r="AG5" s="40" t="n">
        <f aca="false">10^AF5</f>
        <v>59837.1240990372</v>
      </c>
      <c r="AH5" s="39" t="n">
        <f aca="false">AJ5-AI5*((Sheet1!M$19-Sheet1!M$20)*COS(RADIANS(38))+Sheet1!M$20)/2</f>
        <v>242.095150791603</v>
      </c>
      <c r="AI5" s="37" t="n">
        <f aca="false">(AM5-AM$4)/(AM$13-AM$4)*(AI$13-AI$4)+AI$4</f>
        <v>0.832920488328635</v>
      </c>
      <c r="AJ5" s="39" t="n">
        <f aca="false">(AM5-AM$4)/(AM$10-AM$4)*(AJ$10-AJ$4)+AJ$4</f>
        <v>247.370918427623</v>
      </c>
      <c r="AK5" s="39" t="n">
        <f aca="false">8314.4621*AJ5/(Sheet1!M$21*Sheet1!M$12*9.80665)</f>
        <v>7274.58364659081</v>
      </c>
      <c r="AL5" s="39" t="n">
        <f aca="false">AL4-LN(AG5/AG4)*(AK4+AK5)/2</f>
        <v>1258.28237408816</v>
      </c>
      <c r="AM5" s="39" t="n">
        <f aca="false">Sheet1!M$10*10/Sheet1!M$11*1000*AL5/(Sheet1!M$10*10/Sheet1!M$11*1000-AL5)</f>
        <v>1258.53215150511</v>
      </c>
      <c r="AN5" s="41"/>
      <c r="AO5" s="37" t="n">
        <f aca="false">AO4+(AO$19-AO$4)/15</f>
        <v>3.77947045706228</v>
      </c>
      <c r="AP5" s="40" t="n">
        <f aca="false">10^AO5</f>
        <v>6018.25322262515</v>
      </c>
      <c r="AQ5" s="39" t="n">
        <f aca="false">AS5-AR5*((Sheet1!R$19-Sheet1!R$20)*COS(RADIANS(38))+Sheet1!R$20)/2</f>
        <v>323.76464875723</v>
      </c>
      <c r="AR5" s="37" t="n">
        <f aca="false">(AV5-AV$4)/(AV$31-AV$4)*(AR$31-AR$4)+AR$4</f>
        <v>0.954720177483261</v>
      </c>
      <c r="AS5" s="39" t="n">
        <f aca="false">(AV5-AV$4)/(AV$19-AV$4)*(AS$19-AS$4)+AS$4</f>
        <v>361.104088565873</v>
      </c>
      <c r="AT5" s="39" t="n">
        <f aca="false">8314.4621*AS5/(Sheet1!R$22*Sheet1!R$12*9.80665)</f>
        <v>6388.02548100095</v>
      </c>
      <c r="AU5" s="39" t="n">
        <f aca="false">AU4-LN(AP5/AP4)*(AT4+AT5)/2</f>
        <v>1060.16350944135</v>
      </c>
      <c r="AV5" s="39" t="n">
        <f aca="false">Sheet1!R$10*10/Sheet1!R$11*1000*AU5/(Sheet1!R$10*10/Sheet1!R$11*1000-AU5)</f>
        <v>1060.32737538763</v>
      </c>
    </row>
    <row r="6" customFormat="false" ht="14.4" hidden="false" customHeight="false" outlineLevel="0" collapsed="false">
      <c r="A6" s="31" t="s">
        <v>69</v>
      </c>
      <c r="B6" s="38" t="n">
        <v>17.5</v>
      </c>
      <c r="C6" s="38" t="n">
        <v>4.65</v>
      </c>
      <c r="D6" s="38" t="n">
        <v>4.4983105537896</v>
      </c>
      <c r="E6" s="36" t="n">
        <f aca="false">IF(LOG(Sheet1!C$13*(11-Sheet1!C$11)^2/3.828E+026)&gt;C6,IF(LOG(Sheet1!C$13*(11-Sheet1!C$11)^2/3.828E+026)&lt;C5,(LOG(Sheet1!C$13*(11-Sheet1!C$11)^2/3.828E+026)-C6)/(C5-C6)*(B5-B6)+B6,0),0)</f>
        <v>0</v>
      </c>
      <c r="F6" s="37" t="n">
        <f aca="false">IF(LOG(Sheet1!C$13*(11-Sheet1!C$11)^2/3.828E+026)&gt;C6,IF(LOG(Sheet1!C$13*(11-Sheet1!C$11)^2/3.828E+026)&lt;C5,(LOG(Sheet1!C$13*(11-Sheet1!C$11)^2/3.828E+026)-C6)/(C5-C6)*(D5-D6)+D6,0),0)</f>
        <v>0</v>
      </c>
      <c r="G6" s="32" t="n">
        <f aca="false">IF(F6&gt;0,IF(F6&gt;(D5+D6)/2,A5,A6),0)</f>
        <v>0</v>
      </c>
      <c r="H6" s="32"/>
      <c r="I6" s="32"/>
      <c r="J6" s="37" t="n">
        <f aca="false">J5+(J$10-J$4)/6</f>
        <v>3.78307446397772</v>
      </c>
      <c r="K6" s="40" t="n">
        <f aca="false">10^J6</f>
        <v>6068.40369303272</v>
      </c>
      <c r="L6" s="39" t="n">
        <f aca="false">(O6-O$4)/(O$10-O$4)*(L$10-L$4)+L$4</f>
        <v>5488.89675329349</v>
      </c>
      <c r="M6" s="39" t="n">
        <f aca="false">8314.4621*L6/(Sheet1!C$16*Sheet1!C$12*9.80665)</f>
        <v>129047.24434222</v>
      </c>
      <c r="N6" s="39" t="n">
        <f aca="false">N5-LN(K6/K5)*(M5+M6)/2</f>
        <v>49303.6001353027</v>
      </c>
      <c r="O6" s="39" t="n">
        <f aca="false">Sheet1!C$10*10/Sheet1!C$11*1000*N6/(Sheet1!C$10*10/Sheet1!C$11*1000-N6)</f>
        <v>49307.0596707428</v>
      </c>
      <c r="Q6" s="37" t="n">
        <f aca="false">Q5-0.1</f>
        <v>8.3</v>
      </c>
      <c r="R6" s="40" t="n">
        <f aca="false">10^Q6</f>
        <v>199526231.496888</v>
      </c>
      <c r="S6" s="39" t="n">
        <f aca="false">U6-T6*((Sheet1!H$18-Sheet1!H$19)*COS(RADIANS(38))+Sheet1!H$19)/2</f>
        <v>1225.61504633741</v>
      </c>
      <c r="T6" s="37" t="n">
        <v>0</v>
      </c>
      <c r="U6" s="39" t="n">
        <f aca="false">(X6-X$4)/(X$14-X$4)*(U$14-U$4)+U$4</f>
        <v>1225.61504633741</v>
      </c>
      <c r="V6" s="39" t="n">
        <f aca="false">8314.4621*U6/(Sheet1!H$20*Sheet1!H$12*9.80665)</f>
        <v>243253.509831644</v>
      </c>
      <c r="W6" s="39" t="n">
        <f aca="false">W5-LN(R6/R5)*(V5+V6)/2</f>
        <v>119504.428054882</v>
      </c>
      <c r="X6" s="39" t="n">
        <f aca="false">Sheet1!H$10*10/Sheet1!H$11*1000*W6/(Sheet1!H$10*10/Sheet1!H$11*1000-W6)</f>
        <v>119745.948707303</v>
      </c>
      <c r="Y6" s="37"/>
      <c r="Z6" s="39"/>
      <c r="AC6" s="39" t="n">
        <f aca="false">IF(AB4=3,AA4,IF(AB14=3,AA14,IF(AB24=3,AA24,IF(AB34=3,AA34,IF(AB44=3,AA44,IF(AB54=3,AA54,IF(AB77=3,AA77,0)))))))+IF(AB90=3,AA90,IF(AB100=3,AA100,IF(AB125=3,AA125,IF(AB140=3,AA140,IF(AB155=3,AA155,IF(AB170=3,AA170,0))))))</f>
        <v>876931.641269614</v>
      </c>
      <c r="AD6" s="39" t="n">
        <f aca="false">IF(AB4=3,Z4,IF(AB14=3,Z14,IF(AB24=3,Z24,IF(AB34=3,Z34,IF(AB44=3,Z44,IF(AB54=3,Z54,IF(AB77=3,Z77,0)))))))+IF(AB90=3,Z90,IF(AB100=3,Z100,IF(AB125=3,Z125,IF(AB140=3,Z140,IF(AB155=3,Z155,IF(AB170=3,Z170,0))))))</f>
        <v>228.947630393403</v>
      </c>
      <c r="AF6" s="37" t="n">
        <f aca="false">AF5+(AF$10-AF$4)/6</f>
        <v>4.70312677203306</v>
      </c>
      <c r="AG6" s="40" t="n">
        <f aca="false">10^AF6</f>
        <v>50480.8631411454</v>
      </c>
      <c r="AH6" s="39" t="n">
        <f aca="false">AJ6-AI6*((Sheet1!M$19-Sheet1!M$20)*COS(RADIANS(38))+Sheet1!M$20)/2</f>
        <v>234.852940476453</v>
      </c>
      <c r="AI6" s="37" t="n">
        <f aca="false">(AM6-AM$4)/(AM$13-AM$4)*(AI$13-AI$4)+AI$4</f>
        <v>0.671359553260379</v>
      </c>
      <c r="AJ6" s="39" t="n">
        <f aca="false">(AM6-AM$4)/(AM$10-AM$4)*(AJ$10-AJ$4)+AJ$4</f>
        <v>239.105371594255</v>
      </c>
      <c r="AK6" s="39" t="n">
        <f aca="false">8314.4621*AJ6/(Sheet1!M$21*Sheet1!M$12*9.80665)</f>
        <v>7031.5137974495</v>
      </c>
      <c r="AL6" s="39" t="n">
        <f aca="false">AL5-LN(AG6/AG5)*(AK5+AK6)/2</f>
        <v>2474.5292389886</v>
      </c>
      <c r="AM6" s="39" t="n">
        <f aca="false">Sheet1!M$10*10/Sheet1!M$11*1000*AL6/(Sheet1!M$10*10/Sheet1!M$11*1000-AL6)</f>
        <v>2475.49543549272</v>
      </c>
      <c r="AN6" s="41"/>
      <c r="AO6" s="37" t="n">
        <f aca="false">AO5+(AO$19-AO$4)/15</f>
        <v>3.70812626169657</v>
      </c>
      <c r="AP6" s="40" t="n">
        <f aca="false">10^AO6</f>
        <v>5106.53439803152</v>
      </c>
      <c r="AQ6" s="39" t="n">
        <f aca="false">AS6-AR6*((Sheet1!R$19-Sheet1!R$20)*COS(RADIANS(38))+Sheet1!R$20)/2</f>
        <v>318.239467583884</v>
      </c>
      <c r="AR6" s="37" t="n">
        <f aca="false">(AV6-AV$4)/(AV$31-AV$4)*(AR$31-AR$4)+AR$4</f>
        <v>0.910337112768174</v>
      </c>
      <c r="AS6" s="39" t="n">
        <f aca="false">(AV6-AV$4)/(AV$19-AV$4)*(AS$19-AS$4)+AS$4</f>
        <v>353.843070219985</v>
      </c>
      <c r="AT6" s="39" t="n">
        <f aca="false">8314.4621*AS6/(Sheet1!R$22*Sheet1!R$12*9.80665)</f>
        <v>6259.57617322445</v>
      </c>
      <c r="AU6" s="39" t="n">
        <f aca="false">AU5-LN(AP6/AP5)*(AT5+AT6)/2</f>
        <v>2099.01273040121</v>
      </c>
      <c r="AV6" s="39" t="n">
        <f aca="false">Sheet1!R$10*10/Sheet1!R$11*1000*AU6/(Sheet1!R$10*10/Sheet1!R$11*1000-AU6)</f>
        <v>2099.6551798111</v>
      </c>
    </row>
    <row r="7" customFormat="false" ht="14.4" hidden="false" customHeight="false" outlineLevel="0" collapsed="false">
      <c r="A7" s="31" t="s">
        <v>70</v>
      </c>
      <c r="B7" s="38" t="n">
        <v>15</v>
      </c>
      <c r="C7" s="38" t="n">
        <v>4.47</v>
      </c>
      <c r="D7" s="38" t="n">
        <v>4.46239799789896</v>
      </c>
      <c r="E7" s="36" t="n">
        <f aca="false">IF(LOG(Sheet1!C$13*(11-Sheet1!C$11)^2/3.828E+026)&gt;C7,IF(LOG(Sheet1!C$13*(11-Sheet1!C$11)^2/3.828E+026)&lt;C6,(LOG(Sheet1!C$13*(11-Sheet1!C$11)^2/3.828E+026)-C7)/(C6-C7)*(B6-B7)+B7,0),0)</f>
        <v>0</v>
      </c>
      <c r="F7" s="37" t="n">
        <f aca="false">IF(LOG(Sheet1!C$13*(11-Sheet1!C$11)^2/3.828E+026)&gt;C7,IF(LOG(Sheet1!C$13*(11-Sheet1!C$11)^2/3.828E+026)&lt;C6,(LOG(Sheet1!C$13*(11-Sheet1!C$11)^2/3.828E+026)-C7)/(C6-C7)*(D6-D7)+D7,0),0)</f>
        <v>0</v>
      </c>
      <c r="G7" s="32" t="n">
        <f aca="false">IF(F7&gt;0,IF(F7&gt;(D6+D7)/2,A6,A7),0)</f>
        <v>0</v>
      </c>
      <c r="H7" s="32"/>
      <c r="I7" s="32"/>
      <c r="J7" s="37" t="n">
        <f aca="false">J6+(J$10-J$4)/6</f>
        <v>3.702025624706</v>
      </c>
      <c r="K7" s="40" t="n">
        <f aca="false">10^J7</f>
        <v>5035.30317744036</v>
      </c>
      <c r="L7" s="39" t="n">
        <f aca="false">(O7-O$4)/(O$10-O$4)*(L$10-L$4)+L$4</f>
        <v>5362.96859778554</v>
      </c>
      <c r="M7" s="39" t="n">
        <f aca="false">8314.4621*L7/(Sheet1!C$16*Sheet1!C$12*9.80665)</f>
        <v>126086.598116974</v>
      </c>
      <c r="N7" s="39" t="n">
        <f aca="false">N6-LN(K7/K6)*(M6+M7)/2</f>
        <v>73110.3748606337</v>
      </c>
      <c r="O7" s="39" t="n">
        <f aca="false">Sheet1!C$10*10/Sheet1!C$11*1000*N7/(Sheet1!C$10*10/Sheet1!C$11*1000-N7)</f>
        <v>73117.9822081336</v>
      </c>
      <c r="Q7" s="37" t="n">
        <f aca="false">Q6-0.1</f>
        <v>8.2</v>
      </c>
      <c r="R7" s="40" t="n">
        <f aca="false">10^Q7</f>
        <v>158489319.246112</v>
      </c>
      <c r="S7" s="39" t="n">
        <f aca="false">U7-T7*((Sheet1!H$18-Sheet1!H$19)*COS(RADIANS(38))+Sheet1!H$19)/2</f>
        <v>1149.86709278375</v>
      </c>
      <c r="T7" s="37" t="n">
        <v>0</v>
      </c>
      <c r="U7" s="39" t="n">
        <f aca="false">(X7-X$4)/(X$14-X$4)*(U$14-U$4)+U$4</f>
        <v>1149.86709278375</v>
      </c>
      <c r="V7" s="39" t="n">
        <f aca="false">8314.4621*U7/(Sheet1!H$20*Sheet1!H$12*9.80665)</f>
        <v>228219.461726935</v>
      </c>
      <c r="W7" s="39" t="n">
        <f aca="false">W6-LN(R7/R6)*(V6+V7)/2</f>
        <v>173784.759857901</v>
      </c>
      <c r="X7" s="39" t="n">
        <f aca="false">Sheet1!H$10*10/Sheet1!H$11*1000*W7/(Sheet1!H$10*10/Sheet1!H$11*1000-W7)</f>
        <v>174295.980647348</v>
      </c>
      <c r="Y7" s="37"/>
      <c r="Z7" s="39"/>
      <c r="AC7" s="39" t="n">
        <f aca="false">IF(AB4=4,AA4,IF(AB14=4,AA14,IF(AB24=4,AA24,IF(AB34=4,AA34,IF(AB44=4,AA44,IF(AB54=4,AA54,IF(AB77=4,AA77,0)))))))+IF(AB90=4,AA90,IF(AB100=4,AA100,IF(AB125=4,AA125,IF(AB140=4,AA140,IF(AB155=4,AA155,IF(AB170=4,AA170,0))))))</f>
        <v>962518.426396503</v>
      </c>
      <c r="AD7" s="39" t="n">
        <f aca="false">IF(AB4=4,Z4,IF(AB14=4,Z14,IF(AB24=4,Z24,IF(AB34=4,Z34,IF(AB44=4,Z44,IF(AB54=4,Z54,IF(AB77=4,Z77,0)))))))+IF(AB90=4,Z90,IF(AB100=4,Z100,IF(AB125=4,Z125,IF(AB140=4,Z140,IF(AB155=4,Z155,IF(AB170=4,Z170,0))))))</f>
        <v>141.178108941992</v>
      </c>
      <c r="AF7" s="37" t="n">
        <f aca="false">AF6+(AF$10-AF$4)/6</f>
        <v>4.6292828318356</v>
      </c>
      <c r="AG7" s="40" t="n">
        <f aca="false">10^AF7</f>
        <v>42587.567197536</v>
      </c>
      <c r="AH7" s="39" t="n">
        <f aca="false">AJ7-AI7*((Sheet1!M$19-Sheet1!M$20)*COS(RADIANS(38))+Sheet1!M$20)/2</f>
        <v>227.850120134529</v>
      </c>
      <c r="AI7" s="37" t="n">
        <f aca="false">(AM7-AM$4)/(AM$13-AM$4)*(AI$13-AI$4)+AI$4</f>
        <v>0.515138983535586</v>
      </c>
      <c r="AJ7" s="39" t="n">
        <f aca="false">(AM7-AM$4)/(AM$10-AM$4)*(AJ$10-AJ$4)+AJ$4</f>
        <v>231.113040924055</v>
      </c>
      <c r="AK7" s="39" t="n">
        <f aca="false">8314.4621*AJ7/(Sheet1!M$21*Sheet1!M$12*9.80665)</f>
        <v>6796.47857843042</v>
      </c>
      <c r="AL7" s="39" t="n">
        <f aca="false">AL6-LN(AG7/AG6)*(AK6+AK7)/2</f>
        <v>3650.12953395495</v>
      </c>
      <c r="AM7" s="39" t="n">
        <f aca="false">Sheet1!M$10*10/Sheet1!M$11*1000*AL7/(Sheet1!M$10*10/Sheet1!M$11*1000-AL7)</f>
        <v>3652.23223438769</v>
      </c>
      <c r="AN7" s="41"/>
      <c r="AO7" s="37" t="n">
        <f aca="false">AO6+(AO$19-AO$4)/15</f>
        <v>3.63678206633087</v>
      </c>
      <c r="AP7" s="40" t="n">
        <f aca="false">10^AO7</f>
        <v>4332.93392512064</v>
      </c>
      <c r="AQ7" s="39" t="n">
        <f aca="false">AS7-AR7*((Sheet1!R$19-Sheet1!R$20)*COS(RADIANS(38))+Sheet1!R$20)/2</f>
        <v>312.823777930431</v>
      </c>
      <c r="AR7" s="37" t="n">
        <f aca="false">(AV7-AV$4)/(AV$31-AV$4)*(AR$31-AR$4)+AR$4</f>
        <v>0.866833579250462</v>
      </c>
      <c r="AS7" s="39" t="n">
        <f aca="false">(AV7-AV$4)/(AV$19-AV$4)*(AS$19-AS$4)+AS$4</f>
        <v>346.725942166507</v>
      </c>
      <c r="AT7" s="39" t="n">
        <f aca="false">8314.4621*AS7/(Sheet1!R$22*Sheet1!R$12*9.80665)</f>
        <v>6133.67232223865</v>
      </c>
      <c r="AU7" s="39" t="n">
        <f aca="false">AU6-LN(AP7/AP6)*(AT6+AT7)/2</f>
        <v>3116.9699147307</v>
      </c>
      <c r="AV7" s="39" t="n">
        <f aca="false">Sheet1!R$10*10/Sheet1!R$11*1000*AU7/(Sheet1!R$10*10/Sheet1!R$11*1000-AU7)</f>
        <v>3118.38681238036</v>
      </c>
    </row>
    <row r="8" customFormat="false" ht="14.4" hidden="false" customHeight="false" outlineLevel="0" collapsed="false">
      <c r="A8" s="31" t="s">
        <v>71</v>
      </c>
      <c r="B8" s="38" t="n">
        <v>11</v>
      </c>
      <c r="C8" s="38" t="n">
        <v>4.13</v>
      </c>
      <c r="D8" s="38" t="n">
        <v>4.41497334797082</v>
      </c>
      <c r="E8" s="36" t="n">
        <f aca="false">IF(LOG(Sheet1!C$13*(11-Sheet1!C$11)^2/3.828E+026)&gt;C8,IF(LOG(Sheet1!C$13*(11-Sheet1!C$11)^2/3.828E+026)&lt;C7,(LOG(Sheet1!C$13*(11-Sheet1!C$11)^2/3.828E+026)-C8)/(C7-C8)*(B7-B8)+B8,0),0)</f>
        <v>0</v>
      </c>
      <c r="F8" s="37" t="n">
        <f aca="false">IF(LOG(Sheet1!C$13*(11-Sheet1!C$11)^2/3.828E+026)&gt;C8,IF(LOG(Sheet1!C$13*(11-Sheet1!C$11)^2/3.828E+026)&lt;C7,(LOG(Sheet1!C$13*(11-Sheet1!C$11)^2/3.828E+026)-C8)/(C7-C8)*(D7-D8)+D8,0),0)</f>
        <v>0</v>
      </c>
      <c r="G8" s="32" t="n">
        <f aca="false">IF(F8&gt;0,IF(F8&gt;(D7+D8)/2,A7,A8),0)</f>
        <v>0</v>
      </c>
      <c r="H8" s="32"/>
      <c r="I8" s="32"/>
      <c r="J8" s="37" t="n">
        <f aca="false">J7+(J$10-J$4)/6</f>
        <v>3.62097678543429</v>
      </c>
      <c r="K8" s="40" t="n">
        <f aca="false">10^J8</f>
        <v>4178.08032742627</v>
      </c>
      <c r="L8" s="39" t="n">
        <f aca="false">(O8-O$4)/(O$10-O$4)*(L$10-L$4)+L$4</f>
        <v>5239.92138147576</v>
      </c>
      <c r="M8" s="39" t="n">
        <f aca="false">8314.4621*L8/(Sheet1!C$16*Sheet1!C$12*9.80665)</f>
        <v>123193.684494719</v>
      </c>
      <c r="N8" s="39" t="n">
        <f aca="false">N7-LN(K8/K7)*(M7+M8)/2</f>
        <v>96370.9485046519</v>
      </c>
      <c r="O8" s="39" t="n">
        <f aca="false">Sheet1!C$10*10/Sheet1!C$11*1000*N8/(Sheet1!C$10*10/Sheet1!C$11*1000-N8)</f>
        <v>96384.1669956068</v>
      </c>
      <c r="Q8" s="37" t="n">
        <f aca="false">Q7-0.1</f>
        <v>8.1</v>
      </c>
      <c r="R8" s="40" t="n">
        <f aca="false">10^Q8</f>
        <v>125892541.179417</v>
      </c>
      <c r="S8" s="39" t="n">
        <f aca="false">U8-T8*((Sheet1!H$18-Sheet1!H$19)*COS(RADIANS(38))+Sheet1!H$19)/2</f>
        <v>1078.67792604698</v>
      </c>
      <c r="T8" s="37" t="n">
        <v>0</v>
      </c>
      <c r="U8" s="39" t="n">
        <f aca="false">(X8-X$4)/(X$14-X$4)*(U$14-U$4)+U$4</f>
        <v>1078.67792604698</v>
      </c>
      <c r="V8" s="39" t="n">
        <f aca="false">8314.4621*U8/(Sheet1!H$20*Sheet1!H$12*9.80665)</f>
        <v>214090.217212143</v>
      </c>
      <c r="W8" s="39" t="n">
        <f aca="false">W7-LN(R8/R7)*(V7+V8)/2</f>
        <v>224707.543518506</v>
      </c>
      <c r="X8" s="39" t="n">
        <f aca="false">Sheet1!H$10*10/Sheet1!H$11*1000*W8/(Sheet1!H$10*10/Sheet1!H$11*1000-W8)</f>
        <v>225562.994146153</v>
      </c>
      <c r="Y8" s="37"/>
      <c r="Z8" s="39"/>
      <c r="AC8" s="39" t="n">
        <f aca="false">IF(AB4=5,AA4,IF(AB14=5,AA14,IF(AB24=5,AA24,IF(AB34=5,AA34,IF(AB44=5,AA44,IF(AB54=5,AA54,IF(AB77=5,AA77,0)))))))+IF(AB90=5,AA90,IF(AB100=5,AA100,IF(AB125=5,AA125,IF(AB140=5,AA140,IF(AB155=5,AA155,IF(AB170=5,AA170,0))))))</f>
        <v>1029224.55667517</v>
      </c>
      <c r="AD8" s="39" t="n">
        <f aca="false">IF(AB4=5,Z4,IF(AB14=5,Z14,IF(AB24=5,Z24,IF(AB34=5,Z34,IF(AB44=5,Z44,IF(AB54=5,Z54,IF(AB77=5,Z77,0)))))))+IF(AB90=5,Z90,IF(AB100=5,Z100,IF(AB125=5,Z125,IF(AB140=5,Z140,IF(AB155=5,Z155,IF(AB170=5,Z170,0))))))</f>
        <v>138.602087434779</v>
      </c>
      <c r="AF8" s="37" t="n">
        <f aca="false">AF7+(AF$10-AF$4)/6</f>
        <v>4.55543889163814</v>
      </c>
      <c r="AG8" s="40" t="n">
        <f aca="false">10^AF8</f>
        <v>35928.4839233732</v>
      </c>
      <c r="AH8" s="39" t="n">
        <f aca="false">AJ8-AI8*((Sheet1!M$19-Sheet1!M$20)*COS(RADIANS(38))+Sheet1!M$20)/2</f>
        <v>221.078946896707</v>
      </c>
      <c r="AI8" s="37" t="n">
        <f aca="false">(AM8-AM$4)/(AM$13-AM$4)*(AI$13-AI$4)+AI$4</f>
        <v>0.364086056638226</v>
      </c>
      <c r="AJ8" s="39" t="n">
        <f aca="false">(AM8-AM$4)/(AM$10-AM$4)*(AJ$10-AJ$4)+AJ$4</f>
        <v>223.385089513264</v>
      </c>
      <c r="AK8" s="39" t="n">
        <f aca="false">8314.4621*AJ8/(Sheet1!M$21*Sheet1!M$12*9.80665)</f>
        <v>6569.21811745171</v>
      </c>
      <c r="AL8" s="39" t="n">
        <f aca="false">AL7-LN(AG8/AG7)*(AK7+AK8)/2</f>
        <v>4786.42730958269</v>
      </c>
      <c r="AM8" s="39" t="n">
        <f aca="false">Sheet1!M$10*10/Sheet1!M$11*1000*AL8/(Sheet1!M$10*10/Sheet1!M$11*1000-AL8)</f>
        <v>4790.0435864654</v>
      </c>
      <c r="AN8" s="41"/>
      <c r="AO8" s="37" t="n">
        <f aca="false">AO7+(AO$19-AO$4)/15</f>
        <v>3.56543787096516</v>
      </c>
      <c r="AP8" s="40" t="n">
        <f aca="false">10^AO8</f>
        <v>3676.52794166989</v>
      </c>
      <c r="AQ8" s="39" t="n">
        <f aca="false">AS8-AR8*((Sheet1!R$19-Sheet1!R$20)*COS(RADIANS(38))+Sheet1!R$20)/2</f>
        <v>307.515473845827</v>
      </c>
      <c r="AR8" s="37" t="n">
        <f aca="false">(AV8-AV$4)/(AV$31-AV$4)*(AR$31-AR$4)+AR$4</f>
        <v>0.82419266009818</v>
      </c>
      <c r="AS8" s="39" t="n">
        <f aca="false">(AV8-AV$4)/(AV$19-AV$4)*(AS$19-AS$4)+AS$4</f>
        <v>339.749936831188</v>
      </c>
      <c r="AT8" s="39" t="n">
        <f aca="false">8314.4621*AS8/(Sheet1!R$22*Sheet1!R$12*9.80665)</f>
        <v>6010.26496893341</v>
      </c>
      <c r="AU8" s="39" t="n">
        <f aca="false">AU7-LN(AP8/AP7)*(AT7+AT8)/2</f>
        <v>4114.44919783771</v>
      </c>
      <c r="AV8" s="39" t="n">
        <f aca="false">Sheet1!R$10*10/Sheet1!R$11*1000*AU8/(Sheet1!R$10*10/Sheet1!R$11*1000-AU8)</f>
        <v>4116.91841819971</v>
      </c>
    </row>
    <row r="9" customFormat="false" ht="14.4" hidden="false" customHeight="false" outlineLevel="0" collapsed="false">
      <c r="A9" s="31" t="s">
        <v>72</v>
      </c>
      <c r="B9" s="38" t="n">
        <v>10</v>
      </c>
      <c r="C9" s="38" t="n">
        <v>3.89</v>
      </c>
      <c r="D9" s="38" t="n">
        <v>4.38916608436453</v>
      </c>
      <c r="E9" s="36" t="n">
        <f aca="false">IF(LOG(Sheet1!C$13*(11-Sheet1!C$11)^2/3.828E+026)&gt;C9,IF(LOG(Sheet1!C$13*(11-Sheet1!C$11)^2/3.828E+026)&lt;C8,(LOG(Sheet1!C$13*(11-Sheet1!C$11)^2/3.828E+026)-C9)/(C8-C9)*(B8-B9)+B9,0),0)</f>
        <v>0</v>
      </c>
      <c r="F9" s="37" t="n">
        <f aca="false">IF(LOG(Sheet1!C$13*(11-Sheet1!C$11)^2/3.828E+026)&gt;C9,IF(LOG(Sheet1!C$13*(11-Sheet1!C$11)^2/3.828E+026)&lt;C8,(LOG(Sheet1!C$13*(11-Sheet1!C$11)^2/3.828E+026)-C9)/(C8-C9)*(D8-D9)+D9,0),0)</f>
        <v>0</v>
      </c>
      <c r="G9" s="32" t="n">
        <f aca="false">IF(F9&gt;0,IF(F9&gt;(D8+D9)/2,A8,A9),0)</f>
        <v>0</v>
      </c>
      <c r="H9" s="32"/>
      <c r="I9" s="32"/>
      <c r="J9" s="37" t="n">
        <f aca="false">J8+(J$10-J$4)/6</f>
        <v>3.53992794616257</v>
      </c>
      <c r="K9" s="40" t="n">
        <f aca="false">10^J9</f>
        <v>3466.79328081694</v>
      </c>
      <c r="L9" s="39" t="n">
        <f aca="false">(O9-O$4)/(O$10-O$4)*(L$10-L$4)+L$4</f>
        <v>5119.68956464416</v>
      </c>
      <c r="M9" s="39" t="n">
        <f aca="false">8314.4621*L9/(Sheet1!C$16*Sheet1!C$12*9.80665)</f>
        <v>120366.962597451</v>
      </c>
      <c r="N9" s="39" t="n">
        <f aca="false">N8-LN(K9/K8)*(M8+M9)/2</f>
        <v>119097.817670221</v>
      </c>
      <c r="O9" s="39" t="n">
        <f aca="false">Sheet1!C$10*10/Sheet1!C$11*1000*N9/(Sheet1!C$10*10/Sheet1!C$11*1000-N9)</f>
        <v>119118.006505599</v>
      </c>
      <c r="Q9" s="37" t="n">
        <f aca="false">Q8-0.1</f>
        <v>8</v>
      </c>
      <c r="R9" s="40" t="n">
        <f aca="false">10^Q9</f>
        <v>100000000</v>
      </c>
      <c r="S9" s="39" t="n">
        <f aca="false">U9-T9*((Sheet1!H$18-Sheet1!H$19)*COS(RADIANS(38))+Sheet1!H$19)/2</f>
        <v>1011.78789821957</v>
      </c>
      <c r="T9" s="37" t="n">
        <v>0</v>
      </c>
      <c r="U9" s="39" t="n">
        <f aca="false">(X9-X$4)/(X$14-X$4)*(U$14-U$4)+U$4</f>
        <v>1011.78789821957</v>
      </c>
      <c r="V9" s="39" t="n">
        <f aca="false">8314.4621*U9/(Sheet1!H$20*Sheet1!H$12*9.80665)</f>
        <v>200814.242761292</v>
      </c>
      <c r="W9" s="39" t="n">
        <f aca="false">W8-LN(R9/R8)*(V8+V9)/2</f>
        <v>272475.184746086</v>
      </c>
      <c r="X9" s="39" t="n">
        <f aca="false">Sheet1!H$10*10/Sheet1!H$11*1000*W9/(Sheet1!H$10*10/Sheet1!H$11*1000-W9)</f>
        <v>273734.009169248</v>
      </c>
      <c r="Y9" s="37"/>
      <c r="Z9" s="39"/>
      <c r="AC9" s="39" t="n">
        <f aca="false">IF(AB4=6,AA4,IF(AB14=6,AA14,IF(AB24=6,AA24,IF(AB34=6,AA34,IF(AB44=6,AA44,IF(AB54=6,AA54,IF(AB77=6,AA77,0)))))))+IF(AB90=6,AA90,IF(AB100=6,AA100,IF(AB125=6,AA125,IF(AB140=6,AA140,IF(AB155=6,AA155,IF(AB170=6,AA170,0))))))</f>
        <v>1219635.27268739</v>
      </c>
      <c r="AD9" s="39" t="n">
        <f aca="false">IF(AB4=6,Z4,IF(AB14=6,Z14,IF(AB24=6,Z24,IF(AB34=6,Z34,IF(AB44=6,Z44,IF(AB54=6,Z54,IF(AB77=6,Z77,0)))))))+IF(AB90=6,Z90,IF(AB100=6,Z100,IF(AB125=6,Z125,IF(AB140=6,Z140,IF(AB155=6,Z155,IF(AB170=6,Z170,0))))))</f>
        <v>217.914030335946</v>
      </c>
      <c r="AF9" s="37" t="n">
        <f aca="false">AF8+(AF$10-AF$4)/6</f>
        <v>4.48159495144068</v>
      </c>
      <c r="AG9" s="40" t="n">
        <f aca="false">10^AF9</f>
        <v>30310.6291806866</v>
      </c>
      <c r="AH9" s="39" t="n">
        <f aca="false">AJ9-AI9*((Sheet1!M$19-Sheet1!M$20)*COS(RADIANS(38))+Sheet1!M$20)/2</f>
        <v>214.531917160932</v>
      </c>
      <c r="AI9" s="37" t="n">
        <f aca="false">(AM9-AM$4)/(AM$13-AM$4)*(AI$13-AI$4)+AI$4</f>
        <v>0.218033387299682</v>
      </c>
      <c r="AJ9" s="39" t="n">
        <f aca="false">(AM9-AM$4)/(AM$10-AM$4)*(AJ$10-AJ$4)+AJ$4</f>
        <v>215.912953531637</v>
      </c>
      <c r="AK9" s="39" t="n">
        <f aca="false">8314.4621*AJ9/(Sheet1!M$21*Sheet1!M$12*9.80665)</f>
        <v>6349.48057286662</v>
      </c>
      <c r="AL9" s="39" t="n">
        <f aca="false">AL8-LN(AG9/AG8)*(AK8+AK9)/2</f>
        <v>5884.72311262426</v>
      </c>
      <c r="AM9" s="39" t="n">
        <f aca="false">Sheet1!M$10*10/Sheet1!M$11*1000*AL9/(Sheet1!M$10*10/Sheet1!M$11*1000-AL9)</f>
        <v>5890.19032700203</v>
      </c>
      <c r="AN9" s="41"/>
      <c r="AO9" s="37" t="n">
        <f aca="false">AO8+(AO$19-AO$4)/15</f>
        <v>3.49409367559945</v>
      </c>
      <c r="AP9" s="40" t="n">
        <f aca="false">10^AO9</f>
        <v>3119.56238878098</v>
      </c>
      <c r="AQ9" s="39" t="n">
        <f aca="false">AS9-AR9*((Sheet1!R$19-Sheet1!R$20)*COS(RADIANS(38))+Sheet1!R$20)/2</f>
        <v>302.312487351568</v>
      </c>
      <c r="AR9" s="37" t="n">
        <f aca="false">(AV9-AV$4)/(AV$31-AV$4)*(AR$31-AR$4)+AR$4</f>
        <v>0.782397743507848</v>
      </c>
      <c r="AS9" s="39" t="n">
        <f aca="false">(AV9-AV$4)/(AV$19-AV$4)*(AS$19-AS$4)+AS$4</f>
        <v>332.912336542083</v>
      </c>
      <c r="AT9" s="39" t="n">
        <f aca="false">8314.4621*AS9/(Sheet1!R$22*Sheet1!R$12*9.80665)</f>
        <v>5889.30603698342</v>
      </c>
      <c r="AU9" s="39" t="n">
        <f aca="false">AU8-LN(AP9/AP8)*(AT8+AT9)/2</f>
        <v>5091.85674525633</v>
      </c>
      <c r="AV9" s="39" t="n">
        <f aca="false">Sheet1!R$10*10/Sheet1!R$11*1000*AU9/(Sheet1!R$10*10/Sheet1!R$11*1000-AU9)</f>
        <v>5095.63899945615</v>
      </c>
    </row>
    <row r="10" customFormat="false" ht="14.4" hidden="false" customHeight="false" outlineLevel="0" collapsed="false">
      <c r="A10" s="31" t="s">
        <v>73</v>
      </c>
      <c r="B10" s="38" t="n">
        <v>7.3</v>
      </c>
      <c r="C10" s="38" t="n">
        <v>3.38</v>
      </c>
      <c r="D10" s="38" t="n">
        <v>4.31386722036915</v>
      </c>
      <c r="E10" s="36" t="n">
        <f aca="false">IF(LOG(Sheet1!C$13*(11-Sheet1!C$11)^2/3.828E+026)&gt;C10,IF(LOG(Sheet1!C$13*(11-Sheet1!C$11)^2/3.828E+026)&lt;C9,(LOG(Sheet1!C$13*(11-Sheet1!C$11)^2/3.828E+026)-C10)/(C9-C10)*(B9-B10)+B10,0),0)</f>
        <v>0</v>
      </c>
      <c r="F10" s="37" t="n">
        <f aca="false">IF(LOG(Sheet1!C$13*(11-Sheet1!C$11)^2/3.828E+026)&gt;C10,IF(LOG(Sheet1!C$13*(11-Sheet1!C$11)^2/3.828E+026)&lt;C9,(LOG(Sheet1!C$13*(11-Sheet1!C$11)^2/3.828E+026)-C10)/(C9-C10)*(D9-D10)+D10,0),0)</f>
        <v>0</v>
      </c>
      <c r="G10" s="32" t="n">
        <f aca="false">IF(F10&gt;0,IF(F10&gt;(D9+D10)/2,A9,A10),0)</f>
        <v>0</v>
      </c>
      <c r="H10" s="32"/>
      <c r="I10" s="32"/>
      <c r="J10" s="37" t="n">
        <f aca="false">J4+0.25*(2-J4)</f>
        <v>3.45887910689086</v>
      </c>
      <c r="K10" s="40" t="n">
        <f aca="false">10^J10</f>
        <v>2876.59755438955</v>
      </c>
      <c r="L10" s="39" t="n">
        <f aca="false">0.87*Sheet1!C14</f>
        <v>5002.20908182004</v>
      </c>
      <c r="M10" s="39" t="n">
        <f aca="false">8314.4621*L10/(Sheet1!C$16*Sheet1!C$12*9.80665)</f>
        <v>117604.926207652</v>
      </c>
      <c r="N10" s="39" t="n">
        <f aca="false">N9-LN(K10/K9)*(M9+M10)/2</f>
        <v>141303.194632906</v>
      </c>
      <c r="O10" s="39" t="n">
        <f aca="false">Sheet1!C$10*10/Sheet1!C$11*1000*N10/(Sheet1!C$10*10/Sheet1!C$11*1000-N10)</f>
        <v>141331.614454487</v>
      </c>
      <c r="Q10" s="37" t="n">
        <f aca="false">Q9-0.1</f>
        <v>7.9</v>
      </c>
      <c r="R10" s="40" t="n">
        <f aca="false">10^Q10</f>
        <v>79432823.4724286</v>
      </c>
      <c r="S10" s="39" t="n">
        <f aca="false">U10-T10*((Sheet1!H$18-Sheet1!H$19)*COS(RADIANS(38))+Sheet1!H$19)/2</f>
        <v>948.950266555656</v>
      </c>
      <c r="T10" s="37" t="n">
        <v>0</v>
      </c>
      <c r="U10" s="39" t="n">
        <f aca="false">(X10-X$4)/(X$14-X$4)*(U$14-U$4)+U$4</f>
        <v>948.950266555656</v>
      </c>
      <c r="V10" s="39" t="n">
        <f aca="false">8314.4621*U10/(Sheet1!H$20*Sheet1!H$12*9.80665)</f>
        <v>188342.566195771</v>
      </c>
      <c r="W10" s="39" t="n">
        <f aca="false">W9-LN(R10/R9)*(V9+V10)/2</f>
        <v>317278.518103168</v>
      </c>
      <c r="X10" s="39" t="n">
        <f aca="false">Sheet1!H$10*10/Sheet1!H$11*1000*W10/(Sheet1!H$10*10/Sheet1!H$11*1000-W10)</f>
        <v>318986.654823778</v>
      </c>
      <c r="Y10" s="37"/>
      <c r="Z10" s="39"/>
      <c r="AC10" s="39" t="n">
        <f aca="false">IF(AB4=7,AA4,IF(AB14=7,AA14,IF(AB24=7,AA24,IF(AB34=7,AA34,IF(AB44=7,AA44,IF(AB54=7,AA54,IF(AB77=7,AA77,0)))))))+IF(AB90=7,AA90,IF(AB100=7,AA100,IF(AB125=7,AA125,IF(AB140=7,AA140,IF(AB155=7,AA155,IF(AB170=7,AA170,0))))))</f>
        <v>1351781.63478432</v>
      </c>
      <c r="AD10" s="39" t="n">
        <f aca="false">IF(AB4=7,Z4,IF(AB14=7,Z14,IF(AB24=7,Z24,IF(AB34=7,Z34,IF(AB44=7,Z44,IF(AB54=7,Z54,IF(AB77=7,Z77,0)))))))+IF(AB90=7,Z90,IF(AB100=7,Z100,IF(AB125=7,Z125,IF(AB140=7,Z140,IF(AB155=7,Z155,IF(AB170=7,Z170,0))))))</f>
        <v>217.135275626098</v>
      </c>
      <c r="AF10" s="37" t="n">
        <f aca="false">AF4+0.385*(AF18-AF4)</f>
        <v>4.40775101124321</v>
      </c>
      <c r="AG10" s="40" t="n">
        <f aca="false">10^AF10</f>
        <v>25571.1942448928</v>
      </c>
      <c r="AH10" s="39" t="n">
        <f aca="false">AJ10-AI10*((Sheet1!M$19-Sheet1!M$20)*COS(RADIANS(38))+Sheet1!M$20)/2</f>
        <v>208.202036968114</v>
      </c>
      <c r="AI10" s="37" t="n">
        <f aca="false">(AM10-AM$4)/(AM$13-AM$4)*(AI$13-AI$4)+AI$4</f>
        <v>0.0768186870430952</v>
      </c>
      <c r="AJ10" s="39" t="n">
        <f aca="false">AJ4+0.73*(AJ13-AJ4)</f>
        <v>208.688611075274</v>
      </c>
      <c r="AK10" s="39" t="n">
        <f aca="false">8314.4621*AJ10/(Sheet1!M$21*Sheet1!M$12*9.80665)</f>
        <v>6137.03003977857</v>
      </c>
      <c r="AL10" s="39" t="n">
        <f aca="false">AL9-LN(AG10/AG9)*(AK9+AK10)/2</f>
        <v>6946.2760235827</v>
      </c>
      <c r="AM10" s="39" t="n">
        <f aca="false">Sheet1!M$10*10/Sheet1!M$11*1000*AL10/(Sheet1!M$10*10/Sheet1!M$11*1000-AL10)</f>
        <v>6953.89489951503</v>
      </c>
      <c r="AN10" s="41"/>
      <c r="AO10" s="37" t="n">
        <f aca="false">AO9+(AO$19-AO$4)/15</f>
        <v>3.42274948023375</v>
      </c>
      <c r="AP10" s="40" t="n">
        <f aca="false">10^AO10</f>
        <v>2646.97281018806</v>
      </c>
      <c r="AQ10" s="39" t="n">
        <f aca="false">AS10-AR10*((Sheet1!R$19-Sheet1!R$20)*COS(RADIANS(38))+Sheet1!R$20)/2</f>
        <v>297.2127878601</v>
      </c>
      <c r="AR10" s="37" t="n">
        <f aca="false">(AV10-AV$4)/(AV$31-AV$4)*(AR$31-AR$4)+AR$4</f>
        <v>0.741432518032664</v>
      </c>
      <c r="AS10" s="39" t="n">
        <f aca="false">(AV10-AV$4)/(AV$19-AV$4)*(AS$19-AS$4)+AS$4</f>
        <v>326.210472765253</v>
      </c>
      <c r="AT10" s="39" t="n">
        <f aca="false">8314.4621*AS10/(Sheet1!R$22*Sheet1!R$12*9.80665)</f>
        <v>5770.74831932751</v>
      </c>
      <c r="AU10" s="39" t="n">
        <f aca="false">AU9-LN(AP10/AP9)*(AT9+AT10)/2</f>
        <v>6049.59089616355</v>
      </c>
      <c r="AV10" s="39" t="n">
        <f aca="false">Sheet1!R$10*10/Sheet1!R$11*1000*AU10/(Sheet1!R$10*10/Sheet1!R$11*1000-AU10)</f>
        <v>6054.9305248195</v>
      </c>
    </row>
    <row r="11" customFormat="false" ht="14.4" hidden="false" customHeight="false" outlineLevel="0" collapsed="false">
      <c r="A11" s="31" t="s">
        <v>74</v>
      </c>
      <c r="B11" s="38" t="n">
        <v>6.1</v>
      </c>
      <c r="C11" s="38" t="n">
        <v>3.1</v>
      </c>
      <c r="D11" s="38" t="n">
        <v>4.26717172840301</v>
      </c>
      <c r="E11" s="36" t="n">
        <f aca="false">IF(LOG(Sheet1!C$13*(11-Sheet1!C$11)^2/3.828E+026)&gt;C11,IF(LOG(Sheet1!C$13*(11-Sheet1!C$11)^2/3.828E+026)&lt;C10,(LOG(Sheet1!C$13*(11-Sheet1!C$11)^2/3.828E+026)-C11)/(C10-C11)*(B10-B11)+B11,0),0)</f>
        <v>0</v>
      </c>
      <c r="F11" s="37" t="n">
        <f aca="false">IF(LOG(Sheet1!C$13*(11-Sheet1!C$11)^2/3.828E+026)&gt;C11,IF(LOG(Sheet1!C$13*(11-Sheet1!C$11)^2/3.828E+026)&lt;C10,(LOG(Sheet1!C$13*(11-Sheet1!C$11)^2/3.828E+026)-C11)/(C10-C11)*(D10-D11)+D11,0),0)</f>
        <v>0</v>
      </c>
      <c r="G11" s="32" t="n">
        <f aca="false">IF(F11&gt;0,IF(F11&gt;(D10+D11)/2,A10,A11),0)</f>
        <v>0</v>
      </c>
      <c r="H11" s="32"/>
      <c r="I11" s="32"/>
      <c r="J11" s="37" t="n">
        <f aca="false">J10+(J$10-J$4)/6</f>
        <v>3.37783026761915</v>
      </c>
      <c r="K11" s="40" t="n">
        <f aca="false">10^J11</f>
        <v>2386.87825308407</v>
      </c>
      <c r="L11" s="39" t="n">
        <f aca="false">(O11-O$10)/(O$16-O$10)*(L$16-L$10)+L$10</f>
        <v>4953.11328505193</v>
      </c>
      <c r="M11" s="39" t="n">
        <f aca="false">8314.4621*L11/(Sheet1!C$16*Sheet1!C$12*9.80665)</f>
        <v>116450.654672501</v>
      </c>
      <c r="N11" s="39" t="n">
        <f aca="false">N10-LN(K11/K10)*(M10+M11)/2</f>
        <v>163143.137282269</v>
      </c>
      <c r="O11" s="39" t="n">
        <f aca="false">Sheet1!C$10*10/Sheet1!C$11*1000*N11/(Sheet1!C$10*10/Sheet1!C$11*1000-N11)</f>
        <v>163181.022388199</v>
      </c>
      <c r="Q11" s="37" t="n">
        <f aca="false">Q10-0.1</f>
        <v>7.8</v>
      </c>
      <c r="R11" s="40" t="n">
        <f aca="false">10^Q11</f>
        <v>63095734.4480197</v>
      </c>
      <c r="S11" s="39" t="n">
        <f aca="false">U11-T11*((Sheet1!H$18-Sheet1!H$19)*COS(RADIANS(38))+Sheet1!H$19)/2</f>
        <v>889.931014772298</v>
      </c>
      <c r="T11" s="37" t="n">
        <v>0</v>
      </c>
      <c r="U11" s="39" t="n">
        <f aca="false">(X11-X$4)/(X$14-X$4)*(U$14-U$4)+U$4</f>
        <v>889.931014772298</v>
      </c>
      <c r="V11" s="39" t="n">
        <f aca="false">8314.4621*U11/(Sheet1!H$20*Sheet1!H$12*9.80665)</f>
        <v>176628.741217168</v>
      </c>
      <c r="W11" s="39" t="n">
        <f aca="false">W10-LN(R11/R10)*(V10+V11)/2</f>
        <v>359297.392694147</v>
      </c>
      <c r="X11" s="39" t="n">
        <f aca="false">Sheet1!H$10*10/Sheet1!H$11*1000*W11/(Sheet1!H$10*10/Sheet1!H$11*1000-W11)</f>
        <v>361489.486743855</v>
      </c>
      <c r="Y11" s="37"/>
      <c r="Z11" s="39"/>
      <c r="AC11" s="39" t="n">
        <f aca="false">IF(AB4=8,AA4,IF(AB14=8,AA14,IF(AB24=8,AA24,IF(AB34=8,AA34,IF(AB44=8,AA44,IF(AB54=8,AA54,IF(AB77=8,AA77,0)))))))+IF(AB90=8,AA90,IF(AB100=8,AA100,IF(AB125=8,AA125,IF(AB140=8,AA140,IF(AB155=8,AA155,IF(AB170=8,AA170,0))))))</f>
        <v>1468592.36928622</v>
      </c>
      <c r="AD11" s="39" t="n">
        <f aca="false">IF(AB4=8,Z4,IF(AB14=8,Z14,IF(AB24=8,Z24,IF(AB34=8,Z34,IF(AB44=8,Z44,IF(AB54=8,Z54,IF(AB77=8,Z77,0)))))))+IF(AB90=8,Z90,IF(AB100=8,Z100,IF(AB125=8,Z125,IF(AB140=8,Z140,IF(AB155=8,Z155,IF(AB170=8,Z170,0))))))</f>
        <v>262.413432850684</v>
      </c>
      <c r="AF11" s="37" t="n">
        <f aca="false">AF10+(AF$13-AF$10)/3</f>
        <v>4.3195218878904</v>
      </c>
      <c r="AG11" s="40" t="n">
        <f aca="false">10^AF11</f>
        <v>20869.9730327777</v>
      </c>
      <c r="AH11" s="39" t="n">
        <f aca="false">AJ11-AI11*((Sheet1!M$19-Sheet1!M$20)*COS(RADIANS(38))+Sheet1!M$20)/2</f>
        <v>203.246714511617</v>
      </c>
      <c r="AI11" s="37" t="n">
        <f aca="false">(AM11-AM$4)/(AM$13-AM$4)*(AI$13-AI$4)+AI$4</f>
        <v>-0.0867130624105363</v>
      </c>
      <c r="AJ11" s="39" t="n">
        <f aca="false">(AM11-AM$10)/(AM$13-AM$10)*(AJ$13-AJ$10)+AJ$10</f>
        <v>202.697468845678</v>
      </c>
      <c r="AK11" s="39" t="n">
        <f aca="false">8314.4621*AJ11/(Sheet1!M$21*Sheet1!M$12*9.80665)</f>
        <v>5960.8449588287</v>
      </c>
      <c r="AL11" s="39" t="n">
        <f aca="false">AL10-LN(AG11/AG10)*(AK10+AK11)/2</f>
        <v>8175.14830959623</v>
      </c>
      <c r="AM11" s="39" t="n">
        <f aca="false">Sheet1!M$10*10/Sheet1!M$11*1000*AL11/(Sheet1!M$10*10/Sheet1!M$11*1000-AL11)</f>
        <v>8185.70341044778</v>
      </c>
      <c r="AN11" s="41"/>
      <c r="AO11" s="37" t="n">
        <f aca="false">AO10+(AO$19-AO$4)/15</f>
        <v>3.35140528486804</v>
      </c>
      <c r="AP11" s="40" t="n">
        <f aca="false">10^AO11</f>
        <v>2245.97689825744</v>
      </c>
      <c r="AQ11" s="39" t="n">
        <f aca="false">AS11-AR11*((Sheet1!R$19-Sheet1!R$20)*COS(RADIANS(38))+Sheet1!R$20)/2</f>
        <v>292.214385440549</v>
      </c>
      <c r="AR11" s="37" t="n">
        <f aca="false">(AV11-AV$4)/(AV$31-AV$4)*(AR$31-AR$4)+AR$4</f>
        <v>0.701280974820358</v>
      </c>
      <c r="AS11" s="39" t="n">
        <f aca="false">(AV11-AV$4)/(AV$19-AV$4)*(AS$19-AS$4)+AS$4</f>
        <v>319.641729458017</v>
      </c>
      <c r="AT11" s="39" t="n">
        <f aca="false">8314.4621*AS11/(Sheet1!R$22*Sheet1!R$12*9.80665)</f>
        <v>5654.54553748853</v>
      </c>
      <c r="AU11" s="39" t="n">
        <f aca="false">AU10-LN(AP11/AP10)*(AT10+AT11)/2</f>
        <v>6988.04214410374</v>
      </c>
      <c r="AV11" s="39" t="n">
        <f aca="false">Sheet1!R$10*10/Sheet1!R$11*1000*AU11/(Sheet1!R$10*10/Sheet1!R$11*1000-AU11)</f>
        <v>6995.16787703811</v>
      </c>
    </row>
    <row r="12" customFormat="false" ht="14.4" hidden="false" customHeight="false" outlineLevel="0" collapsed="false">
      <c r="A12" s="31" t="s">
        <v>75</v>
      </c>
      <c r="B12" s="38" t="n">
        <v>5.4</v>
      </c>
      <c r="C12" s="38" t="n">
        <v>2.96</v>
      </c>
      <c r="D12" s="38" t="n">
        <v>4.23044892137827</v>
      </c>
      <c r="E12" s="36" t="n">
        <f aca="false">IF(LOG(Sheet1!C$13*(11-Sheet1!C$11)^2/3.828E+026)&gt;C12,IF(LOG(Sheet1!C$13*(11-Sheet1!C$11)^2/3.828E+026)&lt;C11,(LOG(Sheet1!C$13*(11-Sheet1!C$11)^2/3.828E+026)-C12)/(C11-C12)*(B11-B12)+B12,0),0)</f>
        <v>0</v>
      </c>
      <c r="F12" s="37" t="n">
        <f aca="false">IF(LOG(Sheet1!C$13*(11-Sheet1!C$11)^2/3.828E+026)&gt;C12,IF(LOG(Sheet1!C$13*(11-Sheet1!C$11)^2/3.828E+026)&lt;C11,(LOG(Sheet1!C$13*(11-Sheet1!C$11)^2/3.828E+026)-C12)/(C11-C12)*(D11-D12)+D12,0),0)</f>
        <v>0</v>
      </c>
      <c r="G12" s="32" t="n">
        <f aca="false">IF(F12&gt;0,IF(F12&gt;(D11+D12)/2,A11,A12),0)</f>
        <v>0</v>
      </c>
      <c r="H12" s="32" t="n">
        <f aca="false">IF(G12&lt;&gt;0,G12,IF(G13&lt;&gt;0,G13,IF(G14&lt;&gt;0,G14,IF(G15&lt;&gt;0,G15,IF(G16&lt;&gt;0,G16,IF(G17&lt;&gt;0,G17,IF(G18&lt;&gt;0,G18,0)))))))</f>
        <v>0</v>
      </c>
      <c r="I12" s="32"/>
      <c r="J12" s="37" t="n">
        <f aca="false">J11+(J$10-J$4)/6</f>
        <v>3.29678142834743</v>
      </c>
      <c r="K12" s="40" t="n">
        <f aca="false">10^J12</f>
        <v>1980.53001413146</v>
      </c>
      <c r="L12" s="39" t="n">
        <f aca="false">(O12-O$10)/(O$16-O$10)*(L$16-L$10)+L$10</f>
        <v>4904.49636179423</v>
      </c>
      <c r="M12" s="39" t="n">
        <f aca="false">8314.4621*L12/(Sheet1!C$16*Sheet1!C$12*9.80665)</f>
        <v>115307.641739886</v>
      </c>
      <c r="N12" s="39" t="n">
        <f aca="false">N11-LN(K12/K11)*(M11+M12)/2</f>
        <v>184768.718193976</v>
      </c>
      <c r="O12" s="39" t="n">
        <f aca="false">Sheet1!C$10*10/Sheet1!C$11*1000*N12/(Sheet1!C$10*10/Sheet1!C$11*1000-N12)</f>
        <v>184817.314263788</v>
      </c>
      <c r="Q12" s="37" t="n">
        <f aca="false">Q11-0.1</f>
        <v>7.7</v>
      </c>
      <c r="R12" s="40" t="n">
        <f aca="false">10^Q12</f>
        <v>50118723.3627276</v>
      </c>
      <c r="S12" s="39" t="n">
        <f aca="false">U12-T12*((Sheet1!H$18-Sheet1!H$19)*COS(RADIANS(38))+Sheet1!H$19)/2</f>
        <v>834.508229638184</v>
      </c>
      <c r="T12" s="37" t="n">
        <v>0</v>
      </c>
      <c r="U12" s="39" t="n">
        <f aca="false">(X12-X$4)/(X$14-X$4)*(U$14-U$4)+U$4</f>
        <v>834.508229638184</v>
      </c>
      <c r="V12" s="39" t="n">
        <f aca="false">8314.4621*U12/(Sheet1!H$20*Sheet1!H$12*9.80665)</f>
        <v>165628.723675929</v>
      </c>
      <c r="W12" s="39" t="n">
        <f aca="false">W11-LN(R12/R11)*(V11+V12)/2</f>
        <v>398701.239525586</v>
      </c>
      <c r="X12" s="39" t="n">
        <f aca="false">Sheet1!H$10*10/Sheet1!H$11*1000*W12/(Sheet1!H$10*10/Sheet1!H$11*1000-W12)</f>
        <v>401402.316161519</v>
      </c>
      <c r="Y12" s="37"/>
      <c r="Z12" s="39"/>
      <c r="AC12" s="39" t="n">
        <f aca="false">IF(AB4=9,AA4,IF(AB14=9,AA14,IF(AB24=9,AA24,IF(AB34=9,AA34,IF(AB44=9,AA44,IF(AB54=9,AA54,IF(AB77=9,AA77,0)))))))+IF(AB90=9,AA90,IF(AB100=9,AA100,IF(AB125=9,AA125,IF(AB140=9,AA140,IF(AB155=9,AA155,IF(AB170=9,AA170,0))))))</f>
        <v>2003692.04005754</v>
      </c>
      <c r="AD12" s="39" t="n">
        <f aca="false">IF(AB4=9,Z4,IF(AB14=9,Z14,IF(AB24=9,Z24,IF(AB34=9,Z34,IF(AB44=9,Z44,IF(AB54=9,Z54,IF(AB77=9,Z77,0)))))))+IF(AB90=9,Z90,IF(AB100=9,Z100,IF(AB125=9,Z125,IF(AB140=9,Z140,IF(AB155=9,Z155,IF(AB170=9,Z170,0))))))</f>
        <v>674.841281443299</v>
      </c>
      <c r="AF12" s="37" t="n">
        <f aca="false">AF11+(AF$13-AF$10)/3</f>
        <v>4.23129276453759</v>
      </c>
      <c r="AG12" s="40" t="n">
        <f aca="false">10^AF12</f>
        <v>17033.0634626445</v>
      </c>
      <c r="AH12" s="39" t="n">
        <f aca="false">AJ12-AI12*((Sheet1!M$19-Sheet1!M$20)*COS(RADIANS(38))+Sheet1!M$20)/2</f>
        <v>198.431837019382</v>
      </c>
      <c r="AI12" s="37" t="n">
        <f aca="false">(AM12-AM$4)/(AM$13-AM$4)*(AI$13-AI$4)+AI$4</f>
        <v>-0.24560996390583</v>
      </c>
      <c r="AJ12" s="39" t="n">
        <f aca="false">(AM12-AM$10)/(AM$13-AM$10)*(AJ$13-AJ$10)+AJ$10</f>
        <v>196.876128981442</v>
      </c>
      <c r="AK12" s="39" t="n">
        <f aca="false">8314.4621*AJ12/(Sheet1!M$21*Sheet1!M$12*9.80665)</f>
        <v>5789.65335697508</v>
      </c>
      <c r="AL12" s="39" t="n">
        <f aca="false">AL11-LN(AG12/AG11)*(AK11+AK12)/2</f>
        <v>9368.73492946149</v>
      </c>
      <c r="AM12" s="39" t="n">
        <f aca="false">Sheet1!M$10*10/Sheet1!M$11*1000*AL12/(Sheet1!M$10*10/Sheet1!M$11*1000-AL12)</f>
        <v>9382.59977018642</v>
      </c>
      <c r="AN12" s="41"/>
      <c r="AO12" s="37" t="n">
        <f aca="false">AO11+(AO$19-AO$4)/15</f>
        <v>3.28006108950233</v>
      </c>
      <c r="AP12" s="40" t="n">
        <f aca="false">10^AO12</f>
        <v>1905.72876611744</v>
      </c>
      <c r="AQ12" s="39" t="n">
        <f aca="false">AS12-AR12*((Sheet1!R$19-Sheet1!R$20)*COS(RADIANS(38))+Sheet1!R$20)/2</f>
        <v>287.315313267055</v>
      </c>
      <c r="AR12" s="37" t="n">
        <f aca="false">(AV12-AV$4)/(AV$31-AV$4)*(AR$31-AR$4)+AR$4</f>
        <v>0.66192736861208</v>
      </c>
      <c r="AS12" s="39" t="n">
        <f aca="false">(AV12-AV$4)/(AV$19-AV$4)*(AS$19-AS$4)+AS$4</f>
        <v>313.203523991938</v>
      </c>
      <c r="AT12" s="39" t="n">
        <f aca="false">8314.4621*AS12/(Sheet1!R$22*Sheet1!R$12*9.80665)</f>
        <v>5540.65200409608</v>
      </c>
      <c r="AU12" s="39" t="n">
        <f aca="false">AU11-LN(AP12/AP11)*(AT11+AT12)/2</f>
        <v>7907.59408017834</v>
      </c>
      <c r="AV12" s="39" t="n">
        <f aca="false">Sheet1!R$10*10/Sheet1!R$11*1000*AU12/(Sheet1!R$10*10/Sheet1!R$11*1000-AU12)</f>
        <v>7916.71976623635</v>
      </c>
    </row>
    <row r="13" customFormat="false" ht="14.4" hidden="false" customHeight="false" outlineLevel="0" collapsed="false">
      <c r="A13" s="31" t="s">
        <v>76</v>
      </c>
      <c r="B13" s="38" t="n">
        <v>5</v>
      </c>
      <c r="C13" s="38" t="n">
        <v>2.91</v>
      </c>
      <c r="D13" s="38" t="n">
        <v>4.22271647114758</v>
      </c>
      <c r="E13" s="36" t="n">
        <f aca="false">IF(LOG(Sheet1!C$13*(11-Sheet1!C$11)^2/3.828E+026)&gt;C13,IF(LOG(Sheet1!C$13*(11-Sheet1!C$11)^2/3.828E+026)&lt;C12,(LOG(Sheet1!C$13*(11-Sheet1!C$11)^2/3.828E+026)-C13)/(C12-C13)*(B12-B13)+B13,0),0)</f>
        <v>0</v>
      </c>
      <c r="F13" s="37" t="n">
        <f aca="false">IF(LOG(Sheet1!C$13*(11-Sheet1!C$11)^2/3.828E+026)&gt;C13,IF(LOG(Sheet1!C$13*(11-Sheet1!C$11)^2/3.828E+026)&lt;C12,(LOG(Sheet1!C$13*(11-Sheet1!C$11)^2/3.828E+026)-C13)/(C12-C13)*(D12-D13)+D13,0),0)</f>
        <v>0</v>
      </c>
      <c r="G13" s="32" t="n">
        <f aca="false">IF(F13&gt;0,IF(F13&gt;(D12+D13)/2,A12,A13),0)</f>
        <v>0</v>
      </c>
      <c r="H13" s="32"/>
      <c r="I13" s="32"/>
      <c r="J13" s="37" t="n">
        <f aca="false">J12+(J$10-J$4)/6</f>
        <v>3.21573258907572</v>
      </c>
      <c r="K13" s="40" t="n">
        <f aca="false">10^J13</f>
        <v>1643.35953532918</v>
      </c>
      <c r="L13" s="39" t="n">
        <f aca="false">(O13-O$10)/(O$16-O$10)*(L$16-L$10)+L$10</f>
        <v>4856.35369956462</v>
      </c>
      <c r="M13" s="39" t="n">
        <f aca="false">8314.4621*L13/(Sheet1!C$16*Sheet1!C$12*9.80665)</f>
        <v>114175.77896759</v>
      </c>
      <c r="N13" s="39" t="n">
        <f aca="false">N12-LN(K13/K12)*(M12+M13)/2</f>
        <v>206182.028350409</v>
      </c>
      <c r="O13" s="39" t="n">
        <f aca="false">Sheet1!C$10*10/Sheet1!C$11*1000*N13/(Sheet1!C$10*10/Sheet1!C$11*1000-N13)</f>
        <v>206242.54280296</v>
      </c>
      <c r="Q13" s="37" t="n">
        <f aca="false">Q12-0.1</f>
        <v>7.6</v>
      </c>
      <c r="R13" s="40" t="n">
        <f aca="false">10^Q13</f>
        <v>39810717.05535</v>
      </c>
      <c r="S13" s="39" t="n">
        <f aca="false">U13-T13*((Sheet1!H$18-Sheet1!H$19)*COS(RADIANS(38))+Sheet1!H$19)/2</f>
        <v>782.471679158435</v>
      </c>
      <c r="T13" s="37" t="n">
        <v>0</v>
      </c>
      <c r="U13" s="39" t="n">
        <f aca="false">(X13-X$4)/(X$14-X$4)*(U$14-U$4)+U$4</f>
        <v>782.471679158435</v>
      </c>
      <c r="V13" s="39" t="n">
        <f aca="false">8314.4621*U13/(Sheet1!H$20*Sheet1!H$12*9.80665)</f>
        <v>155300.787851742</v>
      </c>
      <c r="W13" s="39" t="n">
        <f aca="false">W12-LN(R13/R12)*(V12+V13)/2</f>
        <v>435649.614982859</v>
      </c>
      <c r="X13" s="39" t="n">
        <f aca="false">Sheet1!H$10*10/Sheet1!H$11*1000*W13/(Sheet1!H$10*10/Sheet1!H$11*1000-W13)</f>
        <v>438876.542045969</v>
      </c>
      <c r="Y13" s="37"/>
      <c r="Z13" s="39"/>
      <c r="AC13" s="39" t="n">
        <f aca="false">IF(AB4=10,AA4,IF(AB14=10,AA14,IF(AB24=10,AA24,IF(AB34=10,AA34,IF(AB44=10,AA44,IF(AB54=10,AA54,IF(AB77=10,AA77,0)))))))+IF(AB90=10,AA90,IF(AB100=10,AA100,IF(AB125=10,AA125,IF(AB140=10,AA140,IF(AB155=10,AA155,IF(AB170=10,AA170,0))))))</f>
        <v>2548433.13996534</v>
      </c>
      <c r="AD13" s="39" t="n">
        <f aca="false">IF(AB4=10,Z4,IF(AB14=10,Z14,IF(AB24=10,Z24,IF(AB34=10,Z34,IF(AB44=10,Z44,IF(AB54=10,Z54,IF(AB77=10,Z77,0)))))))+IF(AB90=10,Z90,IF(AB100=10,Z100,IF(AB125=10,Z125,IF(AB140=10,Z140,IF(AB155=10,Z155,IF(AB170=10,Z170,0))))))</f>
        <v>788.535177162652</v>
      </c>
      <c r="AF13" s="37" t="n">
        <f aca="false">AF4+0.615*(AF18-AF4)</f>
        <v>4.14306364118478</v>
      </c>
      <c r="AG13" s="40" t="n">
        <f aca="false">10^AF13</f>
        <v>13901.5632874472</v>
      </c>
      <c r="AH13" s="39" t="n">
        <f aca="false">AJ13-AI13*((Sheet1!M$19-Sheet1!M$20)*COS(RADIANS(38))+Sheet1!M$20)/2</f>
        <v>193.753535032537</v>
      </c>
      <c r="AI13" s="37" t="n">
        <v>-0.4</v>
      </c>
      <c r="AJ13" s="39" t="n">
        <f aca="false">IF(0.74*Sheet1!M16+0.78*Sheet1!M18&gt;AJ18,0.74*Sheet1!M16+0.78*Sheet1!M18,AJ18)</f>
        <v>191.219911374602</v>
      </c>
      <c r="AK13" s="39" t="n">
        <f aca="false">8314.4621*AJ13/(Sheet1!M$21*Sheet1!M$12*9.80665)</f>
        <v>5623.31760350085</v>
      </c>
      <c r="AL13" s="39" t="n">
        <f aca="false">AL12-LN(AG13/AG12)*(AK12+AK13)/2</f>
        <v>10528.0363535563</v>
      </c>
      <c r="AM13" s="39" t="n">
        <f aca="false">Sheet1!M$10*10/Sheet1!M$11*1000*AL13/(Sheet1!M$10*10/Sheet1!M$11*1000-AL13)</f>
        <v>10545.5480117322</v>
      </c>
      <c r="AN13" s="41"/>
      <c r="AO13" s="37" t="n">
        <f aca="false">AO12+(AO$19-AO$4)/15</f>
        <v>3.20871689413663</v>
      </c>
      <c r="AP13" s="40" t="n">
        <f aca="false">10^AO13</f>
        <v>1617.02559488714</v>
      </c>
      <c r="AQ13" s="39" t="n">
        <f aca="false">AS13-AR13*((Sheet1!R$19-Sheet1!R$20)*COS(RADIANS(38))+Sheet1!R$20)/2</f>
        <v>282.51365583621</v>
      </c>
      <c r="AR13" s="37" t="n">
        <f aca="false">(AV13-AV$4)/(AV$31-AV$4)*(AR$31-AR$4)+AR$4</f>
        <v>0.623356281964895</v>
      </c>
      <c r="AS13" s="39" t="n">
        <f aca="false">(AV13-AV$4)/(AV$19-AV$4)*(AS$19-AS$4)+AS$4</f>
        <v>306.893337882027</v>
      </c>
      <c r="AT13" s="39" t="n">
        <f aca="false">8314.4621*AS13/(Sheet1!R$22*Sheet1!R$12*9.80665)</f>
        <v>5429.02316649399</v>
      </c>
      <c r="AU13" s="39" t="n">
        <f aca="false">AU12-LN(AP13/AP12)*(AT12+AT13)/2</f>
        <v>8808.62192272379</v>
      </c>
      <c r="AV13" s="39" t="n">
        <f aca="false">Sheet1!R$10*10/Sheet1!R$11*1000*AU13/(Sheet1!R$10*10/Sheet1!R$11*1000-AU13)</f>
        <v>8819.94722600254</v>
      </c>
    </row>
    <row r="14" customFormat="false" ht="14.4" hidden="false" customHeight="false" outlineLevel="0" collapsed="false">
      <c r="A14" s="31" t="s">
        <v>77</v>
      </c>
      <c r="B14" s="38" t="n">
        <v>4.6</v>
      </c>
      <c r="C14" s="38" t="n">
        <v>2.8</v>
      </c>
      <c r="D14" s="38" t="n">
        <v>4.19589965240923</v>
      </c>
      <c r="E14" s="36" t="n">
        <f aca="false">IF(LOG(Sheet1!C$13*(11-Sheet1!C$11)^2/3.828E+026)&gt;C14,IF(LOG(Sheet1!C$13*(11-Sheet1!C$11)^2/3.828E+026)&lt;C13,(LOG(Sheet1!C$13*(11-Sheet1!C$11)^2/3.828E+026)-C14)/(C13-C14)*(B13-B14)+B14,0),0)</f>
        <v>0</v>
      </c>
      <c r="F14" s="37" t="n">
        <f aca="false">IF(LOG(Sheet1!C$13*(11-Sheet1!C$11)^2/3.828E+026)&gt;C14,IF(LOG(Sheet1!C$13*(11-Sheet1!C$11)^2/3.828E+026)&lt;C13,(LOG(Sheet1!C$13*(11-Sheet1!C$11)^2/3.828E+026)-C14)/(C13-C14)*(D13-D14)+D14,0),0)</f>
        <v>0</v>
      </c>
      <c r="G14" s="32" t="n">
        <f aca="false">IF(F14&gt;0,IF(F14&gt;(D13+D14)/2,A13,A14),0)</f>
        <v>0</v>
      </c>
      <c r="H14" s="32"/>
      <c r="I14" s="32"/>
      <c r="J14" s="37" t="n">
        <f aca="false">J13+(J$10-J$4)/6</f>
        <v>3.134683749804</v>
      </c>
      <c r="K14" s="40" t="n">
        <f aca="false">10^J14</f>
        <v>1363.58981842629</v>
      </c>
      <c r="L14" s="39" t="n">
        <f aca="false">(O14-O$10)/(O$16-O$10)*(L$16-L$10)+L$10</f>
        <v>4808.68072916984</v>
      </c>
      <c r="M14" s="39" t="n">
        <f aca="false">8314.4621*L14/(Sheet1!C$16*Sheet1!C$12*9.80665)</f>
        <v>113054.958931147</v>
      </c>
      <c r="N14" s="39" t="n">
        <f aca="false">N13-LN(K14/K13)*(M13+M14)/2</f>
        <v>227385.138591228</v>
      </c>
      <c r="O14" s="39" t="n">
        <f aca="false">Sheet1!C$10*10/Sheet1!C$11*1000*N14/(Sheet1!C$10*10/Sheet1!C$11*1000-N14)</f>
        <v>227458.741462227</v>
      </c>
      <c r="Q14" s="37" t="n">
        <f aca="false">Q13-0.1</f>
        <v>7.5</v>
      </c>
      <c r="R14" s="40" t="n">
        <f aca="false">10^Q14</f>
        <v>31622776.6016841</v>
      </c>
      <c r="S14" s="39" t="n">
        <f aca="false">U14-T14*((Sheet1!H$18-Sheet1!H$19)*COS(RADIANS(38))+Sheet1!H$19)/2</f>
        <v>733.622378739015</v>
      </c>
      <c r="T14" s="37" t="n">
        <v>0</v>
      </c>
      <c r="U14" s="39" t="n">
        <f aca="false">600/1140*(U$44-U$4)+U$4</f>
        <v>733.622378739015</v>
      </c>
      <c r="V14" s="39" t="n">
        <f aca="false">8314.4621*U14/(Sheet1!H$20*Sheet1!H$12*9.80665)</f>
        <v>145605.440348173</v>
      </c>
      <c r="W14" s="39" t="n">
        <f aca="false">W13-LN(R14/R13)*(V13+V14)/2</f>
        <v>470292.724754968</v>
      </c>
      <c r="X14" s="39" t="n">
        <f aca="false">Sheet1!H$10*10/Sheet1!H$11*1000*W14/(Sheet1!H$10*10/Sheet1!H$11*1000-W14)</f>
        <v>474055.487932621</v>
      </c>
      <c r="Y14" s="37" t="n">
        <f aca="false">IF(Q14&lt;LOG(Sheet1!H$17*101325),Q14,IF(Q24&lt;LOG(Sheet1!H$17*101325),LOG(Sheet1!H$17*101325),0))</f>
        <v>6.70468661674975</v>
      </c>
      <c r="Z14" s="39" t="n">
        <f aca="false">IF(Y14=LOG(Sheet1!H$17*101325),(LOG(Sheet1!H$17*101325)-Q24)/(Q14-Q24)*(S14-S24)+S24,IF(Y14=0,0,S14))</f>
        <v>471.856347294849</v>
      </c>
      <c r="AA14" s="39" t="n">
        <f aca="false">IF(Y14=LOG(Sheet1!H$17*101325),(LOG(Sheet1!H$17*101325)-Q24)/(Q14-Q24)*(X14-X24)+X24,IF(Y14=0,0,X14))</f>
        <v>679241.53676573</v>
      </c>
      <c r="AB14" s="32" t="n">
        <f aca="false">IF(Y14=0,0,AB4+1)</f>
        <v>1</v>
      </c>
      <c r="AC14" s="39" t="n">
        <f aca="false">IF(AB4=11,AA4,IF(AB14=11,AA14,IF(AB24=11,AA24,IF(AB34=11,AA34,IF(AB44=11,AA44,IF(AB54=11,AA54,IF(AB77=11,AA77,0)))))))+IF(AB90=11,AA90,IF(AB100=11,AA100,IF(AB125=11,AA125,IF(AB140=11,AA140,IF(AB155=11,AA155,IF(AB170=11,AA170,0))))))</f>
        <v>3164588.89197358</v>
      </c>
      <c r="AD14" s="39" t="n">
        <f aca="false">IF(AB4=11,Z4,IF(AB14=11,Z14,IF(AB24=11,Z24,IF(AB34=11,Z34,IF(AB44=11,Z44,IF(AB54=11,Z54,IF(AB77=11,Z77,0)))))))+IF(AB90=11,Z90,IF(AB100=11,Z100,IF(AB125=11,Z125,IF(AB140=11,Z140,IF(AB155=11,Z155,IF(AB170=11,Z170,0))))))</f>
        <v>831.751132210469</v>
      </c>
      <c r="AF14" s="37" t="n">
        <f aca="false">AF13+(AF$18-AF$13)/5</f>
        <v>4.05445091294782</v>
      </c>
      <c r="AG14" s="40" t="n">
        <f aca="false">10^AF14</f>
        <v>11335.7670596008</v>
      </c>
      <c r="AH14" s="39" t="n">
        <f aca="false">AJ14-AI14*((Sheet1!M$19-Sheet1!M$20)*COS(RADIANS(38))+Sheet1!M$20)/2</f>
        <v>192.716080065022</v>
      </c>
      <c r="AI14" s="37" t="n">
        <f aca="false">(AM14-AM$13)/(AM$30-AM$13)*(AI$30-AI$13)+AI$13</f>
        <v>-0.35779562714599</v>
      </c>
      <c r="AJ14" s="39" t="n">
        <f aca="false">(AM14-AM$13)/(AM$18-AM$13)*(AJ$18-AJ$13)+AJ$13</f>
        <v>190.449781400916</v>
      </c>
      <c r="AK14" s="39" t="n">
        <f aca="false">8314.4621*AJ14/(Sheet1!M$21*Sheet1!M$12*9.80665)</f>
        <v>5600.66993356478</v>
      </c>
      <c r="AL14" s="39" t="n">
        <f aca="false">AL13-LN(AG14/AG13)*(AK13+AK14)/2</f>
        <v>11673.0982859555</v>
      </c>
      <c r="AM14" s="39" t="n">
        <f aca="false">Sheet1!M$10*10/Sheet1!M$11*1000*AL14/(Sheet1!M$10*10/Sheet1!M$11*1000-AL14)</f>
        <v>11694.6302367713</v>
      </c>
      <c r="AN14" s="41"/>
      <c r="AO14" s="37" t="n">
        <f aca="false">AO13+(AO$19-AO$4)/15</f>
        <v>3.13737269877092</v>
      </c>
      <c r="AP14" s="40" t="n">
        <f aca="false">10^AO14</f>
        <v>1372.05872158146</v>
      </c>
      <c r="AQ14" s="39" t="n">
        <f aca="false">AS14-AR14*((Sheet1!R$19-Sheet1!R$20)*COS(RADIANS(38))+Sheet1!R$20)/2</f>
        <v>277.807525487526</v>
      </c>
      <c r="AR14" s="37" t="n">
        <f aca="false">(AV14-AV$4)/(AV$31-AV$4)*(AR$31-AR$4)+AR$4</f>
        <v>0.585552551884947</v>
      </c>
      <c r="AS14" s="39" t="n">
        <f aca="false">(AV14-AV$4)/(AV$19-AV$4)*(AS$19-AS$4)+AS$4</f>
        <v>300.708690437807</v>
      </c>
      <c r="AT14" s="39" t="n">
        <f aca="false">8314.4621*AS14/(Sheet1!R$22*Sheet1!R$12*9.80665)</f>
        <v>5319.61514062092</v>
      </c>
      <c r="AU14" s="39" t="n">
        <f aca="false">AU13-LN(AP14/AP13)*(AT13+AT14)/2</f>
        <v>9691.49426120669</v>
      </c>
      <c r="AV14" s="39" t="n">
        <f aca="false">Sheet1!R$10*10/Sheet1!R$11*1000*AU14/(Sheet1!R$10*10/Sheet1!R$11*1000-AU14)</f>
        <v>9705.20533143605</v>
      </c>
    </row>
    <row r="15" customFormat="false" ht="14.4" hidden="false" customHeight="false" outlineLevel="0" collapsed="false">
      <c r="A15" s="31" t="s">
        <v>78</v>
      </c>
      <c r="B15" s="38" t="n">
        <v>4</v>
      </c>
      <c r="C15" s="38" t="n">
        <v>2.54</v>
      </c>
      <c r="D15" s="38" t="n">
        <v>4.16136800223498</v>
      </c>
      <c r="E15" s="36" t="n">
        <f aca="false">IF(LOG(Sheet1!C$13*(11-Sheet1!C$11)^2/3.828E+026)&gt;C15,IF(LOG(Sheet1!C$13*(11-Sheet1!C$11)^2/3.828E+026)&lt;C14,(LOG(Sheet1!C$13*(11-Sheet1!C$11)^2/3.828E+026)-C15)/(C14-C15)*(B14-B15)+B15,0),0)</f>
        <v>0</v>
      </c>
      <c r="F15" s="37" t="n">
        <f aca="false">IF(LOG(Sheet1!C$13*(11-Sheet1!C$11)^2/3.828E+026)&gt;C15,IF(LOG(Sheet1!C$13*(11-Sheet1!C$11)^2/3.828E+026)&lt;C14,(LOG(Sheet1!C$13*(11-Sheet1!C$11)^2/3.828E+026)-C15)/(C14-C15)*(D14-D15)+D15,0),0)</f>
        <v>0</v>
      </c>
      <c r="G15" s="32" t="n">
        <f aca="false">IF(F15&gt;0,IF(F15&gt;(D14+D15)/2,A14,A15),0)</f>
        <v>0</v>
      </c>
      <c r="H15" s="32"/>
      <c r="I15" s="32"/>
      <c r="J15" s="37" t="n">
        <f aca="false">J14+(J$10-J$4)/6</f>
        <v>3.05363491053229</v>
      </c>
      <c r="K15" s="40" t="n">
        <f aca="false">10^J15</f>
        <v>1131.44881137857</v>
      </c>
      <c r="L15" s="39" t="n">
        <f aca="false">(O15-O$10)/(O$16-O$10)*(L$16-L$10)+L$10</f>
        <v>4761.47292432163</v>
      </c>
      <c r="M15" s="39" t="n">
        <f aca="false">8314.4621*L15/(Sheet1!C$16*Sheet1!C$12*9.80665)</f>
        <v>111945.075214816</v>
      </c>
      <c r="N15" s="39" t="n">
        <f aca="false">N14-LN(K15/K14)*(M14+M15)/2</f>
        <v>248380.099802465</v>
      </c>
      <c r="O15" s="39" t="n">
        <f aca="false">Sheet1!C$10*10/Sheet1!C$11*1000*N15/(Sheet1!C$10*10/Sheet1!C$11*1000-N15)</f>
        <v>248467.924603818</v>
      </c>
      <c r="Q15" s="37" t="n">
        <f aca="false">Q14-0.1</f>
        <v>7.4</v>
      </c>
      <c r="R15" s="40" t="n">
        <f aca="false">10^Q15</f>
        <v>25118864.315096</v>
      </c>
      <c r="S15" s="39" t="n">
        <f aca="false">U15-T15*((Sheet1!H$18-Sheet1!H$19)*COS(RADIANS(38))+Sheet1!H$19)/2</f>
        <v>691.390741302511</v>
      </c>
      <c r="T15" s="37" t="n">
        <v>0</v>
      </c>
      <c r="U15" s="39" t="n">
        <f aca="false">(X15-X$14)/(X$24-X$14)*(U$24-U$14)+U$14</f>
        <v>691.390741302511</v>
      </c>
      <c r="V15" s="39" t="n">
        <f aca="false">8314.4621*U15/(Sheet1!H$20*Sheet1!H$12*9.80665)</f>
        <v>137223.531148325</v>
      </c>
      <c r="W15" s="39" t="n">
        <f aca="false">W14-LN(R15/R14)*(V14+V15)/2</f>
        <v>502854.613436702</v>
      </c>
      <c r="X15" s="39" t="n">
        <f aca="false">Sheet1!H$10*10/Sheet1!H$11*1000*W15/(Sheet1!H$10*10/Sheet1!H$11*1000-W15)</f>
        <v>507158.847613877</v>
      </c>
      <c r="Y15" s="37"/>
      <c r="Z15" s="39"/>
      <c r="AC15" s="39" t="n">
        <f aca="false">IF(AB4=12,AA4,IF(AB14=12,AA14,IF(AB24=12,AA24,IF(AB34=12,AA34,IF(AB44=12,AA44,IF(AB54=12,AA54,IF(AB77=12,AA77,0)))))))+IF(AB90=12,AA90,IF(AB100=12,AA100,IF(AB125=12,AA125,IF(AB140=12,AA140,IF(AB155=12,AA155,IF(AB170=12,AA170,0))))))</f>
        <v>3811217.77572389</v>
      </c>
      <c r="AD15" s="39" t="n">
        <f aca="false">IF(AB4=12,Z4,IF(AB14=12,Z14,IF(AB24=12,Z24,IF(AB34=12,Z34,IF(AB44=12,Z44,IF(AB54=12,Z54,IF(AB77=12,Z77,0)))))))+IF(AB90=12,Z90,IF(AB100=12,Z100,IF(AB125=12,Z125,IF(AB140=12,Z140,IF(AB155=12,Z155,IF(AB170=12,Z170,0))))))</f>
        <v>831.751132210469</v>
      </c>
      <c r="AF15" s="37" t="n">
        <f aca="false">AF14+(AF$18-AF$13)/5</f>
        <v>3.96583818471087</v>
      </c>
      <c r="AG15" s="40" t="n">
        <f aca="false">10^AF15</f>
        <v>9243.53701612562</v>
      </c>
      <c r="AH15" s="39" t="n">
        <f aca="false">AJ15-AI15*((Sheet1!M$19-Sheet1!M$20)*COS(RADIANS(38))+Sheet1!M$20)/2</f>
        <v>191.682448287634</v>
      </c>
      <c r="AI15" s="37" t="n">
        <f aca="false">(AM15-AM$13)/(AM$30-AM$13)*(AI$30-AI$13)+AI$13</f>
        <v>-0.315746075554515</v>
      </c>
      <c r="AJ15" s="39" t="n">
        <f aca="false">(AM15-AM$13)/(AM$18-AM$13)*(AJ$18-AJ$13)+AJ$13</f>
        <v>189.682493970322</v>
      </c>
      <c r="AK15" s="39" t="n">
        <f aca="false">8314.4621*AJ15/(Sheet1!M$21*Sheet1!M$12*9.80665)</f>
        <v>5578.10585598318</v>
      </c>
      <c r="AL15" s="39" t="n">
        <f aca="false">AL14-LN(AG15/AG14)*(AK14+AK15)/2</f>
        <v>12813.5477532386</v>
      </c>
      <c r="AM15" s="39" t="n">
        <f aca="false">Sheet1!M$10*10/Sheet1!M$11*1000*AL15/(Sheet1!M$10*10/Sheet1!M$11*1000-AL15)</f>
        <v>12839.49720285</v>
      </c>
      <c r="AN15" s="41"/>
      <c r="AO15" s="37" t="n">
        <f aca="false">AO14+(AO$19-AO$4)/15</f>
        <v>3.06602850340521</v>
      </c>
      <c r="AP15" s="40" t="n">
        <f aca="false">10^AO15</f>
        <v>1164.20243527384</v>
      </c>
      <c r="AQ15" s="39" t="n">
        <f aca="false">AS15-AR15*((Sheet1!R$19-Sheet1!R$20)*COS(RADIANS(38))+Sheet1!R$20)/2</f>
        <v>273.195070007319</v>
      </c>
      <c r="AR15" s="37" t="n">
        <f aca="false">(AV15-AV$4)/(AV$31-AV$4)*(AR$31-AR$4)+AR$4</f>
        <v>0.548501299781765</v>
      </c>
      <c r="AS15" s="39" t="n">
        <f aca="false">(AV15-AV$4)/(AV$19-AV$4)*(AS$19-AS$4)+AS$4</f>
        <v>294.64714753872</v>
      </c>
      <c r="AT15" s="39" t="n">
        <f aca="false">8314.4621*AS15/(Sheet1!R$22*Sheet1!R$12*9.80665)</f>
        <v>5212.38486624954</v>
      </c>
      <c r="AU15" s="39" t="n">
        <f aca="false">AU14-LN(AP15/AP14)*(AT14+AT15)/2</f>
        <v>10556.5723844156</v>
      </c>
      <c r="AV15" s="39" t="n">
        <f aca="false">Sheet1!R$10*10/Sheet1!R$11*1000*AU15/(Sheet1!R$10*10/Sheet1!R$11*1000-AU15)</f>
        <v>10572.8424977007</v>
      </c>
    </row>
    <row r="16" customFormat="false" ht="14.4" hidden="false" customHeight="false" outlineLevel="0" collapsed="false">
      <c r="A16" s="31" t="s">
        <v>79</v>
      </c>
      <c r="B16" s="38" t="n">
        <v>3.9</v>
      </c>
      <c r="C16" s="38" t="n">
        <v>2.49</v>
      </c>
      <c r="D16" s="38" t="n">
        <v>4.14612803567824</v>
      </c>
      <c r="E16" s="36" t="n">
        <f aca="false">IF(LOG(Sheet1!C$13*(11-Sheet1!C$11)^2/3.828E+026)&gt;C16,IF(LOG(Sheet1!C$13*(11-Sheet1!C$11)^2/3.828E+026)&lt;C15,(LOG(Sheet1!C$13*(11-Sheet1!C$11)^2/3.828E+026)-C16)/(C15-C16)*(B15-B16)+B16,0),0)</f>
        <v>0</v>
      </c>
      <c r="F16" s="37" t="n">
        <f aca="false">IF(LOG(Sheet1!C$13*(11-Sheet1!C$11)^2/3.828E+026)&gt;C16,IF(LOG(Sheet1!C$13*(11-Sheet1!C$11)^2/3.828E+026)&lt;C15,(LOG(Sheet1!C$13*(11-Sheet1!C$11)^2/3.828E+026)-C16)/(C15-C16)*(D15-D16)+D16,0),0)</f>
        <v>0</v>
      </c>
      <c r="G16" s="32" t="n">
        <f aca="false">IF(F16&gt;0,IF(F16&gt;(D15+D16)/2,A15,A16),0)</f>
        <v>0</v>
      </c>
      <c r="H16" s="32"/>
      <c r="I16" s="32"/>
      <c r="J16" s="37" t="n">
        <f aca="false">J4+0.5*(2-J4)</f>
        <v>2.97258607126057</v>
      </c>
      <c r="K16" s="40" t="n">
        <f aca="false">10^J16</f>
        <v>938.828081194847</v>
      </c>
      <c r="L16" s="39" t="n">
        <f aca="false">0.82*Sheet1!C14</f>
        <v>4714.72580125567</v>
      </c>
      <c r="M16" s="39" t="n">
        <f aca="false">8314.4621*L16/(Sheet1!C$16*Sheet1!C$12*9.80665)</f>
        <v>110846.022402614</v>
      </c>
      <c r="N16" s="39" t="n">
        <f aca="false">N15-LN(K16/K15)*(M15+M16)/2</f>
        <v>269168.94310394</v>
      </c>
      <c r="O16" s="39" t="n">
        <f aca="false">Sheet1!C$10*10/Sheet1!C$11*1000*N16/(Sheet1!C$10*10/Sheet1!C$11*1000-N16)</f>
        <v>269272.087665267</v>
      </c>
      <c r="Q16" s="37" t="n">
        <f aca="false">Q15-0.1</f>
        <v>7.3</v>
      </c>
      <c r="R16" s="40" t="n">
        <f aca="false">10^Q16</f>
        <v>19952623.149689</v>
      </c>
      <c r="S16" s="39" t="n">
        <f aca="false">U16-T16*((Sheet1!H$18-Sheet1!H$19)*COS(RADIANS(38))+Sheet1!H$19)/2</f>
        <v>651.548570810486</v>
      </c>
      <c r="T16" s="37" t="n">
        <v>0</v>
      </c>
      <c r="U16" s="39" t="n">
        <f aca="false">(X16-X$14)/(X$24-X$14)*(U$24-U$14)+U$14</f>
        <v>651.548570810486</v>
      </c>
      <c r="V16" s="39" t="n">
        <f aca="false">8314.4621*U16/(Sheet1!H$20*Sheet1!H$12*9.80665)</f>
        <v>129315.870549299</v>
      </c>
      <c r="W16" s="39" t="n">
        <f aca="false">W15-LN(R16/R15)*(V15+V16)/2</f>
        <v>533541.096088927</v>
      </c>
      <c r="X16" s="39" t="n">
        <f aca="false">Sheet1!H$10*10/Sheet1!H$11*1000*W16/(Sheet1!H$10*10/Sheet1!H$11*1000-W16)</f>
        <v>538389.219632013</v>
      </c>
      <c r="Y16" s="37"/>
      <c r="Z16" s="39"/>
      <c r="AC16" s="39" t="n">
        <f aca="false">IF(AB4=13,AA4,IF(AB14=13,AA14,IF(AB24=13,AA24,IF(AB34=13,AA34,IF(AB44=13,AA44,IF(AB54=13,AA54,IF(AB77=13,AA77,0)))))))+IF(AB90=13,AA90,IF(AB100=13,AA100,IF(AB125=13,AA125,IF(AB140=13,AA140,IF(AB155=13,AA155,IF(AB170=13,AA170,0))))))</f>
        <v>0</v>
      </c>
      <c r="AD16" s="39" t="n">
        <f aca="false">IF(AB4=13,Z4,IF(AB14=13,Z14,IF(AB24=13,Z24,IF(AB34=13,Z34,IF(AB44=13,Z44,IF(AB54=13,Z54,IF(AB77=13,Z77,0)))))))+IF(AB90=13,Z90,IF(AB100=13,Z100,IF(AB125=13,Z125,IF(AB140=13,Z140,IF(AB155=13,Z155,IF(AB170=13,Z170,0))))))</f>
        <v>0</v>
      </c>
      <c r="AF16" s="37" t="n">
        <f aca="false">AF15+(AF$18-AF$13)/5</f>
        <v>3.87722545647391</v>
      </c>
      <c r="AG16" s="40" t="n">
        <f aca="false">10^AF16</f>
        <v>7537.46756785361</v>
      </c>
      <c r="AH16" s="39" t="n">
        <f aca="false">AJ16-AI16*((Sheet1!M$19-Sheet1!M$20)*COS(RADIANS(38))+Sheet1!M$20)/2</f>
        <v>190.652602500714</v>
      </c>
      <c r="AI16" s="37" t="n">
        <f aca="false">(AM16-AM$13)/(AM$30-AM$13)*(AI$30-AI$13)+AI$13</f>
        <v>-0.273850895524737</v>
      </c>
      <c r="AJ16" s="39" t="n">
        <f aca="false">(AM16-AM$13)/(AM$18-AM$13)*(AJ$18-AJ$13)+AJ$13</f>
        <v>188.918014731593</v>
      </c>
      <c r="AK16" s="39" t="n">
        <f aca="false">8314.4621*AJ16/(Sheet1!M$21*Sheet1!M$12*9.80665)</f>
        <v>5555.62436056908</v>
      </c>
      <c r="AL16" s="39" t="n">
        <f aca="false">AL15-LN(AG16/AG15)*(AK15+AK16)/2</f>
        <v>13949.4017083928</v>
      </c>
      <c r="AM16" s="39" t="n">
        <f aca="false">Sheet1!M$10*10/Sheet1!M$11*1000*AL16/(Sheet1!M$10*10/Sheet1!M$11*1000-AL16)</f>
        <v>13980.1611538001</v>
      </c>
      <c r="AN16" s="41"/>
      <c r="AO16" s="37" t="n">
        <f aca="false">AO15+(AO$19-AO$4)/15</f>
        <v>2.99468430803951</v>
      </c>
      <c r="AP16" s="40" t="n">
        <f aca="false">10^AO16</f>
        <v>987.834769007065</v>
      </c>
      <c r="AQ16" s="39" t="n">
        <f aca="false">AS16-AR16*((Sheet1!R$19-Sheet1!R$20)*COS(RADIANS(38))+Sheet1!R$20)/2</f>
        <v>268.674471176357</v>
      </c>
      <c r="AR16" s="37" t="n">
        <f aca="false">(AV16-AV$4)/(AV$31-AV$4)*(AR$31-AR$4)+AR$4</f>
        <v>0.512187920137873</v>
      </c>
      <c r="AS16" s="39" t="n">
        <f aca="false">(AV16-AV$4)/(AV$19-AV$4)*(AS$19-AS$4)+AS$4</f>
        <v>288.706319738642</v>
      </c>
      <c r="AT16" s="39" t="n">
        <f aca="false">8314.4621*AS16/(Sheet1!R$22*Sheet1!R$12*9.80665)</f>
        <v>5107.29007345487</v>
      </c>
      <c r="AU16" s="39" t="n">
        <f aca="false">AU15-LN(AP16/AP15)*(AT15+AT16)/2</f>
        <v>11404.2105723615</v>
      </c>
      <c r="AV16" s="39" t="n">
        <f aca="false">Sheet1!R$10*10/Sheet1!R$11*1000*AU16/(Sheet1!R$10*10/Sheet1!R$11*1000-AU16)</f>
        <v>11423.2007453513</v>
      </c>
    </row>
    <row r="17" customFormat="false" ht="14.4" hidden="false" customHeight="false" outlineLevel="0" collapsed="false">
      <c r="A17" s="31" t="s">
        <v>80</v>
      </c>
      <c r="B17" s="38" t="n">
        <v>3.4</v>
      </c>
      <c r="C17" s="38" t="n">
        <v>2.27</v>
      </c>
      <c r="D17" s="38" t="n">
        <v>4.09691001300806</v>
      </c>
      <c r="E17" s="36" t="n">
        <f aca="false">IF(LOG(Sheet1!C$13*(11-Sheet1!C$11)^2/3.828E+026)&gt;C17,IF(LOG(Sheet1!C$13*(11-Sheet1!C$11)^2/3.828E+026)&lt;C16,(LOG(Sheet1!C$13*(11-Sheet1!C$11)^2/3.828E+026)-C17)/(C16-C17)*(B16-B17)+B17,0),0)</f>
        <v>0</v>
      </c>
      <c r="F17" s="37" t="n">
        <f aca="false">IF(LOG(Sheet1!C$13*(11-Sheet1!C$11)^2/3.828E+026)&gt;C17,IF(LOG(Sheet1!C$13*(11-Sheet1!C$11)^2/3.828E+026)&lt;C16,(LOG(Sheet1!C$13*(11-Sheet1!C$11)^2/3.828E+026)-C17)/(C16-C17)*(D16-D17)+D17,0),0)</f>
        <v>0</v>
      </c>
      <c r="G17" s="32" t="n">
        <f aca="false">IF(F17&gt;0,IF(F17&gt;(D16+D17)/2,A16,A17),0)</f>
        <v>0</v>
      </c>
      <c r="H17" s="32"/>
      <c r="I17" s="32"/>
      <c r="J17" s="37" t="n">
        <f aca="false">J16+(J$10-J$4)/6</f>
        <v>2.89153723198886</v>
      </c>
      <c r="K17" s="40" t="n">
        <f aca="false">10^J17</f>
        <v>778.999595188131</v>
      </c>
      <c r="L17" s="39" t="n">
        <f aca="false">(O17-O$16)/(O$22-O$16)*(L$22-L$16)+L$16</f>
        <v>4675.59717971057</v>
      </c>
      <c r="M17" s="39" t="n">
        <f aca="false">8314.4621*L17/(Sheet1!C$16*Sheet1!C$12*9.80665)</f>
        <v>109926.085116078</v>
      </c>
      <c r="N17" s="39" t="n">
        <f aca="false">N16-LN(K17/K16)*(M16+M17)/2</f>
        <v>289769.392572633</v>
      </c>
      <c r="O17" s="39" t="n">
        <f aca="false">Sheet1!C$10*10/Sheet1!C$11*1000*N17/(Sheet1!C$10*10/Sheet1!C$11*1000-N17)</f>
        <v>289888.932831606</v>
      </c>
      <c r="Q17" s="37" t="n">
        <f aca="false">Q16-0.1</f>
        <v>7.2</v>
      </c>
      <c r="R17" s="40" t="n">
        <f aca="false">10^Q17</f>
        <v>15848931.9246113</v>
      </c>
      <c r="S17" s="39" t="n">
        <f aca="false">U17-T17*((Sheet1!H$18-Sheet1!H$19)*COS(RADIANS(38))+Sheet1!H$19)/2</f>
        <v>613.965383144952</v>
      </c>
      <c r="T17" s="37" t="n">
        <v>0</v>
      </c>
      <c r="U17" s="39" t="n">
        <f aca="false">(X17-X$14)/(X$24-X$14)*(U$24-U$14)+U$14</f>
        <v>613.965383144952</v>
      </c>
      <c r="V17" s="39" t="n">
        <f aca="false">8314.4621*U17/(Sheet1!H$20*Sheet1!H$12*9.80665)</f>
        <v>121856.560762248</v>
      </c>
      <c r="W17" s="39" t="n">
        <f aca="false">W16-LN(R17/R16)*(V16+V17)/2</f>
        <v>562458.390894379</v>
      </c>
      <c r="X17" s="39" t="n">
        <f aca="false">Sheet1!H$10*10/Sheet1!H$11*1000*W17/(Sheet1!H$10*10/Sheet1!H$11*1000-W17)</f>
        <v>567848.935729792</v>
      </c>
      <c r="Y17" s="37"/>
      <c r="Z17" s="39"/>
      <c r="AF17" s="37" t="n">
        <f aca="false">AF16+(AF$18-AF$13)/5</f>
        <v>3.78861272823696</v>
      </c>
      <c r="AG17" s="40" t="n">
        <f aca="false">10^AF17</f>
        <v>6146.28547896031</v>
      </c>
      <c r="AH17" s="39" t="n">
        <f aca="false">AJ17-AI17*((Sheet1!M$19-Sheet1!M$20)*COS(RADIANS(38))+Sheet1!M$20)/2</f>
        <v>189.626540415304</v>
      </c>
      <c r="AI17" s="37" t="n">
        <f aca="false">(AM17-AM$13)/(AM$30-AM$13)*(AI$30-AI$13)+AI$13</f>
        <v>-0.232109639652099</v>
      </c>
      <c r="AJ17" s="39" t="n">
        <f aca="false">(AM17-AM$13)/(AM$18-AM$13)*(AJ$18-AJ$13)+AJ$13</f>
        <v>188.156344229661</v>
      </c>
      <c r="AK17" s="39" t="n">
        <f aca="false">8314.4621*AJ17/(Sheet1!M$21*Sheet1!M$12*9.80665)</f>
        <v>5533.22546334757</v>
      </c>
      <c r="AL17" s="39" t="n">
        <f aca="false">AL16-LN(AG17/AG16)*(AK16+AK17)/2</f>
        <v>15080.677002982</v>
      </c>
      <c r="AM17" s="39" t="n">
        <f aca="false">Sheet1!M$10*10/Sheet1!M$11*1000*AL17/(Sheet1!M$10*10/Sheet1!M$11*1000-AL17)</f>
        <v>15116.6342709335</v>
      </c>
      <c r="AN17" s="41"/>
      <c r="AO17" s="37" t="n">
        <f aca="false">AO16+(AO$19-AO$4)/15</f>
        <v>2.9233401126738</v>
      </c>
      <c r="AP17" s="40" t="n">
        <f aca="false">10^AO17</f>
        <v>838.185440343724</v>
      </c>
      <c r="AQ17" s="39" t="n">
        <f aca="false">AS17-AR17*((Sheet1!R$19-Sheet1!R$20)*COS(RADIANS(38))+Sheet1!R$20)/2</f>
        <v>264.243944222858</v>
      </c>
      <c r="AR17" s="37" t="n">
        <f aca="false">(AV17-AV$4)/(AV$31-AV$4)*(AR$31-AR$4)+AR$4</f>
        <v>0.476598076114781</v>
      </c>
      <c r="AS17" s="39" t="n">
        <f aca="false">(AV17-AV$4)/(AV$19-AV$4)*(AS$19-AS$4)+AS$4</f>
        <v>282.883861547026</v>
      </c>
      <c r="AT17" s="39" t="n">
        <f aca="false">8314.4621*AS17/(Sheet1!R$22*Sheet1!R$12*9.80665)</f>
        <v>5004.28926989759</v>
      </c>
      <c r="AU17" s="39" t="n">
        <f aca="false">AU16-LN(AP17/AP16)*(AT16+AT17)/2</f>
        <v>12234.7562250221</v>
      </c>
      <c r="AV17" s="39" t="n">
        <f aca="false">Sheet1!R$10*10/Sheet1!R$11*1000*AU17/(Sheet1!R$10*10/Sheet1!R$11*1000-AU17)</f>
        <v>12256.6158032286</v>
      </c>
    </row>
    <row r="18" customFormat="false" ht="14.4" hidden="false" customHeight="false" outlineLevel="0" collapsed="false">
      <c r="A18" s="31" t="s">
        <v>81</v>
      </c>
      <c r="B18" s="38" t="n">
        <v>2.8</v>
      </c>
      <c r="C18" s="38" t="n">
        <v>1.79</v>
      </c>
      <c r="D18" s="38" t="n">
        <v>4.02938377768521</v>
      </c>
      <c r="E18" s="36" t="n">
        <f aca="false">IF(LOG(Sheet1!C$13*(11-Sheet1!C$11)^2/3.828E+026)&gt;C18,IF(LOG(Sheet1!C$13*(11-Sheet1!C$11)^2/3.828E+026)&lt;C17,(LOG(Sheet1!C$13*(11-Sheet1!C$11)^2/3.828E+026)-C18)/(C17-C18)*(B17-B18)+B18,0),0)</f>
        <v>0</v>
      </c>
      <c r="F18" s="37" t="n">
        <f aca="false">IF(LOG(Sheet1!C$13*(11-Sheet1!C$11)^2/3.828E+026)&gt;C18,IF(LOG(Sheet1!C$13*(11-Sheet1!C$11)^2/3.828E+026)&lt;C17,(LOG(Sheet1!C$13*(11-Sheet1!C$11)^2/3.828E+026)-C18)/(C17-C18)*(D17-D18)+D18,0),0)</f>
        <v>0</v>
      </c>
      <c r="G18" s="32" t="n">
        <f aca="false">IF(F18&gt;0,IF(F18&gt;(D17+D18)/2,A17,A18),0)</f>
        <v>0</v>
      </c>
      <c r="H18" s="32"/>
      <c r="I18" s="32"/>
      <c r="J18" s="37" t="n">
        <f aca="false">J17+(J$10-J$4)/6</f>
        <v>2.81048839271714</v>
      </c>
      <c r="K18" s="40" t="n">
        <f aca="false">10^J18</f>
        <v>646.380718108629</v>
      </c>
      <c r="L18" s="39" t="n">
        <f aca="false">(O18-O$16)/(O$22-O$16)*(L$22-L$16)+L$16</f>
        <v>4636.79103851273</v>
      </c>
      <c r="M18" s="39" t="n">
        <f aca="false">8314.4621*L18/(Sheet1!C$16*Sheet1!C$12*9.80665)</f>
        <v>109013.729535308</v>
      </c>
      <c r="N18" s="39" t="n">
        <f aca="false">N17-LN(K18/K17)*(M17+M18)/2</f>
        <v>310198.869099821</v>
      </c>
      <c r="O18" s="39" t="n">
        <f aca="false">Sheet1!C$10*10/Sheet1!C$11*1000*N18/(Sheet1!C$10*10/Sheet1!C$11*1000-N18)</f>
        <v>310335.863313341</v>
      </c>
      <c r="Q18" s="37" t="n">
        <f aca="false">Q17-0.1</f>
        <v>7.10000000000001</v>
      </c>
      <c r="R18" s="40" t="n">
        <f aca="false">10^Q18</f>
        <v>12589254.1179418</v>
      </c>
      <c r="S18" s="39" t="n">
        <f aca="false">U18-T18*((Sheet1!H$18-Sheet1!H$19)*COS(RADIANS(38))+Sheet1!H$19)/2</f>
        <v>578.517130243172</v>
      </c>
      <c r="T18" s="37" t="n">
        <v>0</v>
      </c>
      <c r="U18" s="39" t="n">
        <f aca="false">(X18-X$14)/(X$24-X$14)*(U$24-U$14)+U$14</f>
        <v>578.517130243172</v>
      </c>
      <c r="V18" s="39" t="n">
        <f aca="false">8314.4621*U18/(Sheet1!H$20*Sheet1!H$12*9.80665)</f>
        <v>114820.981392097</v>
      </c>
      <c r="W18" s="39" t="n">
        <f aca="false">W17-LN(R18/R17)*(V17+V18)/2</f>
        <v>589706.899914932</v>
      </c>
      <c r="X18" s="39" t="n">
        <f aca="false">Sheet1!H$10*10/Sheet1!H$11*1000*W18/(Sheet1!H$10*10/Sheet1!H$11*1000-W18)</f>
        <v>595635.142529424</v>
      </c>
      <c r="Y18" s="37"/>
      <c r="Z18" s="39"/>
      <c r="AC18" s="39" t="s">
        <v>62</v>
      </c>
      <c r="AD18" s="39" t="s">
        <v>82</v>
      </c>
      <c r="AF18" s="37" t="n">
        <f aca="false">IF(AF4&gt;4.625,3.7,0.8*AF4)</f>
        <v>3.7</v>
      </c>
      <c r="AG18" s="40" t="n">
        <f aca="false">10^AF18</f>
        <v>5011.87233627272</v>
      </c>
      <c r="AH18" s="39" t="n">
        <f aca="false">AJ18-AI18*((Sheet1!M$19-Sheet1!M$20)*COS(RADIANS(38))+Sheet1!M$20)/2</f>
        <v>188.604252077761</v>
      </c>
      <c r="AI18" s="37" t="n">
        <f aca="false">(AM18-AM$13)/(AM$30-AM$13)*(AI$30-AI$13)+AI$13</f>
        <v>-0.19052185982453</v>
      </c>
      <c r="AJ18" s="39" t="n">
        <f aca="false">0.77*Sheet1!M16+0.56*Sheet1!M18</f>
        <v>187.397475349248</v>
      </c>
      <c r="AK18" s="39" t="n">
        <f aca="false">8314.4621*AJ18/(Sheet1!M$21*Sheet1!M$12*9.80665)</f>
        <v>5510.90895507553</v>
      </c>
      <c r="AL18" s="39" t="n">
        <f aca="false">AL17-LN(AG18/AG17)*(AK17+AK18)/2</f>
        <v>16207.3904688581</v>
      </c>
      <c r="AM18" s="39" t="n">
        <f aca="false">Sheet1!M$10*10/Sheet1!M$11*1000*AL18/(Sheet1!M$10*10/Sheet1!M$11*1000-AL18)</f>
        <v>16248.928754825</v>
      </c>
      <c r="AN18" s="41"/>
      <c r="AO18" s="37" t="n">
        <f aca="false">AO17+(AO$19-AO$4)/15</f>
        <v>2.85199591730809</v>
      </c>
      <c r="AP18" s="40" t="n">
        <f aca="false">10^AO18</f>
        <v>711.206827747503</v>
      </c>
      <c r="AQ18" s="39" t="n">
        <f aca="false">AS18-AR18*((Sheet1!R$19-Sheet1!R$20)*COS(RADIANS(38))+Sheet1!R$20)/2</f>
        <v>259.901737280951</v>
      </c>
      <c r="AR18" s="37" t="n">
        <f aca="false">(AV18-AV$4)/(AV$31-AV$4)*(AR$31-AR$4)+AR$4</f>
        <v>0.441717695202887</v>
      </c>
      <c r="AS18" s="39" t="n">
        <f aca="false">(AV18-AV$4)/(AV$19-AV$4)*(AS$19-AS$4)+AS$4</f>
        <v>277.177470717234</v>
      </c>
      <c r="AT18" s="39" t="n">
        <f aca="false">8314.4621*AS18/(Sheet1!R$22*Sheet1!R$12*9.80665)</f>
        <v>4903.34172823437</v>
      </c>
      <c r="AU18" s="39" t="n">
        <f aca="false">AU17-LN(AP18/AP17)*(AT17+AT18)/2</f>
        <v>13048.5499890445</v>
      </c>
      <c r="AV18" s="39" t="n">
        <f aca="false">Sheet1!R$10*10/Sheet1!R$11*1000*AU18/(Sheet1!R$10*10/Sheet1!R$11*1000-AU18)</f>
        <v>13073.4172103268</v>
      </c>
    </row>
    <row r="19" customFormat="false" ht="14.4" hidden="false" customHeight="false" outlineLevel="0" collapsed="false">
      <c r="A19" s="31" t="s">
        <v>83</v>
      </c>
      <c r="B19" s="38" t="n">
        <v>2.5</v>
      </c>
      <c r="C19" s="38" t="n">
        <v>1.73</v>
      </c>
      <c r="D19" s="38" t="n">
        <v>4.01703333929878</v>
      </c>
      <c r="E19" s="36" t="n">
        <f aca="false">IF(LOG(Sheet1!C$13*(11-Sheet1!C$11)^2/3.828E+026)&gt;C19,IF(LOG(Sheet1!C$13*(11-Sheet1!C$11)^2/3.828E+026)&lt;C18,(LOG(Sheet1!C$13*(11-Sheet1!C$11)^2/3.828E+026)-C19)/(C18-C19)*(B18-B19)+B19,0),0)</f>
        <v>0</v>
      </c>
      <c r="F19" s="37" t="n">
        <f aca="false">IF(LOG(Sheet1!C$13*(11-Sheet1!C$11)^2/3.828E+026)&gt;C19,IF(LOG(Sheet1!C$13*(11-Sheet1!C$11)^2/3.828E+026)&lt;C18,(LOG(Sheet1!C$13*(11-Sheet1!C$11)^2/3.828E+026)-C19)/(C18-C19)*(D18-D19)+D19,0),0)</f>
        <v>0</v>
      </c>
      <c r="G19" s="32" t="n">
        <f aca="false">IF(F19&gt;0,IF(F19&gt;(D18+D19)/2,A18,A19),0)</f>
        <v>0</v>
      </c>
      <c r="H19" s="32" t="n">
        <f aca="false">IF(G19&lt;&gt;0,G19,IF(G20&lt;&gt;0,G20,IF(G21&lt;&gt;0,G21,IF(G22&lt;&gt;0,G22,IF(G23&lt;&gt;0,G23,IF(G24&lt;&gt;0,G24,IF(G25&lt;&gt;0,G25,0)))))))</f>
        <v>0</v>
      </c>
      <c r="I19" s="32"/>
      <c r="J19" s="37" t="n">
        <f aca="false">J18+(J$10-J$4)/6</f>
        <v>2.72943955344543</v>
      </c>
      <c r="K19" s="40" t="n">
        <f aca="false">10^J19</f>
        <v>536.339216763938</v>
      </c>
      <c r="L19" s="39" t="n">
        <f aca="false">(O19-O$16)/(O$22-O$16)*(L$22-L$16)+L$16</f>
        <v>4598.30475717872</v>
      </c>
      <c r="M19" s="39" t="n">
        <f aca="false">8314.4621*L19/(Sheet1!C$16*Sheet1!C$12*9.80665)</f>
        <v>108108.894051173</v>
      </c>
      <c r="N19" s="39" t="n">
        <f aca="false">N18-LN(K19/K18)*(M18+M19)/2</f>
        <v>330458.781848647</v>
      </c>
      <c r="O19" s="39" t="n">
        <f aca="false">Sheet1!C$10*10/Sheet1!C$11*1000*N19/(Sheet1!C$10*10/Sheet1!C$11*1000-N19)</f>
        <v>330614.259841488</v>
      </c>
      <c r="Q19" s="37" t="n">
        <f aca="false">Q18-0.1</f>
        <v>7.00000000000001</v>
      </c>
      <c r="R19" s="40" t="n">
        <f aca="false">10^Q19</f>
        <v>10000000.0000001</v>
      </c>
      <c r="S19" s="39" t="n">
        <f aca="false">U19-T19*((Sheet1!H$18-Sheet1!H$19)*COS(RADIANS(38))+Sheet1!H$19)/2</f>
        <v>545.086261458227</v>
      </c>
      <c r="T19" s="37" t="n">
        <v>0</v>
      </c>
      <c r="U19" s="39" t="n">
        <f aca="false">(X19-X$14)/(X$24-X$14)*(U$24-U$14)+U$14</f>
        <v>545.086261458227</v>
      </c>
      <c r="V19" s="39" t="n">
        <f aca="false">8314.4621*U19/(Sheet1!H$20*Sheet1!H$12*9.80665)</f>
        <v>108185.801616064</v>
      </c>
      <c r="W19" s="39" t="n">
        <f aca="false">W18-LN(R19/R18)*(V18+V19)/2</f>
        <v>615381.50462449</v>
      </c>
      <c r="X19" s="39" t="n">
        <f aca="false">Sheet1!H$10*10/Sheet1!H$11*1000*W19/(Sheet1!H$10*10/Sheet1!H$11*1000-W19)</f>
        <v>621840.017844113</v>
      </c>
      <c r="Y19" s="37"/>
      <c r="Z19" s="39"/>
      <c r="AC19" s="39" t="n">
        <f aca="false">AC4</f>
        <v>679241.53676573</v>
      </c>
      <c r="AD19" s="32" t="n">
        <f aca="false">IF(MAX(Y4:Y170)&gt;3.5,0,1)</f>
        <v>0</v>
      </c>
      <c r="AF19" s="37" t="n">
        <f aca="false">AF18-0.1</f>
        <v>3.6</v>
      </c>
      <c r="AG19" s="40" t="n">
        <f aca="false">10^AF19</f>
        <v>3981.07170553497</v>
      </c>
      <c r="AH19" s="39" t="n">
        <f aca="false">AJ19-AI19*((Sheet1!M$19-Sheet1!M$20)*COS(RADIANS(38))+Sheet1!M$20)/2</f>
        <v>189.596787341149</v>
      </c>
      <c r="AI19" s="37" t="n">
        <f aca="false">(AM19-AM$13)/(AM$30-AM$13)*(AI$30-AI$13)+AI$13</f>
        <v>-0.143505541519277</v>
      </c>
      <c r="AJ19" s="39" t="n">
        <f aca="false">(AM19-AM$18)/(AM$25-AM$18)*(AJ$25-AJ$18)+AJ$18</f>
        <v>188.687814753554</v>
      </c>
      <c r="AK19" s="39" t="n">
        <f aca="false">8314.4621*AJ19/(Sheet1!M$21*Sheet1!M$12*9.80665)</f>
        <v>5548.85473297367</v>
      </c>
      <c r="AL19" s="39" t="n">
        <f aca="false">AL18-LN(AG19/AG18)*(AK18+AK19)/2</f>
        <v>17480.692818865</v>
      </c>
      <c r="AM19" s="39" t="n">
        <f aca="false">Sheet1!M$10*10/Sheet1!M$11*1000*AL19/(Sheet1!M$10*10/Sheet1!M$11*1000-AL19)</f>
        <v>17529.0239676652</v>
      </c>
      <c r="AN19" s="41"/>
      <c r="AO19" s="37" t="n">
        <f aca="false">AO4+0.2*(AO61-AO4)</f>
        <v>2.78065172194239</v>
      </c>
      <c r="AP19" s="40" t="n">
        <f aca="false">10^AO19</f>
        <v>603.464493044931</v>
      </c>
      <c r="AQ19" s="39" t="n">
        <f aca="false">AS19-AR19*((Sheet1!R$19-Sheet1!R$20)*COS(RADIANS(38))+Sheet1!R$20)/2</f>
        <v>255.646132938354</v>
      </c>
      <c r="AR19" s="37" t="n">
        <f aca="false">(AV19-AV$4)/(AV$31-AV$4)*(AR$31-AR$4)+AR$4</f>
        <v>0.407532981793903</v>
      </c>
      <c r="AS19" s="39" t="n">
        <f aca="false">Sheet1!R16+0.36*(AS61-Sheet1!R16)+0.3*Sheet1!R18</f>
        <v>271.584890285919</v>
      </c>
      <c r="AT19" s="39" t="n">
        <f aca="false">8314.4621*AS19/(Sheet1!R$22*Sheet1!R$12*9.80665)</f>
        <v>4804.40752219513</v>
      </c>
      <c r="AU19" s="39" t="n">
        <f aca="false">AU18-LN(AP19/AP18)*(AT18+AT19)/2</f>
        <v>13845.9254887845</v>
      </c>
      <c r="AV19" s="39" t="n">
        <f aca="false">Sheet1!R$10*10/Sheet1!R$11*1000*AU19/(Sheet1!R$10*10/Sheet1!R$11*1000-AU19)</f>
        <v>13873.9280213823</v>
      </c>
    </row>
    <row r="20" customFormat="false" ht="14.4" hidden="false" customHeight="false" outlineLevel="0" collapsed="false">
      <c r="A20" s="31" t="s">
        <v>84</v>
      </c>
      <c r="B20" s="38" t="n">
        <v>2.3</v>
      </c>
      <c r="C20" s="38" t="n">
        <v>1.54</v>
      </c>
      <c r="D20" s="38" t="n">
        <v>3.98677173426624</v>
      </c>
      <c r="E20" s="36" t="n">
        <f aca="false">IF(LOG(Sheet1!C$13*(11-Sheet1!C$11)^2/3.828E+026)&gt;C20,IF(LOG(Sheet1!C$13*(11-Sheet1!C$11)^2/3.828E+026)&lt;C19,(LOG(Sheet1!C$13*(11-Sheet1!C$11)^2/3.828E+026)-C20)/(C19-C20)*(B19-B20)+B20,0),0)</f>
        <v>0</v>
      </c>
      <c r="F20" s="37" t="n">
        <f aca="false">IF(LOG(Sheet1!C$13*(11-Sheet1!C$11)^2/3.828E+026)&gt;C20,IF(LOG(Sheet1!C$13*(11-Sheet1!C$11)^2/3.828E+026)&lt;C19,(LOG(Sheet1!C$13*(11-Sheet1!C$11)^2/3.828E+026)-C20)/(C19-C20)*(D19-D20)+D20,0),0)</f>
        <v>0</v>
      </c>
      <c r="G20" s="32" t="n">
        <f aca="false">IF(F20&gt;0,IF(F20&gt;(D19+D20)/2,A19,A20),0)</f>
        <v>0</v>
      </c>
      <c r="H20" s="32"/>
      <c r="I20" s="32"/>
      <c r="J20" s="37" t="n">
        <f aca="false">J19+(J$10-J$4)/6</f>
        <v>2.64839071417372</v>
      </c>
      <c r="K20" s="40" t="n">
        <f aca="false">10^J20</f>
        <v>445.031461149822</v>
      </c>
      <c r="L20" s="39" t="n">
        <f aca="false">(O20-O$16)/(O$22-O$16)*(L$22-L$16)+L$16</f>
        <v>4560.13573590484</v>
      </c>
      <c r="M20" s="39" t="n">
        <f aca="false">8314.4621*L20/(Sheet1!C$16*Sheet1!C$12*9.80665)</f>
        <v>107211.517540733</v>
      </c>
      <c r="N20" s="39" t="n">
        <f aca="false">N19-LN(K20/K19)*(M19+M20)/2</f>
        <v>350550.528530015</v>
      </c>
      <c r="O20" s="39" t="n">
        <f aca="false">Sheet1!C$10*10/Sheet1!C$11*1000*N20/(Sheet1!C$10*10/Sheet1!C$11*1000-N20)</f>
        <v>350725.492250916</v>
      </c>
      <c r="Q20" s="37" t="n">
        <f aca="false">Q19-0.1</f>
        <v>6.90000000000001</v>
      </c>
      <c r="R20" s="40" t="n">
        <f aca="false">10^Q20</f>
        <v>7943282.34724292</v>
      </c>
      <c r="S20" s="39" t="n">
        <f aca="false">U20-T20*((Sheet1!H$18-Sheet1!H$19)*COS(RADIANS(38))+Sheet1!H$19)/2</f>
        <v>513.561285237634</v>
      </c>
      <c r="T20" s="37" t="n">
        <v>0</v>
      </c>
      <c r="U20" s="39" t="n">
        <f aca="false">(X20-X$14)/(X$24-X$14)*(U$24-U$14)+U$14</f>
        <v>513.561285237634</v>
      </c>
      <c r="V20" s="39" t="n">
        <f aca="false">8314.4621*U20/(Sheet1!H$20*Sheet1!H$12*9.80665)</f>
        <v>101928.893187978</v>
      </c>
      <c r="W20" s="39" t="n">
        <f aca="false">W19-LN(R20/R19)*(V19+V20)/2</f>
        <v>639571.852828228</v>
      </c>
      <c r="X20" s="39" t="n">
        <f aca="false">Sheet1!H$10*10/Sheet1!H$11*1000*W20/(Sheet1!H$10*10/Sheet1!H$11*1000-W20)</f>
        <v>646550.987329049</v>
      </c>
      <c r="Y20" s="37"/>
      <c r="Z20" s="39"/>
      <c r="AC20" s="39" t="n">
        <f aca="false">IF(AD20=0,AA44,IF(AD20=1,AA54,IF(AD20=2,AA100,AA170)))</f>
        <v>962518.426396503</v>
      </c>
      <c r="AD20" s="32" t="n">
        <f aca="false">IF(MAX(Y4:Y170)&gt;4.5,0,IF(MAX(Y4:Y170)&gt;3.5,1,IF(MAX(Y4:Y170)&gt;-1,2,4)))</f>
        <v>0</v>
      </c>
      <c r="AF20" s="37" t="n">
        <f aca="false">AF19-0.1</f>
        <v>3.5</v>
      </c>
      <c r="AG20" s="40" t="n">
        <f aca="false">10^AF20</f>
        <v>3162.27766016838</v>
      </c>
      <c r="AH20" s="39" t="n">
        <f aca="false">AJ20-AI20*((Sheet1!M$19-Sheet1!M$20)*COS(RADIANS(38))+Sheet1!M$20)/2</f>
        <v>190.596562070631</v>
      </c>
      <c r="AI20" s="37" t="n">
        <f aca="false">(AM20-AM$13)/(AM$30-AM$13)*(AI$30-AI$13)+AI$13</f>
        <v>-0.0961462856004666</v>
      </c>
      <c r="AJ20" s="39" t="n">
        <f aca="false">(AM20-AM$18)/(AM$25-AM$18)*(AJ$25-AJ$18)+AJ$18</f>
        <v>189.987565811081</v>
      </c>
      <c r="AK20" s="39" t="n">
        <f aca="false">8314.4621*AJ20/(Sheet1!M$21*Sheet1!M$12*9.80665)</f>
        <v>5587.07728495281</v>
      </c>
      <c r="AL20" s="39" t="n">
        <f aca="false">AL19-LN(AG20/AG19)*(AK19+AK20)/2</f>
        <v>18762.7643719187</v>
      </c>
      <c r="AM20" s="39" t="n">
        <f aca="false">Sheet1!M$10*10/Sheet1!M$11*1000*AL20/(Sheet1!M$10*10/Sheet1!M$11*1000-AL20)</f>
        <v>18818.4562109928</v>
      </c>
      <c r="AN20" s="41"/>
      <c r="AO20" s="37" t="n">
        <f aca="false">AO19+(AO$31-AO$19)/12</f>
        <v>2.69147147773526</v>
      </c>
      <c r="AP20" s="40" t="n">
        <f aca="false">10^AO20</f>
        <v>491.441103773605</v>
      </c>
      <c r="AQ20" s="39" t="n">
        <f aca="false">AS20-AR20*((Sheet1!R$19-Sheet1!R$20)*COS(RADIANS(38))+Sheet1!R$20)/2</f>
        <v>252.474321523101</v>
      </c>
      <c r="AR20" s="37" t="n">
        <f aca="false">(AV20-AV$4)/(AV$31-AV$4)*(AR$31-AR$4)+AR$4</f>
        <v>0.365601381956892</v>
      </c>
      <c r="AS20" s="39" t="n">
        <f aca="false">(AV20-AV$19)/(AV$31-AV$19)*(AS$31-AS$19)+AS$19</f>
        <v>266.773119346273</v>
      </c>
      <c r="AT20" s="39" t="n">
        <f aca="false">8314.4621*AS20/(Sheet1!R$22*Sheet1!R$12*9.80665)</f>
        <v>4719.28603965178</v>
      </c>
      <c r="AU20" s="39" t="n">
        <f aca="false">AU19-LN(AP20/AP19)*(AT19+AT20)/2</f>
        <v>14823.7473964879</v>
      </c>
      <c r="AV20" s="39" t="n">
        <f aca="false">Sheet1!R$10*10/Sheet1!R$11*1000*AU20/(Sheet1!R$10*10/Sheet1!R$11*1000-AU20)</f>
        <v>14855.8493437229</v>
      </c>
    </row>
    <row r="21" customFormat="false" ht="14.4" hidden="false" customHeight="false" outlineLevel="0" collapsed="false">
      <c r="A21" s="31" t="s">
        <v>85</v>
      </c>
      <c r="B21" s="38" t="n">
        <v>2.15</v>
      </c>
      <c r="C21" s="38" t="n">
        <v>1.41</v>
      </c>
      <c r="D21" s="38" t="n">
        <v>3.96378782734556</v>
      </c>
      <c r="E21" s="36" t="n">
        <f aca="false">IF(LOG(Sheet1!C$13*(11-Sheet1!C$11)^2/3.828E+026)&gt;C21,IF(LOG(Sheet1!C$13*(11-Sheet1!C$11)^2/3.828E+026)&lt;C20,(LOG(Sheet1!C$13*(11-Sheet1!C$11)^2/3.828E+026)-C21)/(C20-C21)*(B20-B21)+B21,0),0)</f>
        <v>0</v>
      </c>
      <c r="F21" s="37" t="n">
        <f aca="false">IF(LOG(Sheet1!C$13*(11-Sheet1!C$11)^2/3.828E+026)&gt;C21,IF(LOG(Sheet1!C$13*(11-Sheet1!C$11)^2/3.828E+026)&lt;C20,(LOG(Sheet1!C$13*(11-Sheet1!C$11)^2/3.828E+026)-C21)/(C20-C21)*(D20-D21)+D21,0),0)</f>
        <v>0</v>
      </c>
      <c r="G21" s="32" t="n">
        <f aca="false">IF(F21&gt;0,IF(F21&gt;(D20+D21)/2,A20,A21),0)</f>
        <v>0</v>
      </c>
      <c r="H21" s="32"/>
      <c r="I21" s="32"/>
      <c r="J21" s="37" t="n">
        <f aca="false">J20+(J$10-J$4)/6</f>
        <v>2.567341874902</v>
      </c>
      <c r="K21" s="40" t="n">
        <f aca="false">10^J21</f>
        <v>369.268170632982</v>
      </c>
      <c r="L21" s="39" t="n">
        <f aca="false">(O21-O$16)/(O$22-O$16)*(L$22-L$16)+L$16</f>
        <v>4522.28139541411</v>
      </c>
      <c r="M21" s="39" t="n">
        <f aca="false">8314.4621*L21/(Sheet1!C$16*Sheet1!C$12*9.80665)</f>
        <v>106321.539363645</v>
      </c>
      <c r="N21" s="39" t="n">
        <f aca="false">N20-LN(K21/K20)*(M20+M21)/2</f>
        <v>370475.49549298</v>
      </c>
      <c r="O21" s="39" t="n">
        <f aca="false">Sheet1!C$10*10/Sheet1!C$11*1000*N21/(Sheet1!C$10*10/Sheet1!C$11*1000-N21)</f>
        <v>370670.919560988</v>
      </c>
      <c r="Q21" s="37" t="n">
        <f aca="false">Q20-0.1</f>
        <v>6.80000000000001</v>
      </c>
      <c r="R21" s="40" t="n">
        <f aca="false">10^Q21</f>
        <v>6309573.44480202</v>
      </c>
      <c r="S21" s="39" t="n">
        <f aca="false">U21-T21*((Sheet1!H$18-Sheet1!H$19)*COS(RADIANS(38))+Sheet1!H$19)/2</f>
        <v>483.836389528207</v>
      </c>
      <c r="T21" s="37" t="n">
        <v>0</v>
      </c>
      <c r="U21" s="39" t="n">
        <f aca="false">(X21-X$14)/(X$24-X$14)*(U$24-U$14)+U$14</f>
        <v>483.836389528207</v>
      </c>
      <c r="V21" s="39" t="n">
        <f aca="false">8314.4621*U21/(Sheet1!H$20*Sheet1!H$12*9.80665)</f>
        <v>96029.2550982647</v>
      </c>
      <c r="W21" s="39" t="n">
        <f aca="false">W20-LN(R21/R20)*(V20+V21)/2</f>
        <v>662362.626892259</v>
      </c>
      <c r="X21" s="39" t="n">
        <f aca="false">Sheet1!H$10*10/Sheet1!H$11*1000*W21/(Sheet1!H$10*10/Sheet1!H$11*1000-W21)</f>
        <v>669850.930273033</v>
      </c>
      <c r="Y21" s="37"/>
      <c r="Z21" s="39"/>
      <c r="AC21" s="39" t="n">
        <f aca="false">IF(AD21=0,0,IF(AD21=1,AA54,IF(AD21=2,AA100,AA170)))</f>
        <v>1029224.55667517</v>
      </c>
      <c r="AD21" s="32" t="n">
        <f aca="false">IF(AD20=0,1,IF(AD20=1,2,IF(AD20=2,4,0)))</f>
        <v>1</v>
      </c>
      <c r="AF21" s="37" t="n">
        <f aca="false">AF20-0.1</f>
        <v>3.4</v>
      </c>
      <c r="AG21" s="40" t="n">
        <f aca="false">10^AF21</f>
        <v>2511.88643150958</v>
      </c>
      <c r="AH21" s="39" t="n">
        <f aca="false">AJ21-AI21*((Sheet1!M$19-Sheet1!M$20)*COS(RADIANS(38))+Sheet1!M$20)/2</f>
        <v>191.603634758741</v>
      </c>
      <c r="AI21" s="37" t="n">
        <f aca="false">(AM21-AM$13)/(AM$30-AM$13)*(AI$30-AI$13)+AI$13</f>
        <v>-0.0484413211193445</v>
      </c>
      <c r="AJ21" s="39" t="n">
        <f aca="false">(AM21-AM$18)/(AM$25-AM$18)*(AJ$25-AJ$18)+AJ$18</f>
        <v>191.296804565717</v>
      </c>
      <c r="AK21" s="39" t="n">
        <f aca="false">8314.4621*AJ21/(Sheet1!M$21*Sheet1!M$12*9.80665)</f>
        <v>5625.57884728074</v>
      </c>
      <c r="AL21" s="39" t="n">
        <f aca="false">AL20-LN(AG21/AG20)*(AK20+AK21)/2</f>
        <v>20053.6691150661</v>
      </c>
      <c r="AM21" s="39" t="n">
        <f aca="false">Sheet1!M$10*10/Sheet1!M$11*1000*AL21/(Sheet1!M$10*10/Sheet1!M$11*1000-AL21)</f>
        <v>20117.3009283636</v>
      </c>
      <c r="AN21" s="41"/>
      <c r="AO21" s="37" t="n">
        <f aca="false">AO20+(AO$31-AO$19)/12</f>
        <v>2.60229123352812</v>
      </c>
      <c r="AP21" s="40" t="n">
        <f aca="false">10^AO21</f>
        <v>400.213038648882</v>
      </c>
      <c r="AQ21" s="39" t="n">
        <f aca="false">AS21-AR21*((Sheet1!R$19-Sheet1!R$20)*COS(RADIANS(38))+Sheet1!R$20)/2</f>
        <v>249.357832644349</v>
      </c>
      <c r="AR21" s="37" t="n">
        <f aca="false">(AV21-AV$4)/(AV$31-AV$4)*(AR$31-AR$4)+AR$4</f>
        <v>0.324401138383741</v>
      </c>
      <c r="AS21" s="39" t="n">
        <f aca="false">(AV21-AV$19)/(AV$31-AV$19)*(AS$31-AS$19)+AS$19</f>
        <v>262.045274542211</v>
      </c>
      <c r="AT21" s="39" t="n">
        <f aca="false">8314.4621*AS21/(Sheet1!R$22*Sheet1!R$12*9.80665)</f>
        <v>4635.64923232978</v>
      </c>
      <c r="AU21" s="39" t="n">
        <f aca="false">AU20-LN(AP21/AP20)*(AT20+AT21)/2</f>
        <v>15784.2424601612</v>
      </c>
      <c r="AV21" s="39" t="n">
        <f aca="false">Sheet1!R$10*10/Sheet1!R$11*1000*AU21/(Sheet1!R$10*10/Sheet1!R$11*1000-AU21)</f>
        <v>15820.6443386039</v>
      </c>
    </row>
    <row r="22" customFormat="false" ht="14.4" hidden="false" customHeight="false" outlineLevel="0" collapsed="false">
      <c r="A22" s="31" t="s">
        <v>86</v>
      </c>
      <c r="B22" s="38" t="n">
        <v>2.05</v>
      </c>
      <c r="C22" s="38" t="n">
        <v>1.33</v>
      </c>
      <c r="D22" s="38" t="n">
        <v>3.94645226501307</v>
      </c>
      <c r="E22" s="36" t="n">
        <f aca="false">IF(LOG(Sheet1!C$13*(11-Sheet1!C$11)^2/3.828E+026)&gt;C22,IF(LOG(Sheet1!C$13*(11-Sheet1!C$11)^2/3.828E+026)&lt;C21,(LOG(Sheet1!C$13*(11-Sheet1!C$11)^2/3.828E+026)-C22)/(C21-C22)*(B21-B22)+B22,0),0)</f>
        <v>0</v>
      </c>
      <c r="F22" s="37" t="n">
        <f aca="false">IF(LOG(Sheet1!C$13*(11-Sheet1!C$11)^2/3.828E+026)&gt;C22,IF(LOG(Sheet1!C$13*(11-Sheet1!C$11)^2/3.828E+026)&lt;C21,(LOG(Sheet1!C$13*(11-Sheet1!C$11)^2/3.828E+026)-C22)/(C21-C22)*(D21-D22)+D22,0),0)</f>
        <v>0</v>
      </c>
      <c r="G22" s="32" t="n">
        <f aca="false">IF(F22&gt;0,IF(F22&gt;(D21+D22)/2,A21,A22),0)</f>
        <v>0</v>
      </c>
      <c r="H22" s="32"/>
      <c r="I22" s="32"/>
      <c r="J22" s="37" t="n">
        <f aca="false">J4+0.75*(2-J4)</f>
        <v>2.48629303563029</v>
      </c>
      <c r="K22" s="40" t="n">
        <f aca="false">10^J22</f>
        <v>306.403015845936</v>
      </c>
      <c r="L22" s="39" t="n">
        <f aca="false">0.78*Sheet1!C14</f>
        <v>4484.73917680418</v>
      </c>
      <c r="M22" s="39" t="n">
        <f aca="false">8314.4621*L22/(Sheet1!C$16*Sheet1!C$12*9.80665)</f>
        <v>105438.899358584</v>
      </c>
      <c r="N22" s="39" t="n">
        <f aca="false">N21-LN(K22/K21)*(M21+M22)/2</f>
        <v>390235.057814485</v>
      </c>
      <c r="O22" s="39" t="n">
        <f aca="false">Sheet1!C$10*10/Sheet1!C$11*1000*N22/(Sheet1!C$10*10/Sheet1!C$11*1000-N22)</f>
        <v>390451.890055683</v>
      </c>
      <c r="Q22" s="37" t="n">
        <f aca="false">Q21-0.1</f>
        <v>6.70000000000001</v>
      </c>
      <c r="R22" s="40" t="n">
        <f aca="false">10^Q22</f>
        <v>5011872.3362728</v>
      </c>
      <c r="S22" s="39" t="n">
        <f aca="false">U22-T22*((Sheet1!H$18-Sheet1!H$19)*COS(RADIANS(38))+Sheet1!H$19)/2</f>
        <v>455.811417527312</v>
      </c>
      <c r="T22" s="37" t="n">
        <v>0</v>
      </c>
      <c r="U22" s="39" t="n">
        <f aca="false">(X22-X$14)/(X$24-X$14)*(U$24-U$14)+U$14</f>
        <v>455.811417527312</v>
      </c>
      <c r="V22" s="39" t="n">
        <f aca="false">8314.4621*U22/(Sheet1!H$20*Sheet1!H$12*9.80665)</f>
        <v>90467.0087611921</v>
      </c>
      <c r="W22" s="39" t="n">
        <f aca="false">W21-LN(R22/R21)*(V21+V22)/2</f>
        <v>683833.802745352</v>
      </c>
      <c r="X22" s="39" t="n">
        <f aca="false">Sheet1!H$10*10/Sheet1!H$11*1000*W22/(Sheet1!H$10*10/Sheet1!H$11*1000-W22)</f>
        <v>691818.383344806</v>
      </c>
      <c r="Y22" s="37"/>
      <c r="Z22" s="39"/>
      <c r="AC22" s="39" t="n">
        <f aca="false">IF(AD22=0,0,IF(AD22=2,AA100,AA170))</f>
        <v>1468592.36928622</v>
      </c>
      <c r="AD22" s="32" t="n">
        <f aca="false">IF(AD21=1,2,IF(AD21=2,4,0))</f>
        <v>2</v>
      </c>
      <c r="AF22" s="37" t="n">
        <f aca="false">AF21-0.1</f>
        <v>3.3</v>
      </c>
      <c r="AG22" s="40" t="n">
        <f aca="false">10^AF22</f>
        <v>1995.26231496888</v>
      </c>
      <c r="AH22" s="39" t="n">
        <f aca="false">AJ22-AI22*((Sheet1!M$19-Sheet1!M$20)*COS(RADIANS(38))+Sheet1!M$20)/2</f>
        <v>192.618056292466</v>
      </c>
      <c r="AI22" s="37" t="n">
        <f aca="false">(AM22-AM$13)/(AM$30-AM$13)*(AI$30-AI$13)+AI$13</f>
        <v>-0.000387851937117489</v>
      </c>
      <c r="AJ22" s="39" t="n">
        <f aca="false">(AM22-AM$18)/(AM$25-AM$18)*(AJ$25-AJ$18)+AJ$18</f>
        <v>192.615599615357</v>
      </c>
      <c r="AK22" s="39" t="n">
        <f aca="false">8314.4621*AJ22/(Sheet1!M$21*Sheet1!M$12*9.80665)</f>
        <v>5664.36143725652</v>
      </c>
      <c r="AL22" s="39" t="n">
        <f aca="false">AL21-LN(AG22/AG21)*(AK21+AK22)/2</f>
        <v>21353.4715250646</v>
      </c>
      <c r="AM22" s="39" t="n">
        <f aca="false">Sheet1!M$10*10/Sheet1!M$11*1000*AL22/(Sheet1!M$10*10/Sheet1!M$11*1000-AL22)</f>
        <v>21425.6342491728</v>
      </c>
      <c r="AN22" s="41"/>
      <c r="AO22" s="37" t="n">
        <f aca="false">AO21+(AO$31-AO$19)/12</f>
        <v>2.51311098932099</v>
      </c>
      <c r="AP22" s="40" t="n">
        <f aca="false">10^AO22</f>
        <v>325.919983238435</v>
      </c>
      <c r="AQ22" s="39" t="n">
        <f aca="false">AS22-AR22*((Sheet1!R$19-Sheet1!R$20)*COS(RADIANS(38))+Sheet1!R$20)/2</f>
        <v>246.29573065262</v>
      </c>
      <c r="AR22" s="37" t="n">
        <f aca="false">(AV22-AV$4)/(AV$31-AV$4)*(AR$31-AR$4)+AR$4</f>
        <v>0.283919899742098</v>
      </c>
      <c r="AS22" s="39" t="n">
        <f aca="false">(AV22-AV$19)/(AV$31-AV$19)*(AS$31-AS$19)+AS$19</f>
        <v>257.399937159329</v>
      </c>
      <c r="AT22" s="39" t="n">
        <f aca="false">8314.4621*AS22/(Sheet1!R$22*Sheet1!R$12*9.80665)</f>
        <v>4553.47200280145</v>
      </c>
      <c r="AU22" s="39" t="n">
        <f aca="false">AU21-LN(AP22/AP21)*(AT21+AT22)/2</f>
        <v>16727.7129737706</v>
      </c>
      <c r="AV22" s="39" t="n">
        <f aca="false">Sheet1!R$10*10/Sheet1!R$11*1000*AU22/(Sheet1!R$10*10/Sheet1!R$11*1000-AU22)</f>
        <v>16768.6022398405</v>
      </c>
    </row>
    <row r="23" customFormat="false" ht="14.4" hidden="false" customHeight="false" outlineLevel="0" collapsed="false">
      <c r="A23" s="31" t="s">
        <v>87</v>
      </c>
      <c r="B23" s="38" t="n">
        <v>2</v>
      </c>
      <c r="C23" s="38" t="n">
        <v>1.29</v>
      </c>
      <c r="D23" s="38" t="n">
        <v>3.93196611472817</v>
      </c>
      <c r="E23" s="36" t="n">
        <f aca="false">IF(LOG(Sheet1!C$13*(11-Sheet1!C$11)^2/3.828E+026)&gt;C23,IF(LOG(Sheet1!C$13*(11-Sheet1!C$11)^2/3.828E+026)&lt;C22,(LOG(Sheet1!C$13*(11-Sheet1!C$11)^2/3.828E+026)-C23)/(C22-C23)*(B22-B23)+B23,0),0)</f>
        <v>0</v>
      </c>
      <c r="F23" s="37" t="n">
        <f aca="false">IF(LOG(Sheet1!C$13*(11-Sheet1!C$11)^2/3.828E+026)&gt;C23,IF(LOG(Sheet1!C$13*(11-Sheet1!C$11)^2/3.828E+026)&lt;C22,(LOG(Sheet1!C$13*(11-Sheet1!C$11)^2/3.828E+026)-C23)/(C22-C23)*(D22-D23)+D23,0),0)</f>
        <v>0</v>
      </c>
      <c r="G23" s="32" t="n">
        <f aca="false">IF(F23&gt;0,IF(F23&gt;(D22+D23)/2,A22,A23),0)</f>
        <v>0</v>
      </c>
      <c r="H23" s="32"/>
      <c r="I23" s="32"/>
      <c r="J23" s="37" t="n">
        <f aca="false">J22+(J$28-J$22)/6</f>
        <v>2.40524419635857</v>
      </c>
      <c r="K23" s="40" t="n">
        <f aca="false">10^J23</f>
        <v>254.24018527932</v>
      </c>
      <c r="L23" s="39" t="n">
        <f aca="false">(O23-O$22)/(O$28-O$22)*(L$28-L$22)+L$22</f>
        <v>4484.73917680418</v>
      </c>
      <c r="M23" s="39" t="n">
        <f aca="false">8314.4621*L23/(Sheet1!C$16*Sheet1!C$12*9.80665)</f>
        <v>105438.899358584</v>
      </c>
      <c r="N23" s="39" t="n">
        <f aca="false">N22-LN(K23/K22)*(M22+M23)/2</f>
        <v>409912.260181067</v>
      </c>
      <c r="O23" s="39" t="n">
        <f aca="false">Sheet1!C$10*10/Sheet1!C$11*1000*N23/(Sheet1!C$10*10/Sheet1!C$11*1000-N23)</f>
        <v>410151.517524977</v>
      </c>
      <c r="Q23" s="37" t="n">
        <f aca="false">Q22-0.1</f>
        <v>6.60000000000001</v>
      </c>
      <c r="R23" s="40" t="n">
        <f aca="false">10^Q23</f>
        <v>3981071.70553503</v>
      </c>
      <c r="S23" s="39" t="n">
        <f aca="false">U23-T23*((Sheet1!H$18-Sheet1!H$19)*COS(RADIANS(38))+Sheet1!H$19)/2</f>
        <v>429.391460620402</v>
      </c>
      <c r="T23" s="37" t="n">
        <v>0</v>
      </c>
      <c r="U23" s="39" t="n">
        <f aca="false">(X23-X$14)/(X$24-X$14)*(U$24-U$14)+U$14</f>
        <v>429.391460620402</v>
      </c>
      <c r="V23" s="39" t="n">
        <f aca="false">8314.4621*U23/(Sheet1!H$20*Sheet1!H$12*9.80665)</f>
        <v>85223.3172232886</v>
      </c>
      <c r="W23" s="39" t="n">
        <f aca="false">W22-LN(R23/R22)*(V22+V23)/2</f>
        <v>704060.899025108</v>
      </c>
      <c r="X23" s="39" t="n">
        <f aca="false">Sheet1!H$10*10/Sheet1!H$11*1000*W23/(Sheet1!H$10*10/Sheet1!H$11*1000-W23)</f>
        <v>712527.74091193</v>
      </c>
      <c r="Y23" s="37"/>
      <c r="Z23" s="39"/>
      <c r="AC23" s="39" t="n">
        <f aca="false">IF(AD23=0,0,AA170)</f>
        <v>3811217.77572389</v>
      </c>
      <c r="AD23" s="32" t="n">
        <f aca="false">IF(AD22=2,4,0)</f>
        <v>4</v>
      </c>
      <c r="AF23" s="37" t="n">
        <f aca="false">AF22-0.1</f>
        <v>3.2</v>
      </c>
      <c r="AG23" s="40" t="n">
        <f aca="false">10^AF23</f>
        <v>1584.89319246111</v>
      </c>
      <c r="AH23" s="39" t="n">
        <f aca="false">AJ23-AI23*((Sheet1!M$19-Sheet1!M$20)*COS(RADIANS(38))+Sheet1!M$20)/2</f>
        <v>193.639900763463</v>
      </c>
      <c r="AI23" s="37" t="n">
        <f aca="false">(AM23-AM$13)/(AM$30-AM$13)*(AI$30-AI$13)+AI$13</f>
        <v>0.0480169453893088</v>
      </c>
      <c r="AJ23" s="39" t="n">
        <f aca="false">(AM23-AM$18)/(AM$25-AM$18)*(AJ$25-AJ$18)+AJ$18</f>
        <v>193.944042935513</v>
      </c>
      <c r="AK23" s="39" t="n">
        <f aca="false">8314.4621*AJ23/(Sheet1!M$21*Sheet1!M$12*9.80665)</f>
        <v>5703.42775965875</v>
      </c>
      <c r="AL23" s="39" t="n">
        <f aca="false">AL22-LN(AG23/AG22)*(AK22+AK23)/2</f>
        <v>22662.2366223204</v>
      </c>
      <c r="AM23" s="39" t="n">
        <f aca="false">Sheet1!M$10*10/Sheet1!M$11*1000*AL23/(Sheet1!M$10*10/Sheet1!M$11*1000-AL23)</f>
        <v>22743.5330462196</v>
      </c>
      <c r="AN23" s="41"/>
      <c r="AO23" s="37" t="n">
        <f aca="false">AO22+(AO$31-AO$19)/12</f>
        <v>2.42393074511386</v>
      </c>
      <c r="AP23" s="40" t="n">
        <f aca="false">10^AO23</f>
        <v>265.418227833739</v>
      </c>
      <c r="AQ23" s="39" t="n">
        <f aca="false">AS23-AR23*((Sheet1!R$19-Sheet1!R$20)*COS(RADIANS(38))+Sheet1!R$20)/2</f>
        <v>243.287096434003</v>
      </c>
      <c r="AR23" s="37" t="n">
        <f aca="false">(AV23-AV$4)/(AV$31-AV$4)*(AR$31-AR$4)+AR$4</f>
        <v>0.244145509207272</v>
      </c>
      <c r="AS23" s="39" t="n">
        <f aca="false">(AV23-AV$19)/(AV$31-AV$19)*(AS$31-AS$19)+AS$19</f>
        <v>252.835712626055</v>
      </c>
      <c r="AT23" s="39" t="n">
        <f aca="false">8314.4621*AS23/(Sheet1!R$22*Sheet1!R$12*9.80665)</f>
        <v>4472.72968073204</v>
      </c>
      <c r="AU23" s="39" t="n">
        <f aca="false">AU22-LN(AP23/AP22)*(AT22+AT23)/2</f>
        <v>17654.4561214992</v>
      </c>
      <c r="AV23" s="39" t="n">
        <f aca="false">Sheet1!R$10*10/Sheet1!R$11*1000*AU23/(Sheet1!R$10*10/Sheet1!R$11*1000-AU23)</f>
        <v>17700.0077264199</v>
      </c>
    </row>
    <row r="24" customFormat="false" ht="14.4" hidden="false" customHeight="false" outlineLevel="0" collapsed="false">
      <c r="A24" s="31" t="s">
        <v>88</v>
      </c>
      <c r="B24" s="38" t="n">
        <v>1.9</v>
      </c>
      <c r="C24" s="38" t="n">
        <v>1.2</v>
      </c>
      <c r="D24" s="38" t="n">
        <v>3.91750550955255</v>
      </c>
      <c r="E24" s="36" t="n">
        <f aca="false">IF(LOG(Sheet1!C$13*(11-Sheet1!C$11)^2/3.828E+026)&gt;C24,IF(LOG(Sheet1!C$13*(11-Sheet1!C$11)^2/3.828E+026)&lt;C23,(LOG(Sheet1!C$13*(11-Sheet1!C$11)^2/3.828E+026)-C24)/(C23-C24)*(B23-B24)+B24,0),0)</f>
        <v>0</v>
      </c>
      <c r="F24" s="37" t="n">
        <f aca="false">IF(LOG(Sheet1!C$13*(11-Sheet1!C$11)^2/3.828E+026)&gt;C24,IF(LOG(Sheet1!C$13*(11-Sheet1!C$11)^2/3.828E+026)&lt;C23,(LOG(Sheet1!C$13*(11-Sheet1!C$11)^2/3.828E+026)-C24)/(C23-C24)*(D23-D24)+D24,0),0)</f>
        <v>0</v>
      </c>
      <c r="G24" s="32" t="n">
        <f aca="false">IF(F24&gt;0,IF(F24&gt;(D23+D24)/2,A23,A24),0)</f>
        <v>0</v>
      </c>
      <c r="H24" s="32"/>
      <c r="I24" s="32"/>
      <c r="J24" s="37" t="n">
        <f aca="false">J23+(J$28-J$22)/6</f>
        <v>2.32419535708686</v>
      </c>
      <c r="K24" s="40" t="n">
        <f aca="false">10^J24</f>
        <v>210.957687973163</v>
      </c>
      <c r="L24" s="39" t="n">
        <f aca="false">(O24-O$22)/(O$28-O$22)*(L$28-L$22)+L$22</f>
        <v>4484.73917680418</v>
      </c>
      <c r="M24" s="39" t="n">
        <f aca="false">8314.4621*L24/(Sheet1!C$16*Sheet1!C$12*9.80665)</f>
        <v>105438.899358584</v>
      </c>
      <c r="N24" s="39" t="n">
        <f aca="false">N23-LN(K24/K23)*(M23+M24)/2</f>
        <v>429589.46254765</v>
      </c>
      <c r="O24" s="39" t="n">
        <f aca="false">Sheet1!C$10*10/Sheet1!C$11*1000*N24/(Sheet1!C$10*10/Sheet1!C$11*1000-N24)</f>
        <v>429852.248938138</v>
      </c>
      <c r="Q24" s="37" t="n">
        <f aca="false">Q23-0.1</f>
        <v>6.50000000000001</v>
      </c>
      <c r="R24" s="40" t="n">
        <f aca="false">10^Q24</f>
        <v>3162277.66016843</v>
      </c>
      <c r="S24" s="39" t="n">
        <f aca="false">U24-T24*((Sheet1!H$18-Sheet1!H$19)*COS(RADIANS(38))+Sheet1!H$19)/2</f>
        <v>404.486673296225</v>
      </c>
      <c r="T24" s="37" t="n">
        <v>0</v>
      </c>
      <c r="U24" s="39" t="n">
        <f aca="false">900/1140*(U$44-U$4)+U$4</f>
        <v>404.486673296225</v>
      </c>
      <c r="V24" s="39" t="n">
        <f aca="false">8314.4621*U24/(Sheet1!H$20*Sheet1!H$12*9.80665)</f>
        <v>80280.348428706</v>
      </c>
      <c r="W24" s="39" t="n">
        <f aca="false">W23-LN(R24/R23)*(V23+V24)/2</f>
        <v>723115.212693416</v>
      </c>
      <c r="X24" s="39" t="n">
        <f aca="false">Sheet1!H$10*10/Sheet1!H$11*1000*W24/(Sheet1!H$10*10/Sheet1!H$11*1000-W24)</f>
        <v>732049.447489244</v>
      </c>
      <c r="Y24" s="37" t="n">
        <f aca="false">IF(Q24&lt;LOG(Sheet1!H$17*101325),Q24,IF(Q34&lt;LOG(Sheet1!H$17*101325),LOG(Sheet1!H$17*101325),0))</f>
        <v>6.50000000000001</v>
      </c>
      <c r="Z24" s="39" t="n">
        <f aca="false">IF(Y24=LOG(Sheet1!H$17*101325),(LOG(Sheet1!H$17*101325)-Q34)/(Q24-Q34)*(S24-S34)+S34,IF(Y24=0,0,S24))</f>
        <v>404.486673296225</v>
      </c>
      <c r="AA24" s="39" t="n">
        <f aca="false">IF(Y24=LOG(Sheet1!H$17*101325),(LOG(Sheet1!H$17*101325)-Q34)/(Q24-Q34)*(X24-X34)+X34,IF(Y24=0,0,X24))</f>
        <v>732049.447489244</v>
      </c>
      <c r="AB24" s="32" t="n">
        <f aca="false">IF(Y24=0,0,AB14+1)</f>
        <v>2</v>
      </c>
      <c r="AC24" s="37"/>
      <c r="AF24" s="37" t="n">
        <f aca="false">AF23-0.1</f>
        <v>3.1</v>
      </c>
      <c r="AG24" s="40" t="n">
        <f aca="false">10^AF24</f>
        <v>1258.92541179417</v>
      </c>
      <c r="AH24" s="39" t="n">
        <f aca="false">AJ24-AI24*((Sheet1!M$19-Sheet1!M$20)*COS(RADIANS(38))+Sheet1!M$20)/2</f>
        <v>194.669222108788</v>
      </c>
      <c r="AI24" s="37" t="n">
        <f aca="false">(AM24-AM$13)/(AM$30-AM$13)*(AI$30-AI$13)+AI$13</f>
        <v>0.0967759221579936</v>
      </c>
      <c r="AJ24" s="39" t="n">
        <f aca="false">(AM24-AM$18)/(AM$25-AM$18)*(AJ$25-AJ$18)+AJ$18</f>
        <v>195.282206523533</v>
      </c>
      <c r="AK24" s="39" t="n">
        <f aca="false">8314.4621*AJ24/(Sheet1!M$21*Sheet1!M$12*9.80665)</f>
        <v>5742.77993175623</v>
      </c>
      <c r="AL24" s="39" t="n">
        <f aca="false">AL23-LN(AG24/AG23)*(AK23+AK24)/2</f>
        <v>23980.0299823986</v>
      </c>
      <c r="AM24" s="39" t="n">
        <f aca="false">Sheet1!M$10*10/Sheet1!M$11*1000*AL24/(Sheet1!M$10*10/Sheet1!M$11*1000-AL24)</f>
        <v>24071.0749506993</v>
      </c>
      <c r="AN24" s="41"/>
      <c r="AO24" s="37" t="n">
        <f aca="false">AO23+(AO$31-AO$19)/12</f>
        <v>2.33475050090672</v>
      </c>
      <c r="AP24" s="40" t="n">
        <f aca="false">10^AO24</f>
        <v>216.147641413154</v>
      </c>
      <c r="AQ24" s="39" t="n">
        <f aca="false">AS24-AR24*((Sheet1!R$19-Sheet1!R$20)*COS(RADIANS(38))+Sheet1!R$20)/2</f>
        <v>240.331024931001</v>
      </c>
      <c r="AR24" s="37" t="n">
        <f aca="false">(AV24-AV$4)/(AV$31-AV$4)*(AR$31-AR$4)+AR$4</f>
        <v>0.205066001793137</v>
      </c>
      <c r="AS24" s="39" t="n">
        <f aca="false">(AV24-AV$19)/(AV$31-AV$19)*(AS$31-AS$19)+AS$19</f>
        <v>248.351227930103</v>
      </c>
      <c r="AT24" s="39" t="n">
        <f aca="false">8314.4621*AS24/(Sheet1!R$22*Sheet1!R$12*9.80665)</f>
        <v>4393.39797717623</v>
      </c>
      <c r="AU24" s="39" t="n">
        <f aca="false">AU23-LN(AP24/AP23)*(AT23+AT24)/2</f>
        <v>18564.764060756</v>
      </c>
      <c r="AV24" s="39" t="n">
        <f aca="false">Sheet1!R$10*10/Sheet1!R$11*1000*AU24/(Sheet1!R$10*10/Sheet1!R$11*1000-AU24)</f>
        <v>18615.1409850044</v>
      </c>
    </row>
    <row r="25" customFormat="false" ht="14.4" hidden="false" customHeight="false" outlineLevel="0" collapsed="false">
      <c r="A25" s="31" t="s">
        <v>89</v>
      </c>
      <c r="B25" s="38" t="n">
        <v>1.85</v>
      </c>
      <c r="C25" s="38" t="n">
        <v>1.16</v>
      </c>
      <c r="D25" s="38" t="n">
        <v>3.90741136077459</v>
      </c>
      <c r="E25" s="36" t="n">
        <f aca="false">IF(LOG(Sheet1!C$13*(11-Sheet1!C$11)^2/3.828E+026)&gt;C25,IF(LOG(Sheet1!C$13*(11-Sheet1!C$11)^2/3.828E+026)&lt;C24,(LOG(Sheet1!C$13*(11-Sheet1!C$11)^2/3.828E+026)-C25)/(C24-C25)*(B24-B25)+B25,0),0)</f>
        <v>0</v>
      </c>
      <c r="F25" s="37" t="n">
        <f aca="false">IF(LOG(Sheet1!C$13*(11-Sheet1!C$11)^2/3.828E+026)&gt;C25,IF(LOG(Sheet1!C$13*(11-Sheet1!C$11)^2/3.828E+026)&lt;C24,(LOG(Sheet1!C$13*(11-Sheet1!C$11)^2/3.828E+026)-C25)/(C24-C25)*(D24-D25)+D25,0),0)</f>
        <v>0</v>
      </c>
      <c r="G25" s="32" t="n">
        <f aca="false">IF(F25&gt;0,IF(F25&gt;(D24+D25)/2,A24,A25),0)</f>
        <v>0</v>
      </c>
      <c r="H25" s="32"/>
      <c r="I25" s="32"/>
      <c r="J25" s="37" t="n">
        <f aca="false">J24+(J$28-J$22)/6</f>
        <v>2.24314651781514</v>
      </c>
      <c r="K25" s="40" t="n">
        <f aca="false">10^J25</f>
        <v>175.043713353532</v>
      </c>
      <c r="L25" s="39" t="n">
        <f aca="false">(O25-O$22)/(O$28-O$22)*(L$28-L$22)+L$22</f>
        <v>4484.73917680418</v>
      </c>
      <c r="M25" s="39" t="n">
        <f aca="false">8314.4621*L25/(Sheet1!C$16*Sheet1!C$12*9.80665)</f>
        <v>105438.899358584</v>
      </c>
      <c r="N25" s="39" t="n">
        <f aca="false">N24-LN(K25/K24)*(M24+M25)/2</f>
        <v>449266.664914232</v>
      </c>
      <c r="O25" s="39" t="n">
        <f aca="false">Sheet1!C$10*10/Sheet1!C$11*1000*N25/(Sheet1!C$10*10/Sheet1!C$11*1000-N25)</f>
        <v>449554.084387964</v>
      </c>
      <c r="Q25" s="37" t="n">
        <f aca="false">Q24-0.1</f>
        <v>6.40000000000001</v>
      </c>
      <c r="R25" s="40" t="n">
        <f aca="false">10^Q25</f>
        <v>2511886.43150962</v>
      </c>
      <c r="S25" s="39" t="n">
        <f aca="false">U25-T25*((Sheet1!H$18-Sheet1!H$19)*COS(RADIANS(38))+Sheet1!H$19)/2</f>
        <v>382.159753919375</v>
      </c>
      <c r="T25" s="37" t="n">
        <v>0</v>
      </c>
      <c r="U25" s="39" t="n">
        <f aca="false">(X25-X$24)/(X$34-X$24)*(U$34-U$24)+U$24</f>
        <v>382.159753919375</v>
      </c>
      <c r="V25" s="39" t="n">
        <f aca="false">8314.4621*U25/(Sheet1!H$20*Sheet1!H$12*9.80665)</f>
        <v>75849.0210568881</v>
      </c>
      <c r="W25" s="39" t="n">
        <f aca="false">W24-LN(R25/R24)*(V24+V25)/2</f>
        <v>741090.27063122</v>
      </c>
      <c r="X25" s="39" t="n">
        <f aca="false">Sheet1!H$10*10/Sheet1!H$11*1000*W25/(Sheet1!H$10*10/Sheet1!H$11*1000-W25)</f>
        <v>750477.079849198</v>
      </c>
      <c r="Y25" s="37"/>
      <c r="Z25" s="39"/>
      <c r="AF25" s="37" t="n">
        <f aca="false">AF24-0.1</f>
        <v>3</v>
      </c>
      <c r="AG25" s="40" t="n">
        <f aca="false">10^AF25</f>
        <v>999.999999999999</v>
      </c>
      <c r="AH25" s="39" t="n">
        <f aca="false">AJ25-AI25*((Sheet1!M$19-Sheet1!M$20)*COS(RADIANS(38))+Sheet1!M$20)/2</f>
        <v>195.706078996654</v>
      </c>
      <c r="AI25" s="37" t="n">
        <f aca="false">(AM25-AM$13)/(AM$30-AM$13)*(AI$30-AI$13)+AI$13</f>
        <v>0.145891955758855</v>
      </c>
      <c r="AJ25" s="39" t="n">
        <f aca="false">0.86*Sheet1!M16+0.35*Sheet1!M18</f>
        <v>196.630167273187</v>
      </c>
      <c r="AK25" s="39" t="n">
        <f aca="false">8314.4621*AJ25/(Sheet1!M$21*Sheet1!M$12*9.80665)</f>
        <v>5782.42021480973</v>
      </c>
      <c r="AL25" s="39" t="n">
        <f aca="false">AL24-LN(AG25/AG24)*(AK24+AK25)/2</f>
        <v>25306.9176849614</v>
      </c>
      <c r="AM25" s="39" t="n">
        <f aca="false">Sheet1!M$10*10/Sheet1!M$11*1000*AL25/(Sheet1!M$10*10/Sheet1!M$11*1000-AL25)</f>
        <v>25408.3383042005</v>
      </c>
      <c r="AN25" s="41"/>
      <c r="AO25" s="37" t="n">
        <f aca="false">AO24+(AO$31-AO$19)/12</f>
        <v>2.24557025669959</v>
      </c>
      <c r="AP25" s="40" t="n">
        <f aca="false">10^AO25</f>
        <v>176.023339729837</v>
      </c>
      <c r="AQ25" s="39" t="n">
        <f aca="false">AS25-AR25*((Sheet1!R$19-Sheet1!R$20)*COS(RADIANS(38))+Sheet1!R$20)/2</f>
        <v>237.42662540724</v>
      </c>
      <c r="AR25" s="37" t="n">
        <f aca="false">(AV25-AV$4)/(AV$31-AV$4)*(AR$31-AR$4)+AR$4</f>
        <v>0.166669601841234</v>
      </c>
      <c r="AS25" s="39" t="n">
        <f aca="false">(AV25-AV$19)/(AV$31-AV$19)*(AS$31-AS$19)+AS$19</f>
        <v>243.945131784979</v>
      </c>
      <c r="AT25" s="39" t="n">
        <f aca="false">8314.4621*AS25/(Sheet1!R$22*Sheet1!R$12*9.80665)</f>
        <v>4315.4529875236</v>
      </c>
      <c r="AU25" s="39" t="n">
        <f aca="false">AU24-LN(AP25/AP24)*(AT24+AT25)/2</f>
        <v>19458.9240007946</v>
      </c>
      <c r="AV25" s="39" t="n">
        <f aca="false">Sheet1!R$10*10/Sheet1!R$11*1000*AU25/(Sheet1!R$10*10/Sheet1!R$11*1000-AU25)</f>
        <v>19514.2777687293</v>
      </c>
    </row>
    <row r="26" customFormat="false" ht="14.4" hidden="false" customHeight="false" outlineLevel="0" collapsed="false">
      <c r="A26" s="31" t="s">
        <v>90</v>
      </c>
      <c r="B26" s="38" t="n">
        <v>1.83</v>
      </c>
      <c r="C26" s="38" t="n">
        <v>1.14</v>
      </c>
      <c r="D26" s="38" t="n">
        <v>3.90308998699194</v>
      </c>
      <c r="E26" s="36" t="n">
        <f aca="false">IF(LOG(Sheet1!C$13*(11-Sheet1!C$11)^2/3.828E+026)&gt;C26,IF(LOG(Sheet1!C$13*(11-Sheet1!C$11)^2/3.828E+026)&lt;C25,(LOG(Sheet1!C$13*(11-Sheet1!C$11)^2/3.828E+026)-C26)/(C25-C26)*(B25-B26)+B26,0),0)</f>
        <v>0</v>
      </c>
      <c r="F26" s="37" t="n">
        <f aca="false">IF(LOG(Sheet1!C$13*(11-Sheet1!C$11)^2/3.828E+026)&gt;C26,IF(LOG(Sheet1!C$13*(11-Sheet1!C$11)^2/3.828E+026)&lt;C25,(LOG(Sheet1!C$13*(11-Sheet1!C$11)^2/3.828E+026)-C26)/(C25-C26)*(D25-D26)+D26,0),0)</f>
        <v>0</v>
      </c>
      <c r="G26" s="32" t="n">
        <f aca="false">IF(F26&gt;0,IF(F26&gt;(D25+D26)/2,A25,A26),0)</f>
        <v>0</v>
      </c>
      <c r="H26" s="32" t="n">
        <f aca="false">IF(G26&lt;&gt;0,G26,IF(G27&lt;&gt;0,G27,IF(G28&lt;&gt;0,G28,IF(G29&lt;&gt;0,G29,IF(G30&lt;&gt;0,G30,IF(G31&lt;&gt;0,G31,IF(G32&lt;&gt;0,G32,0)))))))</f>
        <v>0</v>
      </c>
      <c r="I26" s="32"/>
      <c r="J26" s="37" t="n">
        <f aca="false">J25+(J$28-J$22)/6</f>
        <v>2.16209767854343</v>
      </c>
      <c r="K26" s="40" t="n">
        <f aca="false">10^J26</f>
        <v>145.243825332839</v>
      </c>
      <c r="L26" s="39" t="n">
        <f aca="false">(O26-O$22)/(O$28-O$22)*(L$28-L$22)+L$22</f>
        <v>4484.73917680418</v>
      </c>
      <c r="M26" s="39" t="n">
        <f aca="false">8314.4621*L26/(Sheet1!C$16*Sheet1!C$12*9.80665)</f>
        <v>105438.899358584</v>
      </c>
      <c r="N26" s="39" t="n">
        <f aca="false">N25-LN(K26/K25)*(M25+M26)/2</f>
        <v>468943.867280815</v>
      </c>
      <c r="O26" s="39" t="n">
        <f aca="false">Sheet1!C$10*10/Sheet1!C$11*1000*N26/(Sheet1!C$10*10/Sheet1!C$11*1000-N26)</f>
        <v>469257.023967264</v>
      </c>
      <c r="Q26" s="37" t="n">
        <f aca="false">Q25-0.1</f>
        <v>6.30000000000001</v>
      </c>
      <c r="R26" s="40" t="n">
        <f aca="false">10^Q26</f>
        <v>1995262.31496892</v>
      </c>
      <c r="S26" s="39" t="n">
        <f aca="false">U26-T26*((Sheet1!H$18-Sheet1!H$19)*COS(RADIANS(38))+Sheet1!H$19)/2</f>
        <v>361.053045574144</v>
      </c>
      <c r="T26" s="37" t="n">
        <v>0</v>
      </c>
      <c r="U26" s="39" t="n">
        <f aca="false">(X26-X$24)/(X$34-X$24)*(U$34-U$24)+U$24</f>
        <v>361.053045574144</v>
      </c>
      <c r="V26" s="39" t="n">
        <f aca="false">8314.4621*U26/(Sheet1!H$20*Sheet1!H$12*9.80665)</f>
        <v>71659.8746350052</v>
      </c>
      <c r="W26" s="39" t="n">
        <f aca="false">W25-LN(R26/R25)*(V25+V26)/2</f>
        <v>758072.859846428</v>
      </c>
      <c r="X26" s="39" t="n">
        <f aca="false">Sheet1!H$10*10/Sheet1!H$11*1000*W26/(Sheet1!H$10*10/Sheet1!H$11*1000-W26)</f>
        <v>767897.660318784</v>
      </c>
      <c r="Y26" s="37"/>
      <c r="Z26" s="39"/>
      <c r="AC26" s="39"/>
      <c r="AF26" s="37" t="n">
        <f aca="false">AF25-0.1</f>
        <v>2.9</v>
      </c>
      <c r="AG26" s="40" t="n">
        <f aca="false">10^AF26</f>
        <v>794.328234724281</v>
      </c>
      <c r="AH26" s="39" t="n">
        <f aca="false">AJ26-AI26*((Sheet1!M$19-Sheet1!M$20)*COS(RADIANS(38))+Sheet1!M$20)/2</f>
        <v>197.704999674377</v>
      </c>
      <c r="AI26" s="37" t="n">
        <f aca="false">(AM26-AM$13)/(AM$30-AM$13)*(AI$30-AI$13)+AI$13</f>
        <v>0.195487739387395</v>
      </c>
      <c r="AJ26" s="39" t="n">
        <f aca="false">(AM26-AM$25)/(AM$35-AM$25)*(AJ$35-AJ$25)+AJ$25</f>
        <v>198.943230577747</v>
      </c>
      <c r="AK26" s="39" t="n">
        <f aca="false">8314.4621*AJ26/(Sheet1!M$21*Sheet1!M$12*9.80665)</f>
        <v>5850.44184239572</v>
      </c>
      <c r="AL26" s="39" t="n">
        <f aca="false">AL25-LN(AG26/AG25)*(AK25+AK26)/2</f>
        <v>26646.2004230503</v>
      </c>
      <c r="AM26" s="39" t="n">
        <f aca="false">Sheet1!M$10*10/Sheet1!M$11*1000*AL26/(Sheet1!M$10*10/Sheet1!M$11*1000-AL26)</f>
        <v>26758.6636271611</v>
      </c>
      <c r="AN26" s="41"/>
      <c r="AO26" s="37" t="n">
        <f aca="false">AO25+(AO$31-AO$19)/12</f>
        <v>2.15639001249246</v>
      </c>
      <c r="AP26" s="40" t="n">
        <f aca="false">10^AO26</f>
        <v>143.347463460964</v>
      </c>
      <c r="AQ26" s="39" t="n">
        <f aca="false">AS26-AR26*((Sheet1!R$19-Sheet1!R$20)*COS(RADIANS(38))+Sheet1!R$20)/2</f>
        <v>234.573021256047</v>
      </c>
      <c r="AR26" s="37" t="n">
        <f aca="false">(AV26-AV$4)/(AV$31-AV$4)*(AR$31-AR$4)+AR$4</f>
        <v>0.128944720490366</v>
      </c>
      <c r="AS26" s="39" t="n">
        <f aca="false">(AV26-AV$19)/(AV$31-AV$19)*(AS$31-AS$19)+AS$19</f>
        <v>239.616094339602</v>
      </c>
      <c r="AT26" s="39" t="n">
        <f aca="false">8314.4621*AS26/(Sheet1!R$22*Sheet1!R$12*9.80665)</f>
        <v>4238.87118636176</v>
      </c>
      <c r="AU26" s="39" t="n">
        <f aca="false">AU25-LN(AP26/AP25)*(AT25+AT26)/2</f>
        <v>20337.2182811074</v>
      </c>
      <c r="AV26" s="39" t="n">
        <f aca="false">Sheet1!R$10*10/Sheet1!R$11*1000*AU26/(Sheet1!R$10*10/Sheet1!R$11*1000-AU26)</f>
        <v>20397.6894564582</v>
      </c>
    </row>
    <row r="27" customFormat="false" ht="14.4" hidden="false" customHeight="false" outlineLevel="0" collapsed="false">
      <c r="A27" s="31" t="s">
        <v>91</v>
      </c>
      <c r="B27" s="38" t="n">
        <v>1.76</v>
      </c>
      <c r="C27" s="38" t="n">
        <v>1.06</v>
      </c>
      <c r="D27" s="38" t="n">
        <v>3.89209460269048</v>
      </c>
      <c r="E27" s="36" t="n">
        <f aca="false">IF(LOG(Sheet1!C$13*(11-Sheet1!C$11)^2/3.828E+026)&gt;C27,IF(LOG(Sheet1!C$13*(11-Sheet1!C$11)^2/3.828E+026)&lt;C26,(LOG(Sheet1!C$13*(11-Sheet1!C$11)^2/3.828E+026)-C27)/(C26-C27)*(B26-B27)+B27,0),0)</f>
        <v>0</v>
      </c>
      <c r="F27" s="37" t="n">
        <f aca="false">IF(LOG(Sheet1!C$13*(11-Sheet1!C$11)^2/3.828E+026)&gt;C27,IF(LOG(Sheet1!C$13*(11-Sheet1!C$11)^2/3.828E+026)&lt;C26,(LOG(Sheet1!C$13*(11-Sheet1!C$11)^2/3.828E+026)-C27)/(C26-C27)*(D26-D27)+D27,0),0)</f>
        <v>0</v>
      </c>
      <c r="G27" s="32" t="n">
        <f aca="false">IF(F27&gt;0,IF(F27&gt;(D26+D27)/2,A26,A27),0)</f>
        <v>0</v>
      </c>
      <c r="H27" s="32"/>
      <c r="I27" s="32"/>
      <c r="J27" s="37" t="n">
        <f aca="false">J26+(J$28-J$22)/6</f>
        <v>2.08104883927171</v>
      </c>
      <c r="K27" s="40" t="n">
        <f aca="false">10^J27</f>
        <v>120.517146221125</v>
      </c>
      <c r="L27" s="39" t="n">
        <f aca="false">(O27-O$22)/(O$28-O$22)*(L$28-L$22)+L$22</f>
        <v>4484.73917680418</v>
      </c>
      <c r="M27" s="39" t="n">
        <f aca="false">8314.4621*L27/(Sheet1!C$16*Sheet1!C$12*9.80665)</f>
        <v>105438.899358584</v>
      </c>
      <c r="N27" s="39" t="n">
        <f aca="false">N26-LN(K27/K26)*(M26+M27)/2</f>
        <v>488621.069647397</v>
      </c>
      <c r="O27" s="39" t="n">
        <f aca="false">Sheet1!C$10*10/Sheet1!C$11*1000*N27/(Sheet1!C$10*10/Sheet1!C$11*1000-N27)</f>
        <v>488961.067768856</v>
      </c>
      <c r="Q27" s="37" t="n">
        <f aca="false">Q26-0.1</f>
        <v>6.20000000000001</v>
      </c>
      <c r="R27" s="40" t="n">
        <f aca="false">10^Q27</f>
        <v>1584893.19246114</v>
      </c>
      <c r="S27" s="39" t="n">
        <f aca="false">U27-T27*((Sheet1!H$18-Sheet1!H$19)*COS(RADIANS(38))+Sheet1!H$19)/2</f>
        <v>341.101081030925</v>
      </c>
      <c r="T27" s="37" t="n">
        <v>0</v>
      </c>
      <c r="U27" s="39" t="n">
        <f aca="false">(X27-X$24)/(X$34-X$24)*(U$34-U$24)+U$24</f>
        <v>341.101081030925</v>
      </c>
      <c r="V27" s="39" t="n">
        <f aca="false">8314.4621*U27/(Sheet1!H$20*Sheet1!H$12*9.80665)</f>
        <v>67699.9155779764</v>
      </c>
      <c r="W27" s="39" t="n">
        <f aca="false">W26-LN(R27/R26)*(V26+V27)/2</f>
        <v>774117.248621788</v>
      </c>
      <c r="X27" s="39" t="n">
        <f aca="false">Sheet1!H$10*10/Sheet1!H$11*1000*W27/(Sheet1!H$10*10/Sheet1!H$11*1000-W27)</f>
        <v>784365.139069111</v>
      </c>
      <c r="Y27" s="37"/>
      <c r="Z27" s="39"/>
      <c r="AF27" s="37" t="n">
        <f aca="false">AF26-0.1</f>
        <v>2.8</v>
      </c>
      <c r="AG27" s="40" t="n">
        <f aca="false">10^AF27</f>
        <v>630.957344480192</v>
      </c>
      <c r="AH27" s="39" t="n">
        <f aca="false">AJ27-AI27*((Sheet1!M$19-Sheet1!M$20)*COS(RADIANS(38))+Sheet1!M$20)/2</f>
        <v>199.728260822294</v>
      </c>
      <c r="AI27" s="37" t="n">
        <f aca="false">(AM27-AM$13)/(AM$30-AM$13)*(AI$30-AI$13)+AI$13</f>
        <v>0.245688484208652</v>
      </c>
      <c r="AJ27" s="39" t="n">
        <f aca="false">(AM27-AM$25)/(AM$35-AM$25)*(AJ$35-AJ$25)+AJ$25</f>
        <v>201.284466212477</v>
      </c>
      <c r="AK27" s="39" t="n">
        <f aca="false">8314.4621*AJ27/(Sheet1!M$21*Sheet1!M$12*9.80665)</f>
        <v>5919.29195044188</v>
      </c>
      <c r="AL27" s="39" t="n">
        <f aca="false">AL26-LN(AG27/AG26)*(AK26+AK27)/2</f>
        <v>28001.2411020451</v>
      </c>
      <c r="AM27" s="39" t="n">
        <f aca="false">Sheet1!M$10*10/Sheet1!M$11*1000*AL27/(Sheet1!M$10*10/Sheet1!M$11*1000-AL27)</f>
        <v>28125.4599958067</v>
      </c>
      <c r="AN27" s="41"/>
      <c r="AO27" s="37" t="n">
        <f aca="false">AO26+(AO$31-AO$19)/12</f>
        <v>2.06720976828533</v>
      </c>
      <c r="AP27" s="40" t="n">
        <f aca="false">10^AO27</f>
        <v>116.737333311767</v>
      </c>
      <c r="AQ27" s="39" t="n">
        <f aca="false">AS27-AR27*((Sheet1!R$19-Sheet1!R$20)*COS(RADIANS(38))+Sheet1!R$20)/2</f>
        <v>231.769349810341</v>
      </c>
      <c r="AR27" s="37" t="n">
        <f aca="false">(AV27-AV$4)/(AV$31-AV$4)*(AR$31-AR$4)+AR$4</f>
        <v>0.0918799531630665</v>
      </c>
      <c r="AS27" s="39" t="n">
        <f aca="false">(AV27-AV$19)/(AV$31-AV$19)*(AS$31-AS$19)+AS$19</f>
        <v>235.362806889877</v>
      </c>
      <c r="AT27" s="39" t="n">
        <f aca="false">8314.4621*AS27/(Sheet1!R$22*Sheet1!R$12*9.80665)</f>
        <v>4163.62942237406</v>
      </c>
      <c r="AU27" s="39" t="n">
        <f aca="false">AU26-LN(AP27/AP26)*(AT26+AT27)/2</f>
        <v>21199.9244487678</v>
      </c>
      <c r="AV27" s="39" t="n">
        <f aca="false">Sheet1!R$10*10/Sheet1!R$11*1000*AU27/(Sheet1!R$10*10/Sheet1!R$11*1000-AU27)</f>
        <v>21265.6431116427</v>
      </c>
    </row>
    <row r="28" customFormat="false" ht="14.4" hidden="false" customHeight="false" outlineLevel="0" collapsed="false">
      <c r="A28" s="31" t="s">
        <v>92</v>
      </c>
      <c r="B28" s="38" t="n">
        <v>1.67</v>
      </c>
      <c r="C28" s="38" t="n">
        <v>0.97</v>
      </c>
      <c r="D28" s="38" t="n">
        <v>3.8750612633917</v>
      </c>
      <c r="E28" s="36" t="n">
        <f aca="false">IF(LOG(Sheet1!C$13*(11-Sheet1!C$11)^2/3.828E+026)&gt;C28,IF(LOG(Sheet1!C$13*(11-Sheet1!C$11)^2/3.828E+026)&lt;C27,(LOG(Sheet1!C$13*(11-Sheet1!C$11)^2/3.828E+026)-C28)/(C27-C28)*(B27-B28)+B28,0),0)</f>
        <v>0</v>
      </c>
      <c r="F28" s="37" t="n">
        <f aca="false">IF(LOG(Sheet1!C$13*(11-Sheet1!C$11)^2/3.828E+026)&gt;C28,IF(LOG(Sheet1!C$13*(11-Sheet1!C$11)^2/3.828E+026)&lt;C27,(LOG(Sheet1!C$13*(11-Sheet1!C$11)^2/3.828E+026)-C28)/(C27-C28)*(D27-D28)+D28,0),0)</f>
        <v>0</v>
      </c>
      <c r="G28" s="32" t="n">
        <f aca="false">IF(F28&gt;0,IF(F28&gt;(D27+D28)/2,A27,A28),0)</f>
        <v>0</v>
      </c>
      <c r="H28" s="32"/>
      <c r="I28" s="32"/>
      <c r="J28" s="37" t="n">
        <v>2</v>
      </c>
      <c r="K28" s="40" t="n">
        <f aca="false">10^J28</f>
        <v>100</v>
      </c>
      <c r="L28" s="39" t="n">
        <f aca="false">0.78*Sheet1!C14</f>
        <v>4484.73917680418</v>
      </c>
      <c r="M28" s="39" t="n">
        <f aca="false">8314.4621*L28/(Sheet1!C$16*Sheet1!C$12*9.80665)</f>
        <v>105438.899358584</v>
      </c>
      <c r="N28" s="39" t="n">
        <f aca="false">N27-LN(K28/K27)*(M27+M28)/2</f>
        <v>508298.27201398</v>
      </c>
      <c r="O28" s="39" t="n">
        <f aca="false">Sheet1!C$10*10/Sheet1!C$11*1000*N28/(Sheet1!C$10*10/Sheet1!C$11*1000-N28)</f>
        <v>508666.21588557</v>
      </c>
      <c r="Q28" s="37" t="n">
        <f aca="false">Q27-0.1</f>
        <v>6.10000000000001</v>
      </c>
      <c r="R28" s="40" t="n">
        <f aca="false">10^Q28</f>
        <v>1258925.41179419</v>
      </c>
      <c r="S28" s="39" t="n">
        <f aca="false">U28-T28*((Sheet1!H$18-Sheet1!H$19)*COS(RADIANS(38))+Sheet1!H$19)/2</f>
        <v>322.241853892576</v>
      </c>
      <c r="T28" s="37" t="n">
        <v>0</v>
      </c>
      <c r="U28" s="39" t="n">
        <f aca="false">(X28-X$24)/(X$34-X$24)*(U$34-U$24)+U$24</f>
        <v>322.241853892576</v>
      </c>
      <c r="V28" s="39" t="n">
        <f aca="false">8314.4621*U28/(Sheet1!H$20*Sheet1!H$12*9.80665)</f>
        <v>63956.8371882121</v>
      </c>
      <c r="W28" s="39" t="n">
        <f aca="false">W27-LN(R28/R27)*(V27+V28)/2</f>
        <v>789274.792437359</v>
      </c>
      <c r="X28" s="39" t="n">
        <f aca="false">Sheet1!H$10*10/Sheet1!H$11*1000*W28/(Sheet1!H$10*10/Sheet1!H$11*1000-W28)</f>
        <v>799930.690033497</v>
      </c>
      <c r="Y28" s="37"/>
      <c r="Z28" s="39"/>
      <c r="AF28" s="37" t="n">
        <f aca="false">AF27-0.1</f>
        <v>2.7</v>
      </c>
      <c r="AG28" s="40" t="n">
        <f aca="false">10^AF28</f>
        <v>501.187233627271</v>
      </c>
      <c r="AH28" s="39" t="n">
        <f aca="false">AJ28-AI28*((Sheet1!M$19-Sheet1!M$20)*COS(RADIANS(38))+Sheet1!M$20)/2</f>
        <v>201.776243422584</v>
      </c>
      <c r="AI28" s="37" t="n">
        <f aca="false">(AM28-AM$13)/(AM$30-AM$13)*(AI$30-AI$13)+AI$13</f>
        <v>0.296502081999217</v>
      </c>
      <c r="AJ28" s="39" t="n">
        <f aca="false">(AM28-AM$25)/(AM$35-AM$25)*(AJ$35-AJ$25)+AJ$25</f>
        <v>203.654305146534</v>
      </c>
      <c r="AK28" s="39" t="n">
        <f aca="false">8314.4621*AJ28/(Sheet1!M$21*Sheet1!M$12*9.80665)</f>
        <v>5988.98321271446</v>
      </c>
      <c r="AL28" s="39" t="n">
        <f aca="false">AL27-LN(AG28/AG27)*(AK27+AK28)/2</f>
        <v>29372.2319457429</v>
      </c>
      <c r="AM28" s="39" t="n">
        <f aca="false">Sheet1!M$10*10/Sheet1!M$11*1000*AL28/(Sheet1!M$10*10/Sheet1!M$11*1000-AL28)</f>
        <v>29508.9422765029</v>
      </c>
      <c r="AN28" s="41"/>
      <c r="AO28" s="37" t="n">
        <f aca="false">AO27+(AO$31-AO$19)/12</f>
        <v>1.97802952407819</v>
      </c>
      <c r="AP28" s="40" t="n">
        <f aca="false">10^AO28</f>
        <v>95.0669419585062</v>
      </c>
      <c r="AQ28" s="39" t="n">
        <f aca="false">AS28-AR28*((Sheet1!R$19-Sheet1!R$20)*COS(RADIANS(38))+Sheet1!R$20)/2</f>
        <v>229.014762153814</v>
      </c>
      <c r="AR28" s="37" t="n">
        <f aca="false">(AV28-AV$4)/(AV$31-AV$4)*(AR$31-AR$4)+AR$4</f>
        <v>0.0554640770695055</v>
      </c>
      <c r="AS28" s="39" t="n">
        <f aca="false">(AV28-AV$19)/(AV$31-AV$19)*(AS$31-AS$19)+AS$19</f>
        <v>231.183981592265</v>
      </c>
      <c r="AT28" s="39" t="n">
        <f aca="false">8314.4621*AS28/(Sheet1!R$22*Sheet1!R$12*9.80665)</f>
        <v>4089.70491327252</v>
      </c>
      <c r="AU28" s="39" t="n">
        <f aca="false">AU27-LN(AP28/AP27)*(AT27+AT28)/2</f>
        <v>22047.315334729</v>
      </c>
      <c r="AV28" s="39" t="n">
        <f aca="false">Sheet1!R$10*10/Sheet1!R$11*1000*AU28/(Sheet1!R$10*10/Sheet1!R$11*1000-AU28)</f>
        <v>22118.4015407741</v>
      </c>
    </row>
    <row r="29" customFormat="false" ht="14.4" hidden="false" customHeight="false" outlineLevel="0" collapsed="false">
      <c r="A29" s="31" t="s">
        <v>93</v>
      </c>
      <c r="B29" s="38" t="n">
        <v>1.67</v>
      </c>
      <c r="C29" s="38" t="n">
        <v>0.97</v>
      </c>
      <c r="D29" s="38" t="n">
        <v>3.87157293554588</v>
      </c>
      <c r="E29" s="36" t="n">
        <f aca="false">IF(LOG(Sheet1!C$13*(11-Sheet1!C$11)^2/3.828E+026)&gt;C29,IF(LOG(Sheet1!C$13*(11-Sheet1!C$11)^2/3.828E+026)&lt;C28,(LOG(Sheet1!C$13*(11-Sheet1!C$11)^2/3.828E+026)-C29)/(C28-C29)*(B28-B29)+B29,0),0)</f>
        <v>0</v>
      </c>
      <c r="F29" s="37" t="n">
        <f aca="false">IF(LOG(Sheet1!C$13*(11-Sheet1!C$11)^2/3.828E+026)&gt;C29,IF(LOG(Sheet1!C$13*(11-Sheet1!C$11)^2/3.828E+026)&lt;C28,(LOG(Sheet1!C$13*(11-Sheet1!C$11)^2/3.828E+026)-C29)/(C28-C29)*(D28-D29)+D29,0),0)</f>
        <v>0</v>
      </c>
      <c r="G29" s="32" t="n">
        <f aca="false">IF(F29&gt;0,IF(F29&gt;(D28+D29)/2,A28,A29),0)</f>
        <v>0</v>
      </c>
      <c r="H29" s="32"/>
      <c r="I29" s="32"/>
      <c r="J29" s="37" t="n">
        <f aca="false">J28-0.1</f>
        <v>1.9</v>
      </c>
      <c r="K29" s="40" t="n">
        <f aca="false">10^J29</f>
        <v>79.4328234724281</v>
      </c>
      <c r="L29" s="39" t="n">
        <f aca="false">(O29-O$28)/(O$43-O$28)*(L$43-L$28)+L$28</f>
        <v>4568.59213773349</v>
      </c>
      <c r="M29" s="39" t="n">
        <f aca="false">8314.4621*L29/(Sheet1!C$16*Sheet1!C$12*9.80665)</f>
        <v>107410.332603593</v>
      </c>
      <c r="N29" s="39" t="n">
        <f aca="false">N28-LN(K29/K28)*(M28+M29)/2</f>
        <v>532803.445442547</v>
      </c>
      <c r="O29" s="39" t="n">
        <f aca="false">Sheet1!C$10*10/Sheet1!C$11*1000*N29/(Sheet1!C$10*10/Sheet1!C$11*1000-N29)</f>
        <v>533207.735920468</v>
      </c>
      <c r="Q29" s="37" t="n">
        <f aca="false">Q28-0.1</f>
        <v>6.00000000000001</v>
      </c>
      <c r="R29" s="40" t="n">
        <f aca="false">10^Q29</f>
        <v>1000000.00000002</v>
      </c>
      <c r="S29" s="39" t="n">
        <f aca="false">U29-T29*((Sheet1!H$18-Sheet1!H$19)*COS(RADIANS(38))+Sheet1!H$19)/2</f>
        <v>304.416626403997</v>
      </c>
      <c r="T29" s="37" t="n">
        <v>0</v>
      </c>
      <c r="U29" s="39" t="n">
        <f aca="false">(X29-X$24)/(X$34-X$24)*(U$34-U$24)+U$24</f>
        <v>304.416626403997</v>
      </c>
      <c r="V29" s="39" t="n">
        <f aca="false">8314.4621*U29/(Sheet1!H$20*Sheet1!H$12*9.80665)</f>
        <v>60418.9815106875</v>
      </c>
      <c r="W29" s="39" t="n">
        <f aca="false">W28-LN(R29/R28)*(V28+V29)/2</f>
        <v>803594.08774061</v>
      </c>
      <c r="X29" s="39" t="n">
        <f aca="false">Sheet1!H$10*10/Sheet1!H$11*1000*W29/(Sheet1!H$10*10/Sheet1!H$11*1000-W29)</f>
        <v>814642.844856556</v>
      </c>
      <c r="Y29" s="37"/>
      <c r="Z29" s="39"/>
      <c r="AF29" s="37" t="n">
        <f aca="false">AF28-0.1</f>
        <v>2.6</v>
      </c>
      <c r="AG29" s="40" t="n">
        <f aca="false">10^AF29</f>
        <v>398.107170553497</v>
      </c>
      <c r="AH29" s="39" t="n">
        <f aca="false">AJ29-AI29*((Sheet1!M$19-Sheet1!M$20)*COS(RADIANS(38))+Sheet1!M$20)/2</f>
        <v>203.849249395573</v>
      </c>
      <c r="AI29" s="37" t="n">
        <f aca="false">(AM29-AM$13)/(AM$30-AM$13)*(AI$30-AI$13)+AI$13</f>
        <v>0.347936545206462</v>
      </c>
      <c r="AJ29" s="39" t="n">
        <f aca="false">(AM29-AM$25)/(AM$35-AM$25)*(AJ$35-AJ$25)+AJ$25</f>
        <v>206.053100051561</v>
      </c>
      <c r="AK29" s="39" t="n">
        <f aca="false">8314.4621*AJ29/(Sheet1!M$21*Sheet1!M$12*9.80665)</f>
        <v>6059.52600043805</v>
      </c>
      <c r="AL29" s="39" t="n">
        <f aca="false">AL28-LN(AG29/AG28)*(AK28+AK29)/2</f>
        <v>30759.3678310932</v>
      </c>
      <c r="AM29" s="39" t="n">
        <f aca="false">Sheet1!M$10*10/Sheet1!M$11*1000*AL29/(Sheet1!M$10*10/Sheet1!M$11*1000-AL29)</f>
        <v>30909.3286210723</v>
      </c>
      <c r="AN29" s="41"/>
      <c r="AO29" s="37" t="n">
        <f aca="false">AO28+(AO$31-AO$19)/12</f>
        <v>1.88884927987106</v>
      </c>
      <c r="AP29" s="40" t="n">
        <f aca="false">10^AO29</f>
        <v>77.4193070626791</v>
      </c>
      <c r="AQ29" s="39" t="n">
        <f aca="false">AS29-AR29*((Sheet1!R$19-Sheet1!R$20)*COS(RADIANS(38))+Sheet1!R$20)/2</f>
        <v>226.308422933493</v>
      </c>
      <c r="AR29" s="37" t="n">
        <f aca="false">(AV29-AV$4)/(AV$31-AV$4)*(AR$31-AR$4)+AR$4</f>
        <v>0.0196860487293993</v>
      </c>
      <c r="AS29" s="39" t="n">
        <f aca="false">(AV29-AV$19)/(AV$31-AV$19)*(AS$31-AS$19)+AS$19</f>
        <v>227.078351179421</v>
      </c>
      <c r="AT29" s="39" t="n">
        <f aca="false">8314.4621*AS29/(Sheet1!R$22*Sheet1!R$12*9.80665)</f>
        <v>4017.07524076734</v>
      </c>
      <c r="AU29" s="39" t="n">
        <f aca="false">AU28-LN(AP29/AP28)*(AT28+AT29)/2</f>
        <v>22879.6591290854</v>
      </c>
      <c r="AV29" s="39" t="n">
        <f aca="false">Sheet1!R$10*10/Sheet1!R$11*1000*AU29/(Sheet1!R$10*10/Sheet1!R$11*1000-AU29)</f>
        <v>22956.2233514136</v>
      </c>
    </row>
    <row r="30" customFormat="false" ht="14.4" hidden="false" customHeight="false" outlineLevel="0" collapsed="false">
      <c r="A30" s="31" t="s">
        <v>94</v>
      </c>
      <c r="B30" s="38" t="n">
        <v>1.59</v>
      </c>
      <c r="C30" s="38" t="n">
        <v>0.89</v>
      </c>
      <c r="D30" s="38" t="n">
        <v>3.85733249643127</v>
      </c>
      <c r="E30" s="36" t="n">
        <f aca="false">IF(LOG(Sheet1!C$13*(11-Sheet1!C$11)^2/3.828E+026)&gt;C30,IF(LOG(Sheet1!C$13*(11-Sheet1!C$11)^2/3.828E+026)&lt;C29,(LOG(Sheet1!C$13*(11-Sheet1!C$11)^2/3.828E+026)-C30)/(C29-C30)*(B29-B30)+B30,0),0)</f>
        <v>0</v>
      </c>
      <c r="F30" s="37" t="n">
        <f aca="false">IF(LOG(Sheet1!C$13*(11-Sheet1!C$11)^2/3.828E+026)&gt;C30,IF(LOG(Sheet1!C$13*(11-Sheet1!C$11)^2/3.828E+026)&lt;C29,(LOG(Sheet1!C$13*(11-Sheet1!C$11)^2/3.828E+026)-C30)/(C29-C30)*(D29-D30)+D30,0),0)</f>
        <v>0</v>
      </c>
      <c r="G30" s="32" t="n">
        <f aca="false">IF(F30&gt;0,IF(F30&gt;(D29+D30)/2,A29,A30),0)</f>
        <v>0</v>
      </c>
      <c r="H30" s="32"/>
      <c r="I30" s="32"/>
      <c r="J30" s="37" t="n">
        <f aca="false">J29-0.1</f>
        <v>1.8</v>
      </c>
      <c r="K30" s="40" t="n">
        <f aca="false">10^J30</f>
        <v>63.0957344480193</v>
      </c>
      <c r="L30" s="39" t="n">
        <f aca="false">(O30-O$28)/(O$43-O$28)*(L$43-L$28)+L$28</f>
        <v>4654.01900546999</v>
      </c>
      <c r="M30" s="39" t="n">
        <f aca="false">8314.4621*L30/(Sheet1!C$16*Sheet1!C$12*9.80665)</f>
        <v>109418.769338638</v>
      </c>
      <c r="N30" s="39" t="n">
        <f aca="false">N29-LN(K30/K29)*(M29+M30)/2</f>
        <v>557766.818335521</v>
      </c>
      <c r="O30" s="39" t="n">
        <f aca="false">Sheet1!C$10*10/Sheet1!C$11*1000*N30/(Sheet1!C$10*10/Sheet1!C$11*1000-N30)</f>
        <v>558209.896402804</v>
      </c>
      <c r="Q30" s="37" t="n">
        <f aca="false">Q29-0.1</f>
        <v>5.90000000000001</v>
      </c>
      <c r="R30" s="40" t="n">
        <f aca="false">10^Q30</f>
        <v>794328.234724298</v>
      </c>
      <c r="S30" s="39" t="n">
        <f aca="false">U30-T30*((Sheet1!H$18-Sheet1!H$19)*COS(RADIANS(38))+Sheet1!H$19)/2</f>
        <v>287.569621554051</v>
      </c>
      <c r="T30" s="37" t="n">
        <v>0</v>
      </c>
      <c r="U30" s="39" t="n">
        <f aca="false">(X30-X$24)/(X$34-X$24)*(U$34-U$24)+U$24</f>
        <v>287.569621554051</v>
      </c>
      <c r="V30" s="39" t="n">
        <f aca="false">8314.4621*U30/(Sheet1!H$20*Sheet1!H$12*9.80665)</f>
        <v>57075.2782229818</v>
      </c>
      <c r="W30" s="39" t="n">
        <f aca="false">W29-LN(R30/R29)*(V29+V30)/2</f>
        <v>817121.114289366</v>
      </c>
      <c r="X30" s="39" t="n">
        <f aca="false">Sheet1!H$10*10/Sheet1!H$11*1000*W30/(Sheet1!H$10*10/Sheet1!H$11*1000-W30)</f>
        <v>828547.617658683</v>
      </c>
      <c r="Y30" s="37"/>
      <c r="Z30" s="39"/>
      <c r="AF30" s="37" t="n">
        <f aca="false">AF29-0.1</f>
        <v>2.5</v>
      </c>
      <c r="AG30" s="40" t="n">
        <f aca="false">10^AF30</f>
        <v>316.227766016837</v>
      </c>
      <c r="AH30" s="39" t="n">
        <f aca="false">AJ30-AI30*((Sheet1!M$19-Sheet1!M$20)*COS(RADIANS(38))+Sheet1!M$20)/2</f>
        <v>205.947597891568</v>
      </c>
      <c r="AI30" s="37" t="n">
        <v>0.4</v>
      </c>
      <c r="AJ30" s="39" t="n">
        <f aca="false">(AM30-AM$25)/(AM$35-AM$25)*(AJ$35-AJ$25)+AJ$25</f>
        <v>208.481221549502</v>
      </c>
      <c r="AK30" s="39" t="n">
        <f aca="false">8314.4621*AJ30/(Sheet1!M$21*Sheet1!M$12*9.80665)</f>
        <v>6130.93121271255</v>
      </c>
      <c r="AL30" s="39" t="n">
        <f aca="false">AL29-LN(AG30/AG29)*(AK29+AK30)/2</f>
        <v>32162.8460838823</v>
      </c>
      <c r="AM30" s="39" t="n">
        <f aca="false">Sheet1!M$10*10/Sheet1!M$11*1000*AL30/(Sheet1!M$10*10/Sheet1!M$11*1000-AL30)</f>
        <v>32326.8402776089</v>
      </c>
      <c r="AN30" s="41"/>
      <c r="AO30" s="37" t="n">
        <f aca="false">AO29+(AO$31-AO$19)/12</f>
        <v>1.79966903566393</v>
      </c>
      <c r="AP30" s="40" t="n">
        <f aca="false">10^AO30</f>
        <v>63.0476691748587</v>
      </c>
      <c r="AQ30" s="39" t="n">
        <f aca="false">AS30-AR30*((Sheet1!R$19-Sheet1!R$20)*COS(RADIANS(38))+Sheet1!R$20)/2</f>
        <v>223.649510173691</v>
      </c>
      <c r="AR30" s="37" t="n">
        <f aca="false">(AV30-AV$4)/(AV$31-AV$4)*(AR$31-AR$4)+AR$4</f>
        <v>-0.0154649984875637</v>
      </c>
      <c r="AS30" s="39" t="n">
        <f aca="false">(AV30-AV$19)/(AV$31-AV$19)*(AS$31-AS$19)+AS$19</f>
        <v>223.044668677946</v>
      </c>
      <c r="AT30" s="39" t="n">
        <f aca="false">8314.4621*AS30/(Sheet1!R$22*Sheet1!R$12*9.80665)</f>
        <v>3945.71834557397</v>
      </c>
      <c r="AU30" s="39" t="n">
        <f aca="false">AU29-LN(AP30/AP29)*(AT29+AT30)/2</f>
        <v>23697.2194553056</v>
      </c>
      <c r="AV30" s="39" t="n">
        <f aca="false">Sheet1!R$10*10/Sheet1!R$11*1000*AU30/(Sheet1!R$10*10/Sheet1!R$11*1000-AU30)</f>
        <v>23779.3630097882</v>
      </c>
    </row>
    <row r="31" customFormat="false" ht="14.4" hidden="false" customHeight="false" outlineLevel="0" collapsed="false">
      <c r="A31" s="31" t="s">
        <v>95</v>
      </c>
      <c r="B31" s="38" t="n">
        <v>1.5</v>
      </c>
      <c r="C31" s="38" t="n">
        <v>0.77</v>
      </c>
      <c r="D31" s="38" t="n">
        <v>3.84695532501982</v>
      </c>
      <c r="E31" s="36" t="n">
        <f aca="false">IF(LOG(Sheet1!C$13*(11-Sheet1!C$11)^2/3.828E+026)&gt;C31,IF(LOG(Sheet1!C$13*(11-Sheet1!C$11)^2/3.828E+026)&lt;C30,(LOG(Sheet1!C$13*(11-Sheet1!C$11)^2/3.828E+026)-C31)/(C30-C31)*(B30-B31)+B31,0),0)</f>
        <v>0</v>
      </c>
      <c r="F31" s="37" t="n">
        <f aca="false">IF(LOG(Sheet1!C$13*(11-Sheet1!C$11)^2/3.828E+026)&gt;C31,IF(LOG(Sheet1!C$13*(11-Sheet1!C$11)^2/3.828E+026)&lt;C30,(LOG(Sheet1!C$13*(11-Sheet1!C$11)^2/3.828E+026)-C31)/(C30-C31)*(D30-D31)+D31,0),0)</f>
        <v>0</v>
      </c>
      <c r="G31" s="32" t="n">
        <f aca="false">IF(F31&gt;0,IF(F31&gt;(D30+D31)/2,A30,A31),0)</f>
        <v>0</v>
      </c>
      <c r="H31" s="32"/>
      <c r="I31" s="32"/>
      <c r="J31" s="37" t="n">
        <f aca="false">J30-0.1</f>
        <v>1.7</v>
      </c>
      <c r="K31" s="40" t="n">
        <f aca="false">10^J31</f>
        <v>50.1187233627272</v>
      </c>
      <c r="L31" s="39" t="n">
        <f aca="false">(O31-O$28)/(O$43-O$28)*(L$43-L$28)+L$28</f>
        <v>4741.0495515384</v>
      </c>
      <c r="M31" s="39" t="n">
        <f aca="false">8314.4621*L31/(Sheet1!C$16*Sheet1!C$12*9.80665)</f>
        <v>111464.909510065</v>
      </c>
      <c r="N31" s="39" t="n">
        <f aca="false">N30-LN(K31/K30)*(M30+M31)/2</f>
        <v>583196.991645656</v>
      </c>
      <c r="O31" s="39" t="n">
        <f aca="false">Sheet1!C$10*10/Sheet1!C$11*1000*N31/(Sheet1!C$10*10/Sheet1!C$11*1000-N31)</f>
        <v>583681.410661989</v>
      </c>
      <c r="Q31" s="37" t="n">
        <f aca="false">Q30-0.1</f>
        <v>5.80000000000001</v>
      </c>
      <c r="R31" s="40" t="n">
        <f aca="false">10^Q31</f>
        <v>630957.344480207</v>
      </c>
      <c r="S31" s="39" t="n">
        <f aca="false">U31-T31*((Sheet1!H$18-Sheet1!H$19)*COS(RADIANS(38))+Sheet1!H$19)/2</f>
        <v>271.647994554386</v>
      </c>
      <c r="T31" s="37" t="n">
        <v>0</v>
      </c>
      <c r="U31" s="39" t="n">
        <f aca="false">(X31-X$24)/(X$34-X$24)*(U$34-U$24)+U$24</f>
        <v>271.647994554386</v>
      </c>
      <c r="V31" s="39" t="n">
        <f aca="false">8314.4621*U31/(Sheet1!H$20*Sheet1!H$12*9.80665)</f>
        <v>53915.2389745467</v>
      </c>
      <c r="W31" s="39" t="n">
        <f aca="false">W30-LN(R31/R30)*(V30+V31)/2</f>
        <v>829899.369807502</v>
      </c>
      <c r="X31" s="39" t="n">
        <f aca="false">Sheet1!H$10*10/Sheet1!H$11*1000*W31/(Sheet1!H$10*10/Sheet1!H$11*1000-W31)</f>
        <v>841688.624187434</v>
      </c>
      <c r="Y31" s="37"/>
      <c r="Z31" s="39"/>
      <c r="AF31" s="37" t="n">
        <f aca="false">AF30-0.1</f>
        <v>2.4</v>
      </c>
      <c r="AG31" s="40" t="n">
        <f aca="false">10^AF31</f>
        <v>251.188643150957</v>
      </c>
      <c r="AH31" s="39" t="n">
        <f aca="false">AJ31-AI31*((Sheet1!M$19-Sheet1!M$20)*COS(RADIANS(38))+Sheet1!M$20)/2</f>
        <v>208.665527585126</v>
      </c>
      <c r="AI31" s="37" t="n">
        <f aca="false">(AM31-AM$30)/(AM$50-AM$30)*(AI$50-AI$30)+AI$30</f>
        <v>0.358939072641618</v>
      </c>
      <c r="AJ31" s="39" t="n">
        <f aca="false">(AM31-AM$25)/(AM$35-AM$25)*(AJ$35-AJ$25)+AJ$25</f>
        <v>210.939068900631</v>
      </c>
      <c r="AK31" s="39" t="n">
        <f aca="false">8314.4621*AJ31/(Sheet1!M$21*Sheet1!M$12*9.80665)</f>
        <v>6203.2105908221</v>
      </c>
      <c r="AL31" s="39" t="n">
        <f aca="false">AL30-LN(AG31/AG30)*(AK30+AK31)/2</f>
        <v>33582.866636467</v>
      </c>
      <c r="AM31" s="39" t="n">
        <f aca="false">Sheet1!M$10*10/Sheet1!M$11*1000*AL31/(Sheet1!M$10*10/Sheet1!M$11*1000-AL31)</f>
        <v>33761.7017670447</v>
      </c>
      <c r="AN31" s="41"/>
      <c r="AO31" s="37" t="n">
        <f aca="false">AO4+0.4*(AO61-AO4)</f>
        <v>1.71048879145679</v>
      </c>
      <c r="AP31" s="40" t="n">
        <f aca="false">10^AO31</f>
        <v>51.3438926179516</v>
      </c>
      <c r="AQ31" s="39" t="n">
        <f aca="false">AS31-AR31*((Sheet1!R$19-Sheet1!R$20)*COS(RADIANS(38))+Sheet1!R$20)/2</f>
        <v>221.037195236467</v>
      </c>
      <c r="AR31" s="37" t="n">
        <f aca="false">ROUND(-MIN(Sheet1!R21+Sheet1!R19,5.7*LOG(Sheet1!R15)+4.8)/(Sheet1!R21+Sheet1!R19)/2/0.05,0)*0.05</f>
        <v>-0.05</v>
      </c>
      <c r="AS31" s="39" t="n">
        <f aca="false">Sheet1!R16+0.64*(AS61-Sheet1!R16)+0.1*Sheet1!R18</f>
        <v>219.081677761856</v>
      </c>
      <c r="AT31" s="39" t="n">
        <f aca="false">8314.4621*AS31/(Sheet1!R$22*Sheet1!R$12*9.80665)</f>
        <v>3875.61200295819</v>
      </c>
      <c r="AU31" s="39" t="n">
        <f aca="false">AU30-LN(AP31/AP30)*(AT30+AT31)/2</f>
        <v>24500.2610978503</v>
      </c>
      <c r="AV31" s="39" t="n">
        <f aca="false">Sheet1!R$10*10/Sheet1!R$11*1000*AU31/(Sheet1!R$10*10/Sheet1!R$11*1000-AU31)</f>
        <v>24588.0765929554</v>
      </c>
    </row>
    <row r="32" customFormat="false" ht="14.4" hidden="false" customHeight="false" outlineLevel="0" collapsed="false">
      <c r="A32" s="31" t="s">
        <v>96</v>
      </c>
      <c r="B32" s="38" t="n">
        <v>1.44</v>
      </c>
      <c r="C32" s="38" t="n">
        <v>0.7</v>
      </c>
      <c r="D32" s="38" t="n">
        <v>3.83314711191279</v>
      </c>
      <c r="E32" s="36" t="n">
        <f aca="false">IF(LOG(Sheet1!C$13*(11-Sheet1!C$11)^2/3.828E+026)&gt;C32,IF(LOG(Sheet1!C$13*(11-Sheet1!C$11)^2/3.828E+026)&lt;C31,(LOG(Sheet1!C$13*(11-Sheet1!C$11)^2/3.828E+026)-C32)/(C31-C32)*(B31-B32)+B32,0),0)</f>
        <v>0</v>
      </c>
      <c r="F32" s="37" t="n">
        <f aca="false">IF(LOG(Sheet1!C$13*(11-Sheet1!C$11)^2/3.828E+026)&gt;C32,IF(LOG(Sheet1!C$13*(11-Sheet1!C$11)^2/3.828E+026)&lt;C31,(LOG(Sheet1!C$13*(11-Sheet1!C$11)^2/3.828E+026)-C32)/(C31-C32)*(D31-D32)+D32,0),0)</f>
        <v>0</v>
      </c>
      <c r="G32" s="32" t="n">
        <f aca="false">IF(F32&gt;0,IF(F32&gt;(D31+D32)/2,A31,A32),0)</f>
        <v>0</v>
      </c>
      <c r="H32" s="32"/>
      <c r="I32" s="32"/>
      <c r="J32" s="37" t="n">
        <f aca="false">J31-0.1</f>
        <v>1.6</v>
      </c>
      <c r="K32" s="40" t="n">
        <f aca="false">10^J32</f>
        <v>39.8107170553497</v>
      </c>
      <c r="L32" s="39" t="n">
        <f aca="false">(O32-O$28)/(O$43-O$28)*(L$43-L$28)+L$28</f>
        <v>4829.71411929193</v>
      </c>
      <c r="M32" s="39" t="n">
        <f aca="false">8314.4621*L32/(Sheet1!C$16*Sheet1!C$12*9.80665)</f>
        <v>113549.466508249</v>
      </c>
      <c r="N32" s="39" t="n">
        <f aca="false">N31-LN(K32/K31)*(M31+M32)/2</f>
        <v>609102.729042112</v>
      </c>
      <c r="O32" s="39" t="n">
        <f aca="false">Sheet1!C$10*10/Sheet1!C$11*1000*N32/(Sheet1!C$10*10/Sheet1!C$11*1000-N32)</f>
        <v>609631.159386343</v>
      </c>
      <c r="Q32" s="37" t="n">
        <f aca="false">Q31-0.1</f>
        <v>5.70000000000001</v>
      </c>
      <c r="R32" s="40" t="n">
        <f aca="false">10^Q32</f>
        <v>501187.233627284</v>
      </c>
      <c r="S32" s="39" t="n">
        <f aca="false">U32-T32*((Sheet1!H$18-Sheet1!H$19)*COS(RADIANS(38))+Sheet1!H$19)/2</f>
        <v>256.601665209252</v>
      </c>
      <c r="T32" s="37" t="n">
        <v>0</v>
      </c>
      <c r="U32" s="39" t="n">
        <f aca="false">(X32-X$24)/(X$34-X$24)*(U$34-U$24)+U$24</f>
        <v>256.601665209252</v>
      </c>
      <c r="V32" s="39" t="n">
        <f aca="false">8314.4621*U32/(Sheet1!H$20*Sheet1!H$12*9.80665)</f>
        <v>50928.9241163664</v>
      </c>
      <c r="W32" s="39" t="n">
        <f aca="false">W31-LN(R32/R31)*(V31+V32)/2</f>
        <v>841970.000158531</v>
      </c>
      <c r="X32" s="39" t="n">
        <f aca="false">Sheet1!H$10*10/Sheet1!H$11*1000*W32/(Sheet1!H$10*10/Sheet1!H$11*1000-W32)</f>
        <v>854107.198417219</v>
      </c>
      <c r="Y32" s="37"/>
      <c r="Z32" s="39"/>
      <c r="AF32" s="37" t="n">
        <f aca="false">AF31-0.1</f>
        <v>2.3</v>
      </c>
      <c r="AG32" s="40" t="n">
        <f aca="false">10^AF32</f>
        <v>199.526231496887</v>
      </c>
      <c r="AH32" s="39" t="n">
        <f aca="false">AJ32-AI32*((Sheet1!M$19-Sheet1!M$20)*COS(RADIANS(38))+Sheet1!M$20)/2</f>
        <v>211.416753136423</v>
      </c>
      <c r="AI32" s="37" t="n">
        <f aca="false">(AM32-AM$30)/(AM$50-AM$30)*(AI$50-AI$30)+AI$30</f>
        <v>0.317375130702675</v>
      </c>
      <c r="AJ32" s="39" t="n">
        <f aca="false">(AM32-AM$25)/(AM$35-AM$25)*(AJ$35-AJ$25)+AJ$25</f>
        <v>213.427025985394</v>
      </c>
      <c r="AK32" s="39" t="n">
        <f aca="false">8314.4621*AJ32/(Sheet1!M$21*Sheet1!M$12*9.80665)</f>
        <v>6276.37542376722</v>
      </c>
      <c r="AL32" s="39" t="n">
        <f aca="false">AL31-LN(AG32/AG31)*(AK31+AK32)/2</f>
        <v>35019.6320726635</v>
      </c>
      <c r="AM32" s="39" t="n">
        <f aca="false">Sheet1!M$10*10/Sheet1!M$11*1000*AL32/(Sheet1!M$10*10/Sheet1!M$11*1000-AL32)</f>
        <v>35214.140946433</v>
      </c>
      <c r="AN32" s="41"/>
      <c r="AO32" s="37" t="n">
        <f aca="false">AO31+(AO$41-AO$31)/10</f>
        <v>1.60347249840823</v>
      </c>
      <c r="AP32" s="40" t="n">
        <f aca="false">10^AO32</f>
        <v>40.130308503847</v>
      </c>
      <c r="AQ32" s="39" t="n">
        <f aca="false">AS32-AR32*((Sheet1!R$19-Sheet1!R$20)*COS(RADIANS(38))+Sheet1!R$20)/2</f>
        <v>217.085169923308</v>
      </c>
      <c r="AR32" s="37" t="n">
        <f aca="false">(AV32-AV$31)/(AV$51-AV$31)*(AR$51-AR$31)+AR$31</f>
        <v>-0.0471005219286665</v>
      </c>
      <c r="AS32" s="39" t="n">
        <f aca="false">(AV32-AV$31)/(AV$41-AV$31)*(AS$41-AS$31)+AS$31</f>
        <v>215.243052049412</v>
      </c>
      <c r="AT32" s="39" t="n">
        <f aca="false">8314.4621*AS32/(Sheet1!R$22*Sheet1!R$12*9.80665)</f>
        <v>3807.70571322188</v>
      </c>
      <c r="AU32" s="39" t="n">
        <f aca="false">AU31-LN(AP32/AP31)*(AT31+AT32)/2</f>
        <v>25446.9000888599</v>
      </c>
      <c r="AV32" s="39" t="n">
        <f aca="false">Sheet1!R$10*10/Sheet1!R$11*1000*AU32/(Sheet1!R$10*10/Sheet1!R$11*1000-AU32)</f>
        <v>25541.6458190732</v>
      </c>
    </row>
    <row r="33" customFormat="false" ht="14.4" hidden="false" customHeight="false" outlineLevel="0" collapsed="false">
      <c r="A33" s="31" t="s">
        <v>97</v>
      </c>
      <c r="B33" s="38" t="n">
        <v>1.43</v>
      </c>
      <c r="C33" s="38" t="n">
        <v>0.67</v>
      </c>
      <c r="D33" s="38" t="n">
        <v>3.82736927305383</v>
      </c>
      <c r="E33" s="36" t="n">
        <f aca="false">IF(LOG(Sheet1!C$13*(11-Sheet1!C$11)^2/3.828E+026)&gt;C33,IF(LOG(Sheet1!C$13*(11-Sheet1!C$11)^2/3.828E+026)&lt;C32,(LOG(Sheet1!C$13*(11-Sheet1!C$11)^2/3.828E+026)-C33)/(C32-C33)*(B32-B33)+B33,0),0)</f>
        <v>0</v>
      </c>
      <c r="F33" s="37" t="n">
        <f aca="false">IF(LOG(Sheet1!C$13*(11-Sheet1!C$11)^2/3.828E+026)&gt;C33,IF(LOG(Sheet1!C$13*(11-Sheet1!C$11)^2/3.828E+026)&lt;C32,(LOG(Sheet1!C$13*(11-Sheet1!C$11)^2/3.828E+026)-C33)/(C32-C33)*(D32-D33)+D33,0),0)</f>
        <v>0</v>
      </c>
      <c r="G33" s="32" t="n">
        <f aca="false">IF(F33&gt;0,IF(F33&gt;(D32+D33)/2,A32,A33),0)</f>
        <v>0</v>
      </c>
      <c r="H33" s="32" t="n">
        <f aca="false">IF(G33&lt;&gt;0,G33,IF(G34&lt;&gt;0,G34,IF(G35&lt;&gt;0,G35,IF(G36&lt;&gt;0,G36,IF(G37&lt;&gt;0,G37,IF(G38&lt;&gt;0,G38,IF(G39&lt;&gt;0,G39,0)))))))</f>
        <v>0</v>
      </c>
      <c r="I33" s="32"/>
      <c r="J33" s="37" t="n">
        <f aca="false">J32-0.1</f>
        <v>1.5</v>
      </c>
      <c r="K33" s="40" t="n">
        <f aca="false">10^J33</f>
        <v>31.6227766016838</v>
      </c>
      <c r="L33" s="39" t="n">
        <f aca="false">(O33-O$28)/(O$43-O$28)*(L$43-L$28)+L$28</f>
        <v>4920.04363522341</v>
      </c>
      <c r="M33" s="39" t="n">
        <f aca="false">8314.4621*L33/(Sheet1!C$16*Sheet1!C$12*9.80665)</f>
        <v>115673.167433527</v>
      </c>
      <c r="N33" s="39" t="n">
        <f aca="false">N32-LN(K33/K32)*(M32+M33)/2</f>
        <v>635492.96003667</v>
      </c>
      <c r="O33" s="39" t="n">
        <f aca="false">Sheet1!C$10*10/Sheet1!C$11*1000*N33/(Sheet1!C$10*10/Sheet1!C$11*1000-N33)</f>
        <v>636068.193933565</v>
      </c>
      <c r="Q33" s="37" t="n">
        <f aca="false">Q32-0.1</f>
        <v>5.60000000000001</v>
      </c>
      <c r="R33" s="40" t="n">
        <f aca="false">10^Q33</f>
        <v>398107.170553507</v>
      </c>
      <c r="S33" s="39" t="n">
        <f aca="false">U33-T33*((Sheet1!H$18-Sheet1!H$19)*COS(RADIANS(38))+Sheet1!H$19)/2</f>
        <v>242.383183015499</v>
      </c>
      <c r="T33" s="37" t="n">
        <v>0</v>
      </c>
      <c r="U33" s="39" t="n">
        <f aca="false">(X33-X$24)/(X$34-X$24)*(U$34-U$24)+U$24</f>
        <v>242.383183015499</v>
      </c>
      <c r="V33" s="39" t="n">
        <f aca="false">8314.4621*U33/(Sheet1!H$20*Sheet1!H$12*9.80665)</f>
        <v>48106.9159267272</v>
      </c>
      <c r="W33" s="39" t="n">
        <f aca="false">W32-LN(R33/R32)*(V32+V33)/2</f>
        <v>853371.922606299</v>
      </c>
      <c r="X33" s="39" t="n">
        <f aca="false">Sheet1!H$10*10/Sheet1!H$11*1000*W33/(Sheet1!H$10*10/Sheet1!H$11*1000-W33)</f>
        <v>865842.503889747</v>
      </c>
      <c r="Y33" s="37"/>
      <c r="Z33" s="39"/>
      <c r="AF33" s="37" t="n">
        <f aca="false">AF32-0.1</f>
        <v>2.2</v>
      </c>
      <c r="AG33" s="40" t="n">
        <f aca="false">10^AF33</f>
        <v>158.489319246111</v>
      </c>
      <c r="AH33" s="39" t="n">
        <f aca="false">AJ33-AI33*((Sheet1!M$19-Sheet1!M$20)*COS(RADIANS(38))+Sheet1!M$20)/2</f>
        <v>214.201712488845</v>
      </c>
      <c r="AI33" s="37" t="n">
        <f aca="false">(AM33-AM$30)/(AM$50-AM$30)*(AI$50-AI$30)+AI$30</f>
        <v>0.275301557998579</v>
      </c>
      <c r="AJ33" s="39" t="n">
        <f aca="false">(AM33-AM$25)/(AM$35-AM$25)*(AJ$35-AJ$25)+AJ$25</f>
        <v>215.945488839874</v>
      </c>
      <c r="AK33" s="39" t="n">
        <f aca="false">8314.4621*AJ33/(Sheet1!M$21*Sheet1!M$12*9.80665)</f>
        <v>6350.43735801638</v>
      </c>
      <c r="AL33" s="39" t="n">
        <f aca="false">AL32-LN(AG33/AG32)*(AK32+AK33)/2</f>
        <v>36473.3476168316</v>
      </c>
      <c r="AM33" s="39" t="n">
        <f aca="false">Sheet1!M$10*10/Sheet1!M$11*1000*AL33/(Sheet1!M$10*10/Sheet1!M$11*1000-AL33)</f>
        <v>36684.3890163115</v>
      </c>
      <c r="AN33" s="41"/>
      <c r="AO33" s="37" t="n">
        <f aca="false">AO32+(AO$41-AO$31)/10</f>
        <v>1.49645620535967</v>
      </c>
      <c r="AP33" s="40" t="n">
        <f aca="false">10^AO33</f>
        <v>31.3657881882308</v>
      </c>
      <c r="AQ33" s="39" t="n">
        <f aca="false">AS33-AR33*((Sheet1!R$19-Sheet1!R$20)*COS(RADIANS(38))+Sheet1!R$20)/2</f>
        <v>213.201335140397</v>
      </c>
      <c r="AR33" s="37" t="n">
        <f aca="false">(AV33-AV$31)/(AV$51-AV$31)*(AR$51-AR$31)+AR$31</f>
        <v>-0.0442510683600346</v>
      </c>
      <c r="AS33" s="39" t="n">
        <f aca="false">(AV33-AV$31)/(AV$41-AV$31)*(AS$41-AS$31)+AS$31</f>
        <v>211.470660391432</v>
      </c>
      <c r="AT33" s="39" t="n">
        <f aca="false">8314.4621*AS33/(Sheet1!R$22*Sheet1!R$12*9.80665)</f>
        <v>3740.97112117892</v>
      </c>
      <c r="AU33" s="39" t="n">
        <f aca="false">AU32-LN(AP33/AP32)*(AT32+AT33)/2</f>
        <v>26376.950372597</v>
      </c>
      <c r="AV33" s="39" t="n">
        <f aca="false">Sheet1!R$10*10/Sheet1!R$11*1000*AU33/(Sheet1!R$10*10/Sheet1!R$11*1000-AU33)</f>
        <v>26478.7621795851</v>
      </c>
    </row>
    <row r="34" customFormat="false" ht="14.4" hidden="false" customHeight="false" outlineLevel="0" collapsed="false">
      <c r="A34" s="31" t="s">
        <v>98</v>
      </c>
      <c r="B34" s="38" t="n">
        <v>1.39</v>
      </c>
      <c r="C34" s="38" t="n">
        <v>0.61</v>
      </c>
      <c r="D34" s="38" t="n">
        <v>3.82216807936802</v>
      </c>
      <c r="E34" s="36" t="n">
        <f aca="false">IF(LOG(Sheet1!C$13*(11-Sheet1!C$11)^2/3.828E+026)&gt;C34,IF(LOG(Sheet1!C$13*(11-Sheet1!C$11)^2/3.828E+026)&lt;C33,(LOG(Sheet1!C$13*(11-Sheet1!C$11)^2/3.828E+026)-C34)/(C33-C34)*(B33-B34)+B34,0),0)</f>
        <v>0</v>
      </c>
      <c r="F34" s="37" t="n">
        <f aca="false">IF(LOG(Sheet1!C$13*(11-Sheet1!C$11)^2/3.828E+026)&gt;C34,IF(LOG(Sheet1!C$13*(11-Sheet1!C$11)^2/3.828E+026)&lt;C33,(LOG(Sheet1!C$13*(11-Sheet1!C$11)^2/3.828E+026)-C34)/(C33-C34)*(D33-D34)+D34,0),0)</f>
        <v>0</v>
      </c>
      <c r="G34" s="32" t="n">
        <f aca="false">IF(F34&gt;0,IF(F34&gt;(D33+D34)/2,A33,A34),0)</f>
        <v>0</v>
      </c>
      <c r="H34" s="32"/>
      <c r="I34" s="32"/>
      <c r="J34" s="37" t="n">
        <f aca="false">J33-0.1</f>
        <v>1.4</v>
      </c>
      <c r="K34" s="40" t="n">
        <f aca="false">10^J34</f>
        <v>25.1188643150958</v>
      </c>
      <c r="L34" s="39" t="n">
        <f aca="false">(O34-O$28)/(O$43-O$28)*(L$43-L$28)+L$28</f>
        <v>5012.06962051254</v>
      </c>
      <c r="M34" s="39" t="n">
        <f aca="false">8314.4621*L34/(Sheet1!C$16*Sheet1!C$12*9.80665)</f>
        <v>117836.753367679</v>
      </c>
      <c r="N34" s="39" t="n">
        <f aca="false">N33-LN(K34/K33)*(M33+M34)/2</f>
        <v>662376.783171824</v>
      </c>
      <c r="O34" s="39" t="n">
        <f aca="false">Sheet1!C$10*10/Sheet1!C$11*1000*N34/(Sheet1!C$10*10/Sheet1!C$11*1000-N34)</f>
        <v>663001.739710299</v>
      </c>
      <c r="Q34" s="37" t="n">
        <f aca="false">Q33-0.1</f>
        <v>5.50000000000001</v>
      </c>
      <c r="R34" s="40" t="n">
        <f aca="false">10^Q34</f>
        <v>316227.766016846</v>
      </c>
      <c r="S34" s="39" t="n">
        <f aca="false">U34-T34*((Sheet1!H$18-Sheet1!H$19)*COS(RADIANS(38))+Sheet1!H$19)/2</f>
        <v>228.947630393403</v>
      </c>
      <c r="T34" s="37" t="n">
        <v>0</v>
      </c>
      <c r="U34" s="39" t="n">
        <f aca="false">1060/1140*(U$44-U$4)+U$4</f>
        <v>228.947630393403</v>
      </c>
      <c r="V34" s="39" t="n">
        <f aca="false">8314.4621*U34/(Sheet1!H$20*Sheet1!H$12*9.80665)</f>
        <v>45440.2994049905</v>
      </c>
      <c r="W34" s="39" t="n">
        <f aca="false">W33-LN(R34/R33)*(V33+V34)/2</f>
        <v>864141.943781995</v>
      </c>
      <c r="X34" s="39" t="n">
        <f aca="false">Sheet1!H$10*10/Sheet1!H$11*1000*W34/(Sheet1!H$10*10/Sheet1!H$11*1000-W34)</f>
        <v>876931.641269614</v>
      </c>
      <c r="Y34" s="37" t="n">
        <f aca="false">IF(Q34&lt;LOG(Sheet1!H$17*101325),Q34,IF(Q44&lt;LOG(Sheet1!H$17*101325),LOG(Sheet1!H$17*101325),0))</f>
        <v>5.50000000000001</v>
      </c>
      <c r="Z34" s="39" t="n">
        <f aca="false">IF(Y34=LOG(Sheet1!H$17*101325),(LOG(Sheet1!H$17*101325)-Q44)/(Q34-Q44)*(S34-S44)+S44,IF(Y34=0,0,S34))</f>
        <v>228.947630393403</v>
      </c>
      <c r="AA34" s="39" t="n">
        <f aca="false">IF(Y34=LOG(Sheet1!H$17*101325),(LOG(Sheet1!H$17*101325)-Q44)/(Q34-Q44)*(X34-X44)+X44,IF(Y34=0,0,X34))</f>
        <v>876931.641269614</v>
      </c>
      <c r="AB34" s="32" t="n">
        <f aca="false">IF(Y34=0,0,AB24+1)</f>
        <v>3</v>
      </c>
      <c r="AF34" s="37" t="n">
        <f aca="false">AF33-0.1</f>
        <v>2.1</v>
      </c>
      <c r="AG34" s="40" t="n">
        <f aca="false">10^AF34</f>
        <v>125.892541179416</v>
      </c>
      <c r="AH34" s="39" t="n">
        <f aca="false">AJ34-AI34*((Sheet1!M$19-Sheet1!M$20)*COS(RADIANS(38))+Sheet1!M$20)/2</f>
        <v>217.020850071615</v>
      </c>
      <c r="AI34" s="37" t="n">
        <f aca="false">(AM34-AM$30)/(AM$50-AM$30)*(AI$50-AI$30)+AI$30</f>
        <v>0.232711640360434</v>
      </c>
      <c r="AJ34" s="39" t="n">
        <f aca="false">(AM34-AM$25)/(AM$35-AM$25)*(AJ$35-AJ$25)+AJ$25</f>
        <v>218.49485936535</v>
      </c>
      <c r="AK34" s="39" t="n">
        <f aca="false">8314.4621*AJ34/(Sheet1!M$21*Sheet1!M$12*9.80665)</f>
        <v>6425.40821251948</v>
      </c>
      <c r="AL34" s="39" t="n">
        <f aca="false">AL33-LN(AG34/AG33)*(AK33+AK34)/2</f>
        <v>37944.2211948871</v>
      </c>
      <c r="AM34" s="39" t="n">
        <f aca="false">Sheet1!M$10*10/Sheet1!M$11*1000*AL34/(Sheet1!M$10*10/Sheet1!M$11*1000-AL34)</f>
        <v>38172.6806012492</v>
      </c>
      <c r="AN34" s="41"/>
      <c r="AO34" s="37" t="n">
        <f aca="false">AO33+(AO$41-AO$31)/10</f>
        <v>1.38943991231111</v>
      </c>
      <c r="AP34" s="40" t="n">
        <f aca="false">10^AO34</f>
        <v>24.515452418579</v>
      </c>
      <c r="AQ34" s="39" t="n">
        <f aca="false">AS34-AR34*((Sheet1!R$19-Sheet1!R$20)*COS(RADIANS(38))+Sheet1!R$20)/2</f>
        <v>209.384547429878</v>
      </c>
      <c r="AR34" s="37" t="n">
        <f aca="false">(AV34-AV$31)/(AV$51-AV$31)*(AR$51-AR$31)+AR$31</f>
        <v>-0.0414508075597643</v>
      </c>
      <c r="AS34" s="39" t="n">
        <f aca="false">(AV34-AV$31)/(AV$41-AV$31)*(AS$41-AS$31)+AS$31</f>
        <v>207.763391859481</v>
      </c>
      <c r="AT34" s="39" t="n">
        <f aca="false">8314.4621*AS34/(Sheet1!R$22*Sheet1!R$12*9.80665)</f>
        <v>3675.3885742156</v>
      </c>
      <c r="AU34" s="39" t="n">
        <f aca="false">AU33-LN(AP34/AP33)*(AT33+AT34)/2</f>
        <v>27290.6982505779</v>
      </c>
      <c r="AV34" s="39" t="n">
        <f aca="false">Sheet1!R$10*10/Sheet1!R$11*1000*AU34/(Sheet1!R$10*10/Sheet1!R$11*1000-AU34)</f>
        <v>27399.7007235521</v>
      </c>
    </row>
    <row r="35" customFormat="false" ht="14.4" hidden="false" customHeight="false" outlineLevel="0" collapsed="false">
      <c r="A35" s="31" t="s">
        <v>99</v>
      </c>
      <c r="B35" s="42" t="n">
        <v>1.33</v>
      </c>
      <c r="C35" s="38" t="n">
        <v>0.54</v>
      </c>
      <c r="D35" s="38" t="n">
        <v>3.81358098856819</v>
      </c>
      <c r="E35" s="36" t="n">
        <f aca="false">IF(LOG(Sheet1!C$13*(11-Sheet1!C$11)^2/3.828E+026)&gt;C35,IF(LOG(Sheet1!C$13*(11-Sheet1!C$11)^2/3.828E+026)&lt;C34,(LOG(Sheet1!C$13*(11-Sheet1!C$11)^2/3.828E+026)-C35)/(C34-C35)*(B34-B35)+B35,0),0)</f>
        <v>0</v>
      </c>
      <c r="F35" s="37" t="n">
        <f aca="false">IF(LOG(Sheet1!C$13*(11-Sheet1!C$11)^2/3.828E+026)&gt;C35,IF(LOG(Sheet1!C$13*(11-Sheet1!C$11)^2/3.828E+026)&lt;C34,(LOG(Sheet1!C$13*(11-Sheet1!C$11)^2/3.828E+026)-C35)/(C34-C35)*(D34-D35)+D35,0),0)</f>
        <v>0</v>
      </c>
      <c r="G35" s="32" t="n">
        <f aca="false">IF(F35&gt;0,IF(F35&gt;(D34+D35)/2,A34,A35),0)</f>
        <v>0</v>
      </c>
      <c r="H35" s="32"/>
      <c r="I35" s="32"/>
      <c r="J35" s="37" t="n">
        <f aca="false">J34-0.1</f>
        <v>1.3</v>
      </c>
      <c r="K35" s="40" t="n">
        <f aca="false">10^J35</f>
        <v>19.9526231496888</v>
      </c>
      <c r="L35" s="39" t="n">
        <f aca="false">(O35-O$28)/(O$43-O$28)*(L$43-L$28)+L$28</f>
        <v>5105.82420281455</v>
      </c>
      <c r="M35" s="39" t="n">
        <f aca="false">8314.4621*L35/(Sheet1!C$16*Sheet1!C$12*9.80665)</f>
        <v>120040.979651088</v>
      </c>
      <c r="N35" s="39" t="n">
        <f aca="false">N34-LN(K35/K34)*(M34+M35)/2</f>
        <v>689763.469272036</v>
      </c>
      <c r="O35" s="39" t="n">
        <f aca="false">Sheet1!C$10*10/Sheet1!C$11*1000*N35/(Sheet1!C$10*10/Sheet1!C$11*1000-N35)</f>
        <v>690441.19962237</v>
      </c>
      <c r="Q35" s="37" t="n">
        <f aca="false">Q34-0.1</f>
        <v>5.40000000000001</v>
      </c>
      <c r="R35" s="40" t="n">
        <f aca="false">10^Q35</f>
        <v>251188.643150964</v>
      </c>
      <c r="S35" s="39" t="n">
        <f aca="false">U35-T35*((Sheet1!H$18-Sheet1!H$19)*COS(RADIANS(38))+Sheet1!H$19)/2</f>
        <v>218.156340168728</v>
      </c>
      <c r="T35" s="37" t="n">
        <v>0</v>
      </c>
      <c r="U35" s="39" t="n">
        <f aca="false">(X35-X$34)/(X$44-X$34)*(U$44-U$34)+U$34</f>
        <v>218.156340168728</v>
      </c>
      <c r="V35" s="39" t="n">
        <f aca="false">8314.4621*U35/(Sheet1!H$20*Sheet1!H$12*9.80665)</f>
        <v>43298.5019208549</v>
      </c>
      <c r="W35" s="39" t="n">
        <f aca="false">W34-LN(R35/R34)*(V34+V35)/2</f>
        <v>874358.375837148</v>
      </c>
      <c r="X35" s="39" t="n">
        <f aca="false">Sheet1!H$10*10/Sheet1!H$11*1000*W35/(Sheet1!H$10*10/Sheet1!H$11*1000-W35)</f>
        <v>887454.568346017</v>
      </c>
      <c r="Y35" s="37"/>
      <c r="Z35" s="39"/>
      <c r="AF35" s="37" t="n">
        <f aca="false">AF34-0.1</f>
        <v>2</v>
      </c>
      <c r="AG35" s="40" t="n">
        <f aca="false">10^AF35</f>
        <v>99.9999999999997</v>
      </c>
      <c r="AH35" s="39" t="n">
        <f aca="false">AJ35-AI35*((Sheet1!M$19-Sheet1!M$20)*COS(RADIANS(38))+Sheet1!M$20)/2</f>
        <v>219.874622606954</v>
      </c>
      <c r="AI35" s="37" t="n">
        <f aca="false">(AM35-AM$30)/(AM$50-AM$30)*(AI$50-AI$30)+AI$30</f>
        <v>0.189598563361665</v>
      </c>
      <c r="AJ35" s="39" t="n">
        <f aca="false">1.04*Sheet1!M16+0.06*Sheet1!M18</f>
        <v>221.075551121063</v>
      </c>
      <c r="AK35" s="39" t="n">
        <f aca="false">8314.4621*AJ35/(Sheet1!M$21*Sheet1!M$12*9.80665)</f>
        <v>6501.30014905886</v>
      </c>
      <c r="AL35" s="39" t="n">
        <f aca="false">AL34-LN(AG35/AG34)*(AK34+AK35)/2</f>
        <v>39432.4634936297</v>
      </c>
      <c r="AM35" s="39" t="n">
        <f aca="false">Sheet1!M$10*10/Sheet1!M$11*1000*AL35/(Sheet1!M$10*10/Sheet1!M$11*1000-AL35)</f>
        <v>39679.2538292886</v>
      </c>
      <c r="AN35" s="41"/>
      <c r="AO35" s="37" t="n">
        <f aca="false">AO34+(AO$41-AO$31)/10</f>
        <v>1.28242361926255</v>
      </c>
      <c r="AP35" s="40" t="n">
        <f aca="false">10^AO35</f>
        <v>19.1612403833398</v>
      </c>
      <c r="AQ35" s="39" t="n">
        <f aca="false">AS35-AR35*((Sheet1!R$19-Sheet1!R$20)*COS(RADIANS(38))+Sheet1!R$20)/2</f>
        <v>205.633685858397</v>
      </c>
      <c r="AR35" s="37" t="n">
        <f aca="false">(AV35-AV$31)/(AV$51-AV$31)*(AR$51-AR$31)+AR$31</f>
        <v>-0.0386989147338378</v>
      </c>
      <c r="AS35" s="39" t="n">
        <f aca="false">(AV35-AV$31)/(AV$41-AV$31)*(AS$41-AS$31)+AS$31</f>
        <v>204.120157778187</v>
      </c>
      <c r="AT35" s="39" t="n">
        <f aca="false">8314.4621*AS35/(Sheet1!R$22*Sheet1!R$12*9.80665)</f>
        <v>3610.93881338075</v>
      </c>
      <c r="AU35" s="39" t="n">
        <f aca="false">AU34-LN(AP35/AP34)*(AT34+AT35)/2</f>
        <v>28188.4252301398</v>
      </c>
      <c r="AV35" s="39" t="n">
        <f aca="false">Sheet1!R$10*10/Sheet1!R$11*1000*AU35/(Sheet1!R$10*10/Sheet1!R$11*1000-AU35)</f>
        <v>28304.7322020548</v>
      </c>
    </row>
    <row r="36" customFormat="false" ht="14.4" hidden="false" customHeight="false" outlineLevel="0" collapsed="false">
      <c r="A36" s="31" t="s">
        <v>100</v>
      </c>
      <c r="B36" s="42" t="n">
        <v>1.25</v>
      </c>
      <c r="C36" s="38" t="n">
        <v>0.43</v>
      </c>
      <c r="D36" s="38" t="n">
        <v>3.80208925788173</v>
      </c>
      <c r="E36" s="36" t="n">
        <f aca="false">IF(LOG(Sheet1!C$13*(11-Sheet1!C$11)^2/3.828E+026)&gt;C36,IF(LOG(Sheet1!C$13*(11-Sheet1!C$11)^2/3.828E+026)&lt;C35,(LOG(Sheet1!C$13*(11-Sheet1!C$11)^2/3.828E+026)-C36)/(C35-C36)*(B35-B36)+B36,0),0)</f>
        <v>0</v>
      </c>
      <c r="F36" s="37" t="n">
        <f aca="false">IF(LOG(Sheet1!C$13*(11-Sheet1!C$11)^2/3.828E+026)&gt;C36,IF(LOG(Sheet1!C$13*(11-Sheet1!C$11)^2/3.828E+026)&lt;C35,(LOG(Sheet1!C$13*(11-Sheet1!C$11)^2/3.828E+026)-C36)/(C35-C36)*(D35-D36)+D36,0),0)</f>
        <v>0</v>
      </c>
      <c r="G36" s="32" t="n">
        <f aca="false">IF(F36&gt;0,IF(F36&gt;(D35+D36)/2,A35,A36),0)</f>
        <v>0</v>
      </c>
      <c r="H36" s="32"/>
      <c r="I36" s="32"/>
      <c r="J36" s="37" t="n">
        <f aca="false">J35-0.1</f>
        <v>1.2</v>
      </c>
      <c r="K36" s="40" t="n">
        <f aca="false">10^J36</f>
        <v>15.8489319246111</v>
      </c>
      <c r="L36" s="39" t="n">
        <f aca="false">(O36-O$28)/(O$43-O$28)*(L$43-L$28)+L$28</f>
        <v>5201.3401282959</v>
      </c>
      <c r="M36" s="39" t="n">
        <f aca="false">8314.4621*L36/(Sheet1!C$16*Sheet1!C$12*9.80665)</f>
        <v>122286.616165706</v>
      </c>
      <c r="N36" s="39" t="n">
        <f aca="false">N35-LN(K36/K35)*(M35+M36)/2</f>
        <v>717662.464759477</v>
      </c>
      <c r="O36" s="39" t="n">
        <f aca="false">Sheet1!C$10*10/Sheet1!C$11*1000*N36/(Sheet1!C$10*10/Sheet1!C$11*1000-N36)</f>
        <v>718396.157597296</v>
      </c>
      <c r="Q36" s="37" t="n">
        <f aca="false">Q35-0.1</f>
        <v>5.30000000000001</v>
      </c>
      <c r="R36" s="40" t="n">
        <f aca="false">10^Q36</f>
        <v>199526.231496893</v>
      </c>
      <c r="S36" s="39" t="n">
        <f aca="false">U36-T36*((Sheet1!H$18-Sheet1!H$19)*COS(RADIANS(38))+Sheet1!H$19)/2</f>
        <v>207.870235301657</v>
      </c>
      <c r="T36" s="37" t="n">
        <v>0</v>
      </c>
      <c r="U36" s="39" t="n">
        <f aca="false">(X36-X$34)/(X$44-X$34)*(U$44-U$34)+U$34</f>
        <v>207.870235301657</v>
      </c>
      <c r="V36" s="39" t="n">
        <f aca="false">8314.4621*U36/(Sheet1!H$20*Sheet1!H$12*9.80665)</f>
        <v>41256.9709206533</v>
      </c>
      <c r="W36" s="39" t="n">
        <f aca="false">W35-LN(R36/R35)*(V35+V36)/2</f>
        <v>884093.184401944</v>
      </c>
      <c r="X36" s="39" t="n">
        <f aca="false">Sheet1!H$10*10/Sheet1!H$11*1000*W36/(Sheet1!H$10*10/Sheet1!H$11*1000-W36)</f>
        <v>897484.850596312</v>
      </c>
      <c r="Y36" s="37"/>
      <c r="Z36" s="39"/>
      <c r="AF36" s="37" t="n">
        <f aca="false">AF35-0.1</f>
        <v>1.9</v>
      </c>
      <c r="AG36" s="40" t="n">
        <f aca="false">10^AF36</f>
        <v>79.4328234724279</v>
      </c>
      <c r="AH36" s="39" t="n">
        <f aca="false">AJ36-AI36*((Sheet1!M$19-Sheet1!M$20)*COS(RADIANS(38))+Sheet1!M$20)/2</f>
        <v>219.818647699657</v>
      </c>
      <c r="AI36" s="37" t="n">
        <f aca="false">(AM36-AM$30)/(AM$50-AM$30)*(AI$50-AI$30)+AI$30</f>
        <v>0.146244266891477</v>
      </c>
      <c r="AJ36" s="39" t="n">
        <f aca="false">(AM36-AM$35)/(AM$37-AM$35)*(AJ$37-AJ$35)+AJ$35</f>
        <v>220.744967535741</v>
      </c>
      <c r="AK36" s="39" t="n">
        <f aca="false">8314.4621*AJ36/(Sheet1!M$21*Sheet1!M$12*9.80665)</f>
        <v>6491.57848105157</v>
      </c>
      <c r="AL36" s="39" t="n">
        <f aca="false">AL35-LN(AG36/AG35)*(AK35+AK36)/2</f>
        <v>40928.3239260683</v>
      </c>
      <c r="AM36" s="39" t="n">
        <f aca="false">Sheet1!M$10*10/Sheet1!M$11*1000*AL36/(Sheet1!M$10*10/Sheet1!M$11*1000-AL36)</f>
        <v>41194.2563976355</v>
      </c>
      <c r="AN36" s="41"/>
      <c r="AO36" s="37" t="n">
        <f aca="false">AO35+(AO$41-AO$31)/10</f>
        <v>1.17540732621399</v>
      </c>
      <c r="AP36" s="40" t="n">
        <f aca="false">10^AO36</f>
        <v>14.9763963870349</v>
      </c>
      <c r="AQ36" s="39" t="n">
        <f aca="false">AS36-AR36*((Sheet1!R$19-Sheet1!R$20)*COS(RADIANS(38))+Sheet1!R$20)/2</f>
        <v>201.947645862533</v>
      </c>
      <c r="AR36" s="37" t="n">
        <f aca="false">(AV36-AV$31)/(AV$51-AV$31)*(AR$51-AR$31)+AR$31</f>
        <v>-0.035994579492795</v>
      </c>
      <c r="AS36" s="39" t="n">
        <f aca="false">(AV36-AV$31)/(AV$41-AV$31)*(AS$41-AS$31)+AS$31</f>
        <v>200.539885278745</v>
      </c>
      <c r="AT36" s="39" t="n">
        <f aca="false">8314.4621*AS36/(Sheet1!R$22*Sheet1!R$12*9.80665)</f>
        <v>3547.60285934546</v>
      </c>
      <c r="AU36" s="39" t="n">
        <f aca="false">AU35-LN(AP36/AP35)*(AT35+AT36)/2</f>
        <v>29070.4081073934</v>
      </c>
      <c r="AV36" s="39" t="n">
        <f aca="false">Sheet1!R$10*10/Sheet1!R$11*1000*AU36/(Sheet1!R$10*10/Sheet1!R$11*1000-AU36)</f>
        <v>29194.1231327295</v>
      </c>
    </row>
    <row r="37" customFormat="false" ht="14.4" hidden="false" customHeight="false" outlineLevel="0" collapsed="false">
      <c r="A37" s="31" t="s">
        <v>101</v>
      </c>
      <c r="B37" s="42" t="n">
        <v>1.21</v>
      </c>
      <c r="C37" s="38" t="n">
        <v>0.36</v>
      </c>
      <c r="D37" s="38" t="n">
        <v>3.79518458968242</v>
      </c>
      <c r="E37" s="36" t="n">
        <f aca="false">IF(LOG(Sheet1!C$13*(11-Sheet1!C$11)^2/3.828E+026)&gt;C37,IF(LOG(Sheet1!C$13*(11-Sheet1!C$11)^2/3.828E+026)&lt;C36,(LOG(Sheet1!C$13*(11-Sheet1!C$11)^2/3.828E+026)-C37)/(C36-C37)*(B36-B37)+B37,0),0)</f>
        <v>0</v>
      </c>
      <c r="F37" s="37" t="n">
        <f aca="false">IF(LOG(Sheet1!C$13*(11-Sheet1!C$11)^2/3.828E+026)&gt;C37,IF(LOG(Sheet1!C$13*(11-Sheet1!C$11)^2/3.828E+026)&lt;C36,(LOG(Sheet1!C$13*(11-Sheet1!C$11)^2/3.828E+026)-C37)/(C36-C37)*(D36-D37)+D37,0),0)</f>
        <v>0</v>
      </c>
      <c r="G37" s="32" t="n">
        <f aca="false">IF(F37&gt;0,IF(F37&gt;(D36+D37)/2,A36,A37),0)</f>
        <v>0</v>
      </c>
      <c r="H37" s="32"/>
      <c r="I37" s="32"/>
      <c r="J37" s="37" t="n">
        <f aca="false">J36-0.1</f>
        <v>1.1</v>
      </c>
      <c r="K37" s="40" t="n">
        <f aca="false">10^J37</f>
        <v>12.5892541179417</v>
      </c>
      <c r="L37" s="39" t="n">
        <f aca="false">(O37-O$28)/(O$43-O$28)*(L$43-L$28)+L$28</f>
        <v>5298.65077392253</v>
      </c>
      <c r="M37" s="39" t="n">
        <f aca="false">8314.4621*L37/(Sheet1!C$16*Sheet1!C$12*9.80665)</f>
        <v>124574.447623958</v>
      </c>
      <c r="N37" s="39" t="n">
        <f aca="false">N36-LN(K37/K36)*(M36+M37)/2</f>
        <v>746083.395035614</v>
      </c>
      <c r="O37" s="39" t="n">
        <f aca="false">Sheet1!C$10*10/Sheet1!C$11*1000*N37/(Sheet1!C$10*10/Sheet1!C$11*1000-N37)</f>
        <v>746876.382180754</v>
      </c>
      <c r="Q37" s="37" t="n">
        <f aca="false">Q36-0.1</f>
        <v>5.20000000000001</v>
      </c>
      <c r="R37" s="40" t="n">
        <f aca="false">10^Q37</f>
        <v>158489.319246116</v>
      </c>
      <c r="S37" s="39" t="n">
        <f aca="false">U37-T37*((Sheet1!H$18-Sheet1!H$19)*COS(RADIANS(38))+Sheet1!H$19)/2</f>
        <v>198.066014758891</v>
      </c>
      <c r="T37" s="37" t="n">
        <v>0</v>
      </c>
      <c r="U37" s="39" t="n">
        <f aca="false">(X37-X$34)/(X$44-X$34)*(U$44-U$34)+U$34</f>
        <v>198.066014758891</v>
      </c>
      <c r="V37" s="39" t="n">
        <f aca="false">8314.4621*U37/(Sheet1!H$20*Sheet1!H$12*9.80665)</f>
        <v>39311.0817400999</v>
      </c>
      <c r="W37" s="39" t="n">
        <f aca="false">W36-LN(R37/R36)*(V36+V37)/2</f>
        <v>893368.924253354</v>
      </c>
      <c r="X37" s="39" t="n">
        <f aca="false">Sheet1!H$10*10/Sheet1!H$11*1000*W37/(Sheet1!H$10*10/Sheet1!H$11*1000-W37)</f>
        <v>907045.24376004</v>
      </c>
      <c r="Y37" s="37"/>
      <c r="Z37" s="39"/>
      <c r="AF37" s="37" t="n">
        <f aca="false">AF36-0.1</f>
        <v>1.8</v>
      </c>
      <c r="AG37" s="40" t="n">
        <f aca="false">10^AF37</f>
        <v>63.0957344480191</v>
      </c>
      <c r="AH37" s="39" t="n">
        <f aca="false">AJ37-AI37*((Sheet1!M$19-Sheet1!M$20)*COS(RADIANS(38))+Sheet1!M$20)/2</f>
        <v>219.762747396909</v>
      </c>
      <c r="AI37" s="37" t="n">
        <f aca="false">(AM37-AM$30)/(AM$50-AM$30)*(AI$50-AI$30)+AI$30</f>
        <v>0.102934263920441</v>
      </c>
      <c r="AJ37" s="39" t="n">
        <f aca="false">1.05*Sheet1!M16</f>
        <v>220.414739112611</v>
      </c>
      <c r="AK37" s="39" t="n">
        <f aca="false">8314.4621*AJ37/(Sheet1!M$21*Sheet1!M$12*9.80665)</f>
        <v>6481.86725750998</v>
      </c>
      <c r="AL37" s="39" t="n">
        <f aca="false">AL36-LN(AG37/AG36)*(AK36+AK37)/2</f>
        <v>42421.9470641873</v>
      </c>
      <c r="AM37" s="39" t="n">
        <f aca="false">Sheet1!M$10*10/Sheet1!M$11*1000*AL37/(Sheet1!M$10*10/Sheet1!M$11*1000-AL37)</f>
        <v>42707.7111432649</v>
      </c>
      <c r="AN37" s="41"/>
      <c r="AO37" s="37" t="n">
        <f aca="false">AO36+(AO$41-AO$31)/10</f>
        <v>1.06839103316543</v>
      </c>
      <c r="AP37" s="40" t="n">
        <f aca="false">10^AO37</f>
        <v>11.705528674261</v>
      </c>
      <c r="AQ37" s="39" t="n">
        <f aca="false">AS37-AR37*((Sheet1!R$19-Sheet1!R$20)*COS(RADIANS(38))+Sheet1!R$20)/2</f>
        <v>198.325340203298</v>
      </c>
      <c r="AR37" s="37" t="n">
        <f aca="false">(AV37-AV$31)/(AV$51-AV$31)*(AR$51-AR$31)+AR$31</f>
        <v>-0.0333370041577022</v>
      </c>
      <c r="AS37" s="39" t="n">
        <f aca="false">(AV37-AV$31)/(AV$41-AV$31)*(AS$41-AS$31)+AS$31</f>
        <v>197.021518319666</v>
      </c>
      <c r="AT37" s="39" t="n">
        <f aca="false">8314.4621*AS37/(Sheet1!R$22*Sheet1!R$12*9.80665)</f>
        <v>3485.36203046046</v>
      </c>
      <c r="AU37" s="39" t="n">
        <f aca="false">AU36-LN(AP37/AP36)*(AT36+AT37)/2</f>
        <v>29936.9190383513</v>
      </c>
      <c r="AV37" s="39" t="n">
        <f aca="false">Sheet1!R$10*10/Sheet1!R$11*1000*AU37/(Sheet1!R$10*10/Sheet1!R$11*1000-AU37)</f>
        <v>30068.1358530256</v>
      </c>
    </row>
    <row r="38" customFormat="false" ht="14.4" hidden="false" customHeight="false" outlineLevel="0" collapsed="false">
      <c r="A38" s="31" t="s">
        <v>102</v>
      </c>
      <c r="B38" s="42" t="n">
        <v>1.18</v>
      </c>
      <c r="C38" s="38" t="n">
        <v>0.31</v>
      </c>
      <c r="D38" s="38" t="n">
        <v>3.79028516403324</v>
      </c>
      <c r="E38" s="36" t="n">
        <f aca="false">IF(LOG(Sheet1!C$13*(11-Sheet1!C$11)^2/3.828E+026)&gt;C38,IF(LOG(Sheet1!C$13*(11-Sheet1!C$11)^2/3.828E+026)&lt;C37,(LOG(Sheet1!C$13*(11-Sheet1!C$11)^2/3.828E+026)-C38)/(C37-C38)*(B37-B38)+B38,0),0)</f>
        <v>0</v>
      </c>
      <c r="F38" s="37" t="n">
        <f aca="false">IF(LOG(Sheet1!C$13*(11-Sheet1!C$11)^2/3.828E+026)&gt;C38,IF(LOG(Sheet1!C$13*(11-Sheet1!C$11)^2/3.828E+026)&lt;C37,(LOG(Sheet1!C$13*(11-Sheet1!C$11)^2/3.828E+026)-C38)/(C37-C38)*(D37-D38)+D38,0),0)</f>
        <v>0</v>
      </c>
      <c r="G38" s="32" t="n">
        <f aca="false">IF(F38&gt;0,IF(F38&gt;(D37+D38)/2,A37,A38),0)</f>
        <v>0</v>
      </c>
      <c r="H38" s="32"/>
      <c r="I38" s="32"/>
      <c r="J38" s="37" t="n">
        <f aca="false">J37-0.1</f>
        <v>0.999999999999999</v>
      </c>
      <c r="K38" s="40" t="n">
        <f aca="false">10^J38</f>
        <v>9.99999999999998</v>
      </c>
      <c r="L38" s="39" t="n">
        <f aca="false">(O38-O$28)/(O$43-O$28)*(L$43-L$28)+L$28</f>
        <v>5397.7901600067</v>
      </c>
      <c r="M38" s="39" t="n">
        <f aca="false">8314.4621*L38/(Sheet1!C$16*Sheet1!C$12*9.80665)</f>
        <v>126905.273863724</v>
      </c>
      <c r="N38" s="39" t="n">
        <f aca="false">N37-LN(K38/K37)*(M37+M38)/2</f>
        <v>775036.067930006</v>
      </c>
      <c r="O38" s="39" t="n">
        <f aca="false">Sheet1!C$10*10/Sheet1!C$11*1000*N38/(Sheet1!C$10*10/Sheet1!C$11*1000-N38)</f>
        <v>775891.830208679</v>
      </c>
      <c r="Q38" s="37" t="n">
        <f aca="false">Q37-0.1</f>
        <v>5.10000000000001</v>
      </c>
      <c r="R38" s="40" t="n">
        <f aca="false">10^Q38</f>
        <v>125892.54117942</v>
      </c>
      <c r="S38" s="39" t="n">
        <f aca="false">U38-T38*((Sheet1!H$18-Sheet1!H$19)*COS(RADIANS(38))+Sheet1!H$19)/2</f>
        <v>188.7213791725</v>
      </c>
      <c r="T38" s="37" t="n">
        <v>0</v>
      </c>
      <c r="U38" s="39" t="n">
        <f aca="false">(X38-X$34)/(X$44-X$34)*(U$44-U$34)+U$34</f>
        <v>188.7213791725</v>
      </c>
      <c r="V38" s="39" t="n">
        <f aca="false">8314.4621*U38/(Sheet1!H$20*Sheet1!H$12*9.80665)</f>
        <v>37456.4085200868</v>
      </c>
      <c r="W38" s="39" t="n">
        <f aca="false">W37-LN(R38/R37)*(V37+V38)/2</f>
        <v>902207.108188338</v>
      </c>
      <c r="X38" s="39" t="n">
        <f aca="false">Sheet1!H$10*10/Sheet1!H$11*1000*W38/(Sheet1!H$10*10/Sheet1!H$11*1000-W38)</f>
        <v>916157.481297786</v>
      </c>
      <c r="Y38" s="37"/>
      <c r="Z38" s="39"/>
      <c r="AF38" s="37" t="n">
        <f aca="false">AF37-0.1</f>
        <v>1.7</v>
      </c>
      <c r="AG38" s="40" t="n">
        <f aca="false">10^AF38</f>
        <v>50.118723362727</v>
      </c>
      <c r="AH38" s="39" t="n">
        <f aca="false">AJ38-AI38*((Sheet1!M$19-Sheet1!M$20)*COS(RADIANS(38))+Sheet1!M$20)/2</f>
        <v>216.094228932483</v>
      </c>
      <c r="AI38" s="37" t="n">
        <f aca="false">(AM38-AM$30)/(AM$50-AM$30)*(AI$50-AI$30)+AI$30</f>
        <v>0.0600232278302149</v>
      </c>
      <c r="AJ38" s="39" t="n">
        <f aca="false">(AM38-AM$37)/(AM$50-AM$37)*(AJ$50-AJ$37)+AJ$37</f>
        <v>216.474419607623</v>
      </c>
      <c r="AK38" s="39" t="n">
        <f aca="false">8314.4621*AJ38/(Sheet1!M$21*Sheet1!M$12*9.80665)</f>
        <v>6365.99193952382</v>
      </c>
      <c r="AL38" s="39" t="n">
        <f aca="false">AL37-LN(AG38/AG37)*(AK37+AK38)/2</f>
        <v>43901.1115173861</v>
      </c>
      <c r="AM38" s="39" t="n">
        <f aca="false">Sheet1!M$10*10/Sheet1!M$11*1000*AL38/(Sheet1!M$10*10/Sheet1!M$11*1000-AL38)</f>
        <v>44207.2229089952</v>
      </c>
      <c r="AN38" s="41"/>
      <c r="AO38" s="37" t="n">
        <f aca="false">AO37+(AO$41-AO$31)/10</f>
        <v>0.961374740116874</v>
      </c>
      <c r="AP38" s="40" t="n">
        <f aca="false">10^AO38</f>
        <v>9.14902343681053</v>
      </c>
      <c r="AQ38" s="39" t="n">
        <f aca="false">AS38-AR38*((Sheet1!R$19-Sheet1!R$20)*COS(RADIANS(38))+Sheet1!R$20)/2</f>
        <v>194.765698735604</v>
      </c>
      <c r="AR38" s="37" t="n">
        <f aca="false">(AV38-AV$31)/(AV$51-AV$31)*(AR$51-AR$31)+AR$31</f>
        <v>-0.0307254035910198</v>
      </c>
      <c r="AS38" s="39" t="n">
        <f aca="false">(AV38-AV$31)/(AV$41-AV$31)*(AS$41-AS$31)+AS$31</f>
        <v>193.56401746287</v>
      </c>
      <c r="AT38" s="39" t="n">
        <f aca="false">8314.4621*AS38/(Sheet1!R$22*Sheet1!R$12*9.80665)</f>
        <v>3424.19793879505</v>
      </c>
      <c r="AU38" s="39" t="n">
        <f aca="false">AU37-LN(AP38/AP37)*(AT37+AT38)/2</f>
        <v>30788.2256117919</v>
      </c>
      <c r="AV38" s="39" t="n">
        <f aca="false">Sheet1!R$10*10/Sheet1!R$11*1000*AU38/(Sheet1!R$10*10/Sheet1!R$11*1000-AU38)</f>
        <v>30927.028575829</v>
      </c>
    </row>
    <row r="39" customFormat="false" ht="14.4" hidden="false" customHeight="false" outlineLevel="0" collapsed="false">
      <c r="A39" s="31" t="s">
        <v>103</v>
      </c>
      <c r="B39" s="42" t="n">
        <v>1.14</v>
      </c>
      <c r="C39" s="38" t="n">
        <v>0.26</v>
      </c>
      <c r="D39" s="38" t="n">
        <v>3.78103693862113</v>
      </c>
      <c r="E39" s="36" t="n">
        <f aca="false">IF(LOG(Sheet1!C$13*(11-Sheet1!C$11)^2/3.828E+026)&gt;C39,IF(LOG(Sheet1!C$13*(11-Sheet1!C$11)^2/3.828E+026)&lt;C38,(LOG(Sheet1!C$13*(11-Sheet1!C$11)^2/3.828E+026)-C39)/(C38-C39)*(B38-B39)+B39,0),0)</f>
        <v>0</v>
      </c>
      <c r="F39" s="37" t="n">
        <f aca="false">IF(LOG(Sheet1!C$13*(11-Sheet1!C$11)^2/3.828E+026)&gt;C39,IF(LOG(Sheet1!C$13*(11-Sheet1!C$11)^2/3.828E+026)&lt;C38,(LOG(Sheet1!C$13*(11-Sheet1!C$11)^2/3.828E+026)-C39)/(C38-C39)*(D38-D39)+D39,0),0)</f>
        <v>0</v>
      </c>
      <c r="G39" s="32" t="n">
        <f aca="false">IF(F39&gt;0,IF(F39&gt;(D38+D39)/2,A38,A39),0)</f>
        <v>0</v>
      </c>
      <c r="H39" s="32"/>
      <c r="I39" s="32"/>
      <c r="J39" s="37" t="n">
        <f aca="false">J38-0.1</f>
        <v>0.899999999999999</v>
      </c>
      <c r="K39" s="40" t="n">
        <f aca="false">10^J39</f>
        <v>7.9432823472428</v>
      </c>
      <c r="L39" s="39" t="n">
        <f aca="false">(O39-O$28)/(O$43-O$28)*(L$43-L$28)+L$28</f>
        <v>5498.79296301817</v>
      </c>
      <c r="M39" s="39" t="n">
        <f aca="false">8314.4621*L39/(Sheet1!C$16*Sheet1!C$12*9.80665)</f>
        <v>129279.91014954</v>
      </c>
      <c r="N39" s="39" t="n">
        <f aca="false">N38-LN(K39/K38)*(M38+M39)/2</f>
        <v>804530.477217749</v>
      </c>
      <c r="O39" s="39" t="n">
        <f aca="false">Sheet1!C$10*10/Sheet1!C$11*1000*N39/(Sheet1!C$10*10/Sheet1!C$11*1000-N39)</f>
        <v>805452.650556769</v>
      </c>
      <c r="Q39" s="37" t="n">
        <f aca="false">Q38-0.1</f>
        <v>5.00000000000001</v>
      </c>
      <c r="R39" s="40" t="n">
        <f aca="false">10^Q39</f>
        <v>100000.000000003</v>
      </c>
      <c r="S39" s="39" t="n">
        <f aca="false">U39-T39*((Sheet1!H$18-Sheet1!H$19)*COS(RADIANS(38))+Sheet1!H$19)/2</f>
        <v>179.815045511583</v>
      </c>
      <c r="T39" s="37" t="n">
        <v>0</v>
      </c>
      <c r="U39" s="39" t="n">
        <f aca="false">(X39-X$34)/(X$44-X$34)*(U$44-U$34)+U$34</f>
        <v>179.815045511583</v>
      </c>
      <c r="V39" s="39" t="n">
        <f aca="false">8314.4621*U39/(Sheet1!H$20*Sheet1!H$12*9.80665)</f>
        <v>35688.7271186353</v>
      </c>
      <c r="W39" s="39" t="n">
        <f aca="false">W38-LN(R39/R38)*(V38+V39)/2</f>
        <v>910628.253135675</v>
      </c>
      <c r="X39" s="39" t="n">
        <f aca="false">Sheet1!H$10*10/Sheet1!H$11*1000*W39/(Sheet1!H$10*10/Sheet1!H$11*1000-W39)</f>
        <v>924842.316920727</v>
      </c>
      <c r="Y39" s="37"/>
      <c r="Z39" s="39"/>
      <c r="AF39" s="37" t="n">
        <f aca="false">AF38-0.1</f>
        <v>1.6</v>
      </c>
      <c r="AG39" s="40" t="n">
        <f aca="false">10^AF39</f>
        <v>39.8107170553496</v>
      </c>
      <c r="AH39" s="39" t="n">
        <f aca="false">AJ39-AI39*((Sheet1!M$19-Sheet1!M$20)*COS(RADIANS(38))+Sheet1!M$20)/2</f>
        <v>212.488786037355</v>
      </c>
      <c r="AI39" s="37" t="n">
        <f aca="false">(AM39-AM$30)/(AM$50-AM$30)*(AI$50-AI$30)+AI$30</f>
        <v>0.0178533458396549</v>
      </c>
      <c r="AJ39" s="39" t="n">
        <f aca="false">(AM39-AM$37)/(AM$50-AM$37)*(AJ$50-AJ$37)+AJ$37</f>
        <v>212.601870185837</v>
      </c>
      <c r="AK39" s="39" t="n">
        <f aca="false">8314.4621*AJ39/(Sheet1!M$21*Sheet1!M$12*9.80665)</f>
        <v>6252.10957665995</v>
      </c>
      <c r="AL39" s="39" t="n">
        <f aca="false">AL37-LN(AG39/AG37)*(AK37+AK39)/2</f>
        <v>45354.0535874764</v>
      </c>
      <c r="AM39" s="39" t="n">
        <f aca="false">Sheet1!M$10*10/Sheet1!M$11*1000*AL39/(Sheet1!M$10*10/Sheet1!M$11*1000-AL39)</f>
        <v>45680.8376821383</v>
      </c>
      <c r="AN39" s="41"/>
      <c r="AO39" s="37" t="n">
        <f aca="false">AO38+(AO$41-AO$31)/10</f>
        <v>0.854358447068315</v>
      </c>
      <c r="AP39" s="40" t="n">
        <f aca="false">10^AO39</f>
        <v>7.15086282530444</v>
      </c>
      <c r="AQ39" s="39" t="n">
        <f aca="false">AS39-AR39*((Sheet1!R$19-Sheet1!R$20)*COS(RADIANS(38))+Sheet1!R$20)/2</f>
        <v>191.267668179328</v>
      </c>
      <c r="AR39" s="37" t="n">
        <f aca="false">(AV39-AV$31)/(AV$51-AV$31)*(AR$51-AR$31)+AR$31</f>
        <v>-0.02815900502863</v>
      </c>
      <c r="AS39" s="39" t="n">
        <f aca="false">(AV39-AV$31)/(AV$41-AV$31)*(AS$41-AS$31)+AS$31</f>
        <v>190.166359651305</v>
      </c>
      <c r="AT39" s="39" t="n">
        <f aca="false">8314.4621*AS39/(Sheet1!R$22*Sheet1!R$12*9.80665)</f>
        <v>3364.09248620326</v>
      </c>
      <c r="AU39" s="39" t="n">
        <f aca="false">AU38-LN(AP39/AP38)*(AT38+AT39)/2</f>
        <v>31624.5909211515</v>
      </c>
      <c r="AV39" s="39" t="n">
        <f aca="false">Sheet1!R$10*10/Sheet1!R$11*1000*AU39/(Sheet1!R$10*10/Sheet1!R$11*1000-AU39)</f>
        <v>31771.0554447042</v>
      </c>
    </row>
    <row r="40" customFormat="false" ht="14.4" hidden="false" customHeight="false" outlineLevel="0" collapsed="false">
      <c r="A40" s="31" t="s">
        <v>104</v>
      </c>
      <c r="B40" s="42" t="n">
        <v>1.08</v>
      </c>
      <c r="C40" s="38" t="n">
        <v>0.14</v>
      </c>
      <c r="D40" s="38" t="n">
        <v>3.77232170672292</v>
      </c>
      <c r="E40" s="36" t="n">
        <f aca="false">IF(LOG(Sheet1!C$13*(11-Sheet1!C$11)^2/3.828E+026)&gt;C40,IF(LOG(Sheet1!C$13*(11-Sheet1!C$11)^2/3.828E+026)&lt;C39,(LOG(Sheet1!C$13*(11-Sheet1!C$11)^2/3.828E+026)-C40)/(C39-C40)*(B39-B40)+B40,0),0)</f>
        <v>0</v>
      </c>
      <c r="F40" s="37" t="n">
        <f aca="false">IF(LOG(Sheet1!C$13*(11-Sheet1!C$11)^2/3.828E+026)&gt;C40,IF(LOG(Sheet1!C$13*(11-Sheet1!C$11)^2/3.828E+026)&lt;C39,(LOG(Sheet1!C$13*(11-Sheet1!C$11)^2/3.828E+026)-C40)/(C39-C40)*(D39-D40)+D40,0),0)</f>
        <v>0</v>
      </c>
      <c r="G40" s="32" t="n">
        <f aca="false">IF(F40&gt;0,IF(F40&gt;(D39+D40)/2,A39,A40),0)</f>
        <v>0</v>
      </c>
      <c r="H40" s="32" t="str">
        <f aca="false">IF(G40&lt;&gt;0,G40,IF(G41&lt;&gt;0,G41,IF(G42&lt;&gt;0,G42,IF(G43&lt;&gt;0,G43,IF(G44&lt;&gt;0,G44,IF(G45&lt;&gt;0,G45,IF(G46&lt;&gt;0,G46,0)))))))</f>
        <v>G2V</v>
      </c>
      <c r="I40" s="32" t="str">
        <f aca="false">IF(H40&lt;&gt;0,H40,IF(H47&lt;&gt;0,H47,IF(H54&lt;&gt;0,H54,IF(H61&lt;&gt;0,H61,IF(H68&lt;&gt;0,H68,)))))</f>
        <v>G2V</v>
      </c>
      <c r="J40" s="37" t="n">
        <f aca="false">J39-0.1</f>
        <v>0.799999999999999</v>
      </c>
      <c r="K40" s="40" t="n">
        <f aca="false">10^J40</f>
        <v>6.30957344480192</v>
      </c>
      <c r="L40" s="39" t="n">
        <f aca="false">(O40-O$28)/(O$43-O$28)*(L$43-L$28)+L$28</f>
        <v>5601.69452866594</v>
      </c>
      <c r="M40" s="39" t="n">
        <f aca="false">8314.4621*L40/(Sheet1!C$16*Sheet1!C$12*9.80665)</f>
        <v>131699.187480158</v>
      </c>
      <c r="N40" s="39" t="n">
        <f aca="false">N39-LN(K40/K39)*(M39+M40)/2</f>
        <v>834576.806207008</v>
      </c>
      <c r="O40" s="39" t="n">
        <f aca="false">Sheet1!C$10*10/Sheet1!C$11*1000*N40/(Sheet1!C$10*10/Sheet1!C$11*1000-N40)</f>
        <v>835569.187969155</v>
      </c>
      <c r="Q40" s="37" t="n">
        <f aca="false">Q39-0.1</f>
        <v>4.90000000000001</v>
      </c>
      <c r="R40" s="40" t="n">
        <f aca="false">10^Q40</f>
        <v>79432.8234724305</v>
      </c>
      <c r="S40" s="39" t="n">
        <f aca="false">U40-T40*((Sheet1!H$18-Sheet1!H$19)*COS(RADIANS(38))+Sheet1!H$19)/2</f>
        <v>171.326692361997</v>
      </c>
      <c r="T40" s="37" t="n">
        <v>0</v>
      </c>
      <c r="U40" s="39" t="n">
        <f aca="false">(X40-X$34)/(X$44-X$34)*(U$44-U$34)+U$34</f>
        <v>171.326692361997</v>
      </c>
      <c r="V40" s="39" t="n">
        <f aca="false">8314.4621*U40/(Sheet1!H$20*Sheet1!H$12*9.80665)</f>
        <v>34004.0042503106</v>
      </c>
      <c r="W40" s="39" t="n">
        <f aca="false">W39-LN(R40/R39)*(V39+V40)/2</f>
        <v>918651.925352684</v>
      </c>
      <c r="X40" s="39" t="n">
        <f aca="false">Sheet1!H$10*10/Sheet1!H$11*1000*W40/(Sheet1!H$10*10/Sheet1!H$11*1000-W40)</f>
        <v>933119.566638495</v>
      </c>
      <c r="Y40" s="37"/>
      <c r="Z40" s="39"/>
      <c r="AF40" s="37" t="n">
        <f aca="false">AF39-0.1</f>
        <v>1.5</v>
      </c>
      <c r="AG40" s="40" t="n">
        <f aca="false">10^AF40</f>
        <v>31.6227766016837</v>
      </c>
      <c r="AH40" s="39" t="n">
        <f aca="false">AJ40-AI40*((Sheet1!M$19-Sheet1!M$20)*COS(RADIANS(38))+Sheet1!M$20)/2</f>
        <v>208.946927772872</v>
      </c>
      <c r="AI40" s="37" t="n">
        <f aca="false">(AM40-AM$30)/(AM$50-AM$30)*(AI$50-AI$30)+AI$30</f>
        <v>-0.023574495667138</v>
      </c>
      <c r="AJ40" s="39" t="n">
        <f aca="false">(AM40-AM$37)/(AM$50-AM$37)*(AJ$50-AJ$37)+AJ$37</f>
        <v>208.797605523007</v>
      </c>
      <c r="AK40" s="39" t="n">
        <f aca="false">8314.4621*AJ40/(Sheet1!M$21*Sheet1!M$12*9.80665)</f>
        <v>6140.23530429425</v>
      </c>
      <c r="AL40" s="39" t="n">
        <f aca="false">AL39-LN(AG40/AG39)*(AK39+AK40)/2</f>
        <v>46780.7750169827</v>
      </c>
      <c r="AM40" s="39" t="n">
        <f aca="false">Sheet1!M$10*10/Sheet1!M$11*1000*AL40/(Sheet1!M$10*10/Sheet1!M$11*1000-AL40)</f>
        <v>47128.5208737458</v>
      </c>
      <c r="AN40" s="41"/>
      <c r="AO40" s="37" t="n">
        <f aca="false">AO39+(AO$41-AO$31)/10</f>
        <v>0.747342154019755</v>
      </c>
      <c r="AP40" s="40" t="n">
        <f aca="false">10^AO40</f>
        <v>5.5891035255832</v>
      </c>
      <c r="AQ40" s="39" t="n">
        <f aca="false">AS40-AR40*((Sheet1!R$19-Sheet1!R$20)*COS(RADIANS(38))+Sheet1!R$20)/2</f>
        <v>187.830211891993</v>
      </c>
      <c r="AR40" s="37" t="n">
        <f aca="false">(AV40-AV$31)/(AV$51-AV$31)*(AR$51-AR$31)+AR$31</f>
        <v>-0.0256370479130653</v>
      </c>
      <c r="AS40" s="39" t="n">
        <f aca="false">(AV40-AV$31)/(AV$41-AV$31)*(AS$41-AS$31)+AS$31</f>
        <v>186.827537988164</v>
      </c>
      <c r="AT40" s="39" t="n">
        <f aca="false">8314.4621*AS40/(Sheet1!R$22*Sheet1!R$12*9.80665)</f>
        <v>3305.02786041802</v>
      </c>
      <c r="AU40" s="39" t="n">
        <f aca="false">AU39-LN(AP40/AP39)*(AT39+AT40)/2</f>
        <v>32446.2736354498</v>
      </c>
      <c r="AV40" s="39" t="n">
        <f aca="false">Sheet1!R$10*10/Sheet1!R$11*1000*AU40/(Sheet1!R$10*10/Sheet1!R$11*1000-AU40)</f>
        <v>32600.4665887416</v>
      </c>
    </row>
    <row r="41" customFormat="false" ht="14.4" hidden="false" customHeight="false" outlineLevel="0" collapsed="false">
      <c r="A41" s="31" t="s">
        <v>105</v>
      </c>
      <c r="B41" s="42" t="n">
        <v>1.07</v>
      </c>
      <c r="C41" s="38" t="n">
        <v>0.13</v>
      </c>
      <c r="D41" s="38" t="n">
        <v>3.76937732607614</v>
      </c>
      <c r="E41" s="36" t="n">
        <f aca="false">IF(LOG(Sheet1!C$13*(11-Sheet1!C$11)^2/3.828E+026)&gt;C41,IF(LOG(Sheet1!C$13*(11-Sheet1!C$11)^2/3.828E+026)&lt;C40,(LOG(Sheet1!C$13*(11-Sheet1!C$11)^2/3.828E+026)-C41)/(C40-C41)*(B40-B41)+B41,0),0)</f>
        <v>0</v>
      </c>
      <c r="F41" s="37" t="n">
        <f aca="false">IF(LOG(Sheet1!C$13*(11-Sheet1!C$11)^2/3.828E+026)&gt;C41,IF(LOG(Sheet1!C$13*(11-Sheet1!C$11)^2/3.828E+026)&lt;C40,(LOG(Sheet1!C$13*(11-Sheet1!C$11)^2/3.828E+026)-C41)/(C40-C41)*(D40-D41)+D41,0),0)</f>
        <v>0</v>
      </c>
      <c r="G41" s="32" t="n">
        <f aca="false">IF(F41&gt;0,IF(F41&gt;(D40+D41)/2,A40,A41),0)</f>
        <v>0</v>
      </c>
      <c r="H41" s="32"/>
      <c r="I41" s="32"/>
      <c r="J41" s="37" t="n">
        <f aca="false">J40-0.1</f>
        <v>0.699999999999999</v>
      </c>
      <c r="K41" s="40" t="n">
        <f aca="false">10^J41</f>
        <v>5.01187233627272</v>
      </c>
      <c r="L41" s="39" t="n">
        <f aca="false">(O41-O$28)/(O$43-O$28)*(L$43-L$28)+L$28</f>
        <v>5706.53088525686</v>
      </c>
      <c r="M41" s="39" t="n">
        <f aca="false">8314.4621*L41/(Sheet1!C$16*Sheet1!C$12*9.80665)</f>
        <v>134163.952902612</v>
      </c>
      <c r="N41" s="39" t="n">
        <f aca="false">N40-LN(K41/K40)*(M40+M41)/2</f>
        <v>865185.431398106</v>
      </c>
      <c r="O41" s="39" t="n">
        <f aca="false">Sheet1!C$10*10/Sheet1!C$11*1000*N41/(Sheet1!C$10*10/Sheet1!C$11*1000-N41)</f>
        <v>866251.986968114</v>
      </c>
      <c r="Q41" s="37" t="n">
        <f aca="false">Q40-0.1</f>
        <v>4.80000000000001</v>
      </c>
      <c r="R41" s="40" t="n">
        <f aca="false">10^Q41</f>
        <v>63095.7344480212</v>
      </c>
      <c r="S41" s="39" t="n">
        <f aca="false">U41-T41*((Sheet1!H$18-Sheet1!H$19)*COS(RADIANS(38))+Sheet1!H$19)/2</f>
        <v>163.236971843084</v>
      </c>
      <c r="T41" s="37" t="n">
        <v>0</v>
      </c>
      <c r="U41" s="39" t="n">
        <f aca="false">(X41-X$34)/(X$44-X$34)*(U$44-U$34)+U$34</f>
        <v>163.236971843084</v>
      </c>
      <c r="V41" s="39" t="n">
        <f aca="false">8314.4621*U41/(Sheet1!H$20*Sheet1!H$12*9.80665)</f>
        <v>32398.3998513901</v>
      </c>
      <c r="W41" s="39" t="n">
        <f aca="false">W40-LN(R41/R40)*(V40+V41)/2</f>
        <v>926296.784643861</v>
      </c>
      <c r="X41" s="39" t="n">
        <f aca="false">Sheet1!H$10*10/Sheet1!H$11*1000*W41/(Sheet1!H$10*10/Sheet1!H$11*1000-W41)</f>
        <v>941008.150221312</v>
      </c>
      <c r="Y41" s="37"/>
      <c r="Z41" s="39"/>
      <c r="AF41" s="37" t="n">
        <f aca="false">AF40-0.1</f>
        <v>1.4</v>
      </c>
      <c r="AG41" s="40" t="n">
        <f aca="false">10^AF41</f>
        <v>25.1188643150957</v>
      </c>
      <c r="AH41" s="39" t="n">
        <f aca="false">AJ41-AI41*((Sheet1!M$19-Sheet1!M$20)*COS(RADIANS(38))+Sheet1!M$20)/2</f>
        <v>205.467419352963</v>
      </c>
      <c r="AI41" s="37" t="n">
        <f aca="false">(AM41-AM$30)/(AM$50-AM$30)*(AI$50-AI$30)+AI$30</f>
        <v>-0.06427920835499</v>
      </c>
      <c r="AJ41" s="39" t="n">
        <f aca="false">(AM41-AM$37)/(AM$50-AM$37)*(AJ$50-AJ$37)+AJ$37</f>
        <v>205.060271045459</v>
      </c>
      <c r="AK41" s="39" t="n">
        <f aca="false">8314.4621*AJ41/(Sheet1!M$21*Sheet1!M$12*9.80665)</f>
        <v>6030.32928767344</v>
      </c>
      <c r="AL41" s="39" t="n">
        <f aca="false">AL40-LN(AG41/AG40)*(AK40+AK41)/2</f>
        <v>48181.963047122</v>
      </c>
      <c r="AM41" s="39" t="n">
        <f aca="false">Sheet1!M$10*10/Sheet1!M$11*1000*AL41/(Sheet1!M$10*10/Sheet1!M$11*1000-AL41)</f>
        <v>48550.9345509766</v>
      </c>
      <c r="AN41" s="41"/>
      <c r="AO41" s="37" t="n">
        <f aca="false">AO4+0.6*(AO61-AO4)</f>
        <v>0.640325860971195</v>
      </c>
      <c r="AP41" s="40" t="n">
        <f aca="false">10^AO41</f>
        <v>4.36843482847212</v>
      </c>
      <c r="AQ41" s="39" t="n">
        <f aca="false">AS41-AR41*((Sheet1!R$19-Sheet1!R$20)*COS(RADIANS(38))+Sheet1!R$20)/2</f>
        <v>184.452274093676</v>
      </c>
      <c r="AR41" s="37" t="n">
        <f aca="false">(AV41-AV$31)/(AV$51-AV$31)*(AR$51-AR$31)+AR$31</f>
        <v>-0.0231587839659286</v>
      </c>
      <c r="AS41" s="39" t="n">
        <f aca="false">Sheet1!R16+0.84*(AS61-Sheet1!R16)+0.03*Sheet1!R18</f>
        <v>183.546525958954</v>
      </c>
      <c r="AT41" s="39" t="n">
        <f aca="false">8314.4621*AS41/(Sheet1!R$22*Sheet1!R$12*9.80665)</f>
        <v>3246.98590213029</v>
      </c>
      <c r="AU41" s="39" t="n">
        <f aca="false">AU40-LN(AP41/AP40)*(AT40+AT41)/2</f>
        <v>33253.5279917546</v>
      </c>
      <c r="AV41" s="39" t="n">
        <f aca="false">Sheet1!R$10*10/Sheet1!R$11*1000*AU41/(Sheet1!R$10*10/Sheet1!R$11*1000-AU41)</f>
        <v>33415.5080987401</v>
      </c>
    </row>
    <row r="42" customFormat="false" ht="14.4" hidden="false" customHeight="false" outlineLevel="0" collapsed="false">
      <c r="A42" s="31" t="s">
        <v>106</v>
      </c>
      <c r="B42" s="42" t="n">
        <v>1.02</v>
      </c>
      <c r="C42" s="38" t="n">
        <v>0.01</v>
      </c>
      <c r="D42" s="38" t="n">
        <v>3.76117581315573</v>
      </c>
      <c r="E42" s="36" t="n">
        <f aca="false">IF(LOG(Sheet1!C$13*(11-Sheet1!C$11)^2/3.828E+026)&gt;C42,IF(LOG(Sheet1!C$13*(11-Sheet1!C$11)^2/3.828E+026)&lt;C41,(LOG(Sheet1!C$13*(11-Sheet1!C$11)^2/3.828E+026)-C42)/(C41-C42)*(B41-B42)+B42,0),0)</f>
        <v>0</v>
      </c>
      <c r="F42" s="37" t="n">
        <f aca="false">IF(LOG(Sheet1!C$13*(11-Sheet1!C$11)^2/3.828E+026)&gt;C42,IF(LOG(Sheet1!C$13*(11-Sheet1!C$11)^2/3.828E+026)&lt;C41,(LOG(Sheet1!C$13*(11-Sheet1!C$11)^2/3.828E+026)-C42)/(C41-C42)*(D41-D42)+D42,0),0)</f>
        <v>0</v>
      </c>
      <c r="G42" s="32" t="n">
        <f aca="false">IF(F42&gt;0,IF(F42&gt;(D41+D42)/2,A41,A42),0)</f>
        <v>0</v>
      </c>
      <c r="H42" s="32"/>
      <c r="I42" s="32"/>
      <c r="J42" s="37" t="n">
        <f aca="false">J41-0.1</f>
        <v>0.599999999999999</v>
      </c>
      <c r="K42" s="40" t="n">
        <f aca="false">10^J42</f>
        <v>3.98107170553497</v>
      </c>
      <c r="L42" s="39" t="n">
        <f aca="false">(O42-O$28)/(O$43-O$28)*(L$43-L$28)+L$28</f>
        <v>5813.33875733751</v>
      </c>
      <c r="M42" s="39" t="n">
        <f aca="false">8314.4621*L42/(Sheet1!C$16*Sheet1!C$12*9.80665)</f>
        <v>136675.069832948</v>
      </c>
      <c r="N42" s="39" t="n">
        <f aca="false">N41-LN(K42/K41)*(M41+M42)/2</f>
        <v>896366.926215704</v>
      </c>
      <c r="O42" s="39" t="n">
        <f aca="false">Sheet1!C$10*10/Sheet1!C$11*1000*N42/(Sheet1!C$10*10/Sheet1!C$11*1000-N42)</f>
        <v>897511.795846679</v>
      </c>
      <c r="Q42" s="37" t="n">
        <f aca="false">Q41-0.1</f>
        <v>4.70000000000001</v>
      </c>
      <c r="R42" s="40" t="n">
        <f aca="false">10^Q42</f>
        <v>50118.7233627288</v>
      </c>
      <c r="S42" s="39" t="n">
        <f aca="false">U42-T42*((Sheet1!H$18-Sheet1!H$19)*COS(RADIANS(38))+Sheet1!H$19)/2</f>
        <v>155.527264098012</v>
      </c>
      <c r="T42" s="37" t="n">
        <v>0</v>
      </c>
      <c r="U42" s="39" t="n">
        <f aca="false">(X42-X$34)/(X$44-X$34)*(U$44-U$34)+U$34</f>
        <v>155.527264098012</v>
      </c>
      <c r="V42" s="39" t="n">
        <f aca="false">8314.4621*U42/(Sheet1!H$20*Sheet1!H$12*9.80665)</f>
        <v>30868.2183524199</v>
      </c>
      <c r="W42" s="39" t="n">
        <f aca="false">W41-LN(R42/R41)*(V41+V42)/2</f>
        <v>933580.623241873</v>
      </c>
      <c r="X42" s="39" t="n">
        <f aca="false">Sheet1!H$10*10/Sheet1!H$11*1000*W42/(Sheet1!H$10*10/Sheet1!H$11*1000-W42)</f>
        <v>948526.127539908</v>
      </c>
      <c r="Y42" s="37"/>
      <c r="Z42" s="39"/>
      <c r="AF42" s="37" t="n">
        <f aca="false">AF41-0.1</f>
        <v>1.3</v>
      </c>
      <c r="AG42" s="40" t="n">
        <f aca="false">10^AF42</f>
        <v>19.9526231496887</v>
      </c>
      <c r="AH42" s="39" t="n">
        <f aca="false">AJ42-AI42*((Sheet1!M$19-Sheet1!M$20)*COS(RADIANS(38))+Sheet1!M$20)/2</f>
        <v>202.048308815801</v>
      </c>
      <c r="AI42" s="37" t="n">
        <f aca="false">(AM42-AM$30)/(AM$50-AM$30)*(AI$50-AI$30)+AI$30</f>
        <v>-0.10427278817597</v>
      </c>
      <c r="AJ42" s="39" t="n">
        <f aca="false">(AM42-AM$37)/(AM$50-AM$37)*(AJ$50-AJ$37)+AJ$37</f>
        <v>201.387838808297</v>
      </c>
      <c r="AK42" s="39" t="n">
        <f aca="false">8314.4621*AJ42/(Sheet1!M$21*Sheet1!M$12*9.80665)</f>
        <v>5922.33188981647</v>
      </c>
      <c r="AL42" s="39" t="n">
        <f aca="false">AL41-LN(AG42/AG41)*(AK41+AK42)/2</f>
        <v>49558.0640195669</v>
      </c>
      <c r="AM42" s="39" t="n">
        <f aca="false">Sheet1!M$10*10/Sheet1!M$11*1000*AL42/(Sheet1!M$10*10/Sheet1!M$11*1000-AL42)</f>
        <v>49948.4979086899</v>
      </c>
      <c r="AN42" s="41"/>
      <c r="AO42" s="37" t="n">
        <f aca="false">AO41+(AO$51-AO$41)/10</f>
        <v>0.533309567922635</v>
      </c>
      <c r="AP42" s="40" t="n">
        <f aca="false">10^AO42</f>
        <v>3.41436202841081</v>
      </c>
      <c r="AQ42" s="39" t="n">
        <f aca="false">AS42-AR42*((Sheet1!R$19-Sheet1!R$20)*COS(RADIANS(38))+Sheet1!R$20)/2</f>
        <v>182.142646734324</v>
      </c>
      <c r="AR42" s="37" t="n">
        <f aca="false">(AV42-AV$31)/(AV$51-AV$31)*(AR$51-AR$31)+AR$31</f>
        <v>-0.020716716089241</v>
      </c>
      <c r="AS42" s="39" t="n">
        <f aca="false">(AV42-AV$41)/(AV$51-AV$41)*(AS$51-AS$41)+AS$41</f>
        <v>181.332408727742</v>
      </c>
      <c r="AT42" s="39" t="n">
        <f aca="false">8314.4621*AS42/(Sheet1!R$22*Sheet1!R$12*9.80665)</f>
        <v>3207.8175910013</v>
      </c>
      <c r="AU42" s="39" t="n">
        <f aca="false">AU41-LN(AP42/AP41)*(AT41+AT42)/2</f>
        <v>34048.8053565102</v>
      </c>
      <c r="AV42" s="39" t="n">
        <f aca="false">Sheet1!R$10*10/Sheet1!R$11*1000*AU42/(Sheet1!R$10*10/Sheet1!R$11*1000-AU42)</f>
        <v>34218.6455902223</v>
      </c>
    </row>
    <row r="43" customFormat="false" ht="14.4" hidden="false" customHeight="false" outlineLevel="0" collapsed="false">
      <c r="A43" s="31" t="s">
        <v>107</v>
      </c>
      <c r="B43" s="42" t="n">
        <v>1</v>
      </c>
      <c r="C43" s="38" t="n">
        <v>-0.01</v>
      </c>
      <c r="D43" s="38" t="n">
        <v>3.75739602879302</v>
      </c>
      <c r="E43" s="36" t="n">
        <f aca="false">IF(LOG(Sheet1!C$13*(11-Sheet1!C$11)^2/3.828E+026)&gt;C43,IF(LOG(Sheet1!C$13*(11-Sheet1!C$11)^2/3.828E+026)&lt;C42,(LOG(Sheet1!C$13*(11-Sheet1!C$11)^2/3.828E+026)-C43)/(C42-C43)*(B42-B43)+B43,0),0)</f>
        <v>1.01195936139887</v>
      </c>
      <c r="F43" s="37" t="n">
        <f aca="false">IF(LOG(Sheet1!C$13*(11-Sheet1!C$11)^2/3.828E+026)&gt;C43,IF(LOG(Sheet1!C$13*(11-Sheet1!C$11)^2/3.828E+026)&lt;C42,(LOG(Sheet1!C$13*(11-Sheet1!C$11)^2/3.828E+026)-C43)/(C42-C43)*(D42-D43)+D43,0),0)</f>
        <v>3.75965621915319</v>
      </c>
      <c r="G43" s="32" t="str">
        <f aca="false">IF(F43&gt;0,IF(F43&gt;(D42+D43)/2,A42,A43),0)</f>
        <v>G2V</v>
      </c>
      <c r="H43" s="32"/>
      <c r="I43" s="32"/>
      <c r="J43" s="37" t="n">
        <f aca="false">J42-0.1</f>
        <v>0.499999999999999</v>
      </c>
      <c r="K43" s="40" t="n">
        <f aca="false">10^J43</f>
        <v>3.16227766016837</v>
      </c>
      <c r="L43" s="39" t="n">
        <f aca="false">1.03*Sheet1!C14</f>
        <v>5922.15557962603</v>
      </c>
      <c r="M43" s="39" t="n">
        <f aca="false">8314.4621*L43/(Sheet1!C$16*Sheet1!C$12*9.80665)</f>
        <v>139233.418383772</v>
      </c>
      <c r="N43" s="39" t="n">
        <f aca="false">N42-LN(K43/K42)*(M42+M43)/2</f>
        <v>928132.064815621</v>
      </c>
      <c r="O43" s="39" t="n">
        <f aca="false">Sheet1!C$10*10/Sheet1!C$11*1000*N43/(Sheet1!C$10*10/Sheet1!C$11*1000-N43)</f>
        <v>929359.570746108</v>
      </c>
      <c r="Q43" s="37" t="n">
        <f aca="false">Q42-0.1</f>
        <v>4.60000000000001</v>
      </c>
      <c r="R43" s="40" t="n">
        <f aca="false">10^Q43</f>
        <v>39810.717055351</v>
      </c>
      <c r="S43" s="39" t="n">
        <f aca="false">U43-T43*((Sheet1!H$18-Sheet1!H$19)*COS(RADIANS(38))+Sheet1!H$19)/2</f>
        <v>148.179937788096</v>
      </c>
      <c r="T43" s="37" t="n">
        <v>0</v>
      </c>
      <c r="U43" s="39" t="n">
        <f aca="false">(X43-X$34)/(X$44-X$34)*(U$44-U$34)+U$34</f>
        <v>148.179937788096</v>
      </c>
      <c r="V43" s="39" t="n">
        <f aca="false">8314.4621*U43/(Sheet1!H$20*Sheet1!H$12*9.80665)</f>
        <v>29409.9603797339</v>
      </c>
      <c r="W43" s="39" t="n">
        <f aca="false">W42-LN(R43/R42)*(V42+V43)/2</f>
        <v>940520.405030947</v>
      </c>
      <c r="X43" s="39" t="n">
        <f aca="false">Sheet1!H$10*10/Sheet1!H$11*1000*W43/(Sheet1!H$10*10/Sheet1!H$11*1000-W43)</f>
        <v>955690.735607122</v>
      </c>
      <c r="Y43" s="37"/>
      <c r="Z43" s="39"/>
      <c r="AF43" s="37" t="n">
        <f aca="false">AF42-0.1</f>
        <v>1.2</v>
      </c>
      <c r="AG43" s="40" t="n">
        <f aca="false">10^AF43</f>
        <v>15.8489319246111</v>
      </c>
      <c r="AH43" s="39" t="n">
        <f aca="false">AJ43-AI43*((Sheet1!M$19-Sheet1!M$20)*COS(RADIANS(38))+Sheet1!M$20)/2</f>
        <v>198.688987964427</v>
      </c>
      <c r="AI43" s="37" t="n">
        <f aca="false">(AM43-AM$30)/(AM$50-AM$30)*(AI$50-AI$30)+AI$30</f>
        <v>-0.143567003255375</v>
      </c>
      <c r="AJ43" s="39" t="n">
        <f aca="false">(AM43-AM$37)/(AM$50-AM$37)*(AJ$50-AJ$37)+AJ$37</f>
        <v>197.77962607456</v>
      </c>
      <c r="AK43" s="39" t="n">
        <f aca="false">8314.4621*AJ43/(Sheet1!M$21*Sheet1!M$12*9.80665)</f>
        <v>5816.22303307169</v>
      </c>
      <c r="AL43" s="39" t="n">
        <f aca="false">AL42-LN(AG43/AG42)*(AK42+AK43)/2</f>
        <v>50909.5150985036</v>
      </c>
      <c r="AM43" s="39" t="n">
        <f aca="false">Sheet1!M$10*10/Sheet1!M$11*1000*AL43/(Sheet1!M$10*10/Sheet1!M$11*1000-AL43)</f>
        <v>51321.6221804078</v>
      </c>
      <c r="AN43" s="41"/>
      <c r="AO43" s="37" t="n">
        <f aca="false">AO42+(AO$51-AO$41)/10</f>
        <v>0.426293274874075</v>
      </c>
      <c r="AP43" s="40" t="n">
        <f aca="false">10^AO43</f>
        <v>2.66866017665439</v>
      </c>
      <c r="AQ43" s="39" t="n">
        <f aca="false">AS43-AR43*((Sheet1!R$19-Sheet1!R$20)*COS(RADIANS(38))+Sheet1!R$20)/2</f>
        <v>179.860355025415</v>
      </c>
      <c r="AR43" s="37" t="n">
        <f aca="false">(AV43-AV$31)/(AV$51-AV$31)*(AR$51-AR$31)+AR$31</f>
        <v>-0.0183035513392804</v>
      </c>
      <c r="AS43" s="39" t="n">
        <f aca="false">(AV43-AV$41)/(AV$51-AV$41)*(AS$51-AS$41)+AS$41</f>
        <v>179.144496735587</v>
      </c>
      <c r="AT43" s="39" t="n">
        <f aca="false">8314.4621*AS43/(Sheet1!R$22*Sheet1!R$12*9.80665)</f>
        <v>3169.11285738395</v>
      </c>
      <c r="AU43" s="39" t="n">
        <f aca="false">AU42-LN(AP43/AP42)*(AT42+AT43)/2</f>
        <v>34834.4882123273</v>
      </c>
      <c r="AV43" s="39" t="n">
        <f aca="false">Sheet1!R$10*10/Sheet1!R$11*1000*AU43/(Sheet1!R$10*10/Sheet1!R$11*1000-AU43)</f>
        <v>35012.2775372776</v>
      </c>
    </row>
    <row r="44" customFormat="false" ht="14.4" hidden="false" customHeight="false" outlineLevel="0" collapsed="false">
      <c r="A44" s="31" t="s">
        <v>108</v>
      </c>
      <c r="B44" s="42" t="n">
        <v>0.99</v>
      </c>
      <c r="C44" s="38" t="n">
        <v>-0.04</v>
      </c>
      <c r="D44" s="38" t="n">
        <v>3.75434833571102</v>
      </c>
      <c r="E44" s="36" t="n">
        <f aca="false">IF(LOG(Sheet1!C$13*(11-Sheet1!C$11)^2/3.828E+026)&gt;C44,IF(LOG(Sheet1!C$13*(11-Sheet1!C$11)^2/3.828E+026)&lt;C43,(LOG(Sheet1!C$13*(11-Sheet1!C$11)^2/3.828E+026)-C44)/(C43-C44)*(B43-B44)+B44,0),0)</f>
        <v>0</v>
      </c>
      <c r="F44" s="37" t="n">
        <f aca="false">IF(LOG(Sheet1!C$13*(11-Sheet1!C$11)^2/3.828E+026)&gt;C44,IF(LOG(Sheet1!C$13*(11-Sheet1!C$11)^2/3.828E+026)&lt;C43,(LOG(Sheet1!C$13*(11-Sheet1!C$11)^2/3.828E+026)-C44)/(C43-C44)*(D43-D44)+D44,0),0)</f>
        <v>0</v>
      </c>
      <c r="G44" s="32" t="n">
        <f aca="false">IF(F44&gt;0,IF(F44&gt;(D43+D44)/2,A43,A44),0)</f>
        <v>0</v>
      </c>
      <c r="H44" s="32"/>
      <c r="I44" s="32"/>
      <c r="J44" s="37" t="n">
        <f aca="false">J43-0.1</f>
        <v>0.399999999999999</v>
      </c>
      <c r="K44" s="40" t="n">
        <f aca="false">10^J44</f>
        <v>2.51188643150958</v>
      </c>
      <c r="L44" s="39" t="n">
        <f aca="false">(O44-O$43)/(O$53-O$43)*(L$53-L$43)+L$43</f>
        <v>5977.26103023055</v>
      </c>
      <c r="M44" s="39" t="n">
        <f aca="false">8314.4621*L44/(Sheet1!C$16*Sheet1!C$12*9.80665)</f>
        <v>140528.980473637</v>
      </c>
      <c r="N44" s="39" t="n">
        <f aca="false">N43-LN(K44/K43)*(M43+M44)/2</f>
        <v>960340.901275088</v>
      </c>
      <c r="O44" s="39" t="n">
        <f aca="false">Sheet1!C$10*10/Sheet1!C$11*1000*N44/(Sheet1!C$10*10/Sheet1!C$11*1000-N44)</f>
        <v>961655.141726948</v>
      </c>
      <c r="Q44" s="37" t="n">
        <f aca="false">Q43-0.1</f>
        <v>4.50000000000001</v>
      </c>
      <c r="R44" s="40" t="n">
        <f aca="false">10^Q44</f>
        <v>31622.7766016848</v>
      </c>
      <c r="S44" s="39" t="n">
        <f aca="false">U44-T44*((Sheet1!H$18-Sheet1!H$19)*COS(RADIANS(38))+Sheet1!H$19)/2</f>
        <v>141.178108941992</v>
      </c>
      <c r="T44" s="37" t="n">
        <v>0</v>
      </c>
      <c r="U44" s="39" t="n">
        <f aca="false">Sheet1!H16*1.03</f>
        <v>141.178108941992</v>
      </c>
      <c r="V44" s="39" t="n">
        <f aca="false">8314.4621*U44/(Sheet1!H$20*Sheet1!H$12*9.80665)</f>
        <v>28020.2748931327</v>
      </c>
      <c r="W44" s="39" t="n">
        <f aca="false">W43-LN(R44/R43)*(V43+V44)/2</f>
        <v>947132.305212269</v>
      </c>
      <c r="X44" s="39" t="n">
        <f aca="false">Sheet1!H$10*10/Sheet1!H$11*1000*W44/(Sheet1!H$10*10/Sheet1!H$11*1000-W44)</f>
        <v>962518.426396503</v>
      </c>
      <c r="Y44" s="37" t="n">
        <f aca="false">IF(Q44&lt;LOG(Sheet1!H$17*101325),Q44,IF(Q54&lt;LOG(Sheet1!H$17*101325),LOG(Sheet1!H$17*101325),0))</f>
        <v>4.50000000000001</v>
      </c>
      <c r="Z44" s="39" t="n">
        <f aca="false">IF(Y44=LOG(Sheet1!H$17*101325),(LOG(Sheet1!H$17*101325)-Q54)/(Q44-Q54)*(S44-S54)+S54,IF(Y44=0,0,S44))</f>
        <v>141.178108941992</v>
      </c>
      <c r="AA44" s="39" t="n">
        <f aca="false">IF(Y44=LOG(Sheet1!H$17*101325),(LOG(Sheet1!H$17*101325)-Q54)/(Q44-Q54)*(X44-X54)+X54,IF(Y44=0,0,X44))</f>
        <v>962518.426396503</v>
      </c>
      <c r="AB44" s="32" t="n">
        <f aca="false">IF(Y44=0,0,AB34+1)</f>
        <v>4</v>
      </c>
      <c r="AF44" s="37" t="n">
        <f aca="false">AF43-0.1</f>
        <v>1.1</v>
      </c>
      <c r="AG44" s="40" t="n">
        <f aca="false">10^AF44</f>
        <v>12.5892541179416</v>
      </c>
      <c r="AH44" s="39" t="n">
        <f aca="false">AJ44-AI44*((Sheet1!M$19-Sheet1!M$20)*COS(RADIANS(38))+Sheet1!M$20)/2</f>
        <v>195.388462238253</v>
      </c>
      <c r="AI44" s="37" t="n">
        <f aca="false">(AM44-AM$30)/(AM$50-AM$30)*(AI$50-AI$30)+AI$30</f>
        <v>-0.182173486927898</v>
      </c>
      <c r="AJ44" s="39" t="n">
        <f aca="false">(AM44-AM$37)/(AM$50-AM$37)*(AJ$50-AJ$37)+AJ$37</f>
        <v>194.234564597431</v>
      </c>
      <c r="AK44" s="39" t="n">
        <f aca="false">8314.4621*AJ44/(Sheet1!M$21*Sheet1!M$12*9.80665)</f>
        <v>5711.9713028699</v>
      </c>
      <c r="AL44" s="39" t="n">
        <f aca="false">AL43-LN(AG44/AG43)*(AK43+AK44)/2</f>
        <v>52236.7475198574</v>
      </c>
      <c r="AM44" s="39" t="n">
        <f aca="false">Sheet1!M$10*10/Sheet1!M$11*1000*AL44/(Sheet1!M$10*10/Sheet1!M$11*1000-AL44)</f>
        <v>52670.7138894368</v>
      </c>
      <c r="AN44" s="41"/>
      <c r="AO44" s="37" t="n">
        <f aca="false">AO43+(AO$51-AO$41)/10</f>
        <v>0.319276981825516</v>
      </c>
      <c r="AP44" s="40" t="n">
        <f aca="false">10^AO44</f>
        <v>2.08582074167917</v>
      </c>
      <c r="AQ44" s="39" t="n">
        <f aca="false">AS44-AR44*((Sheet1!R$19-Sheet1!R$20)*COS(RADIANS(38))+Sheet1!R$20)/2</f>
        <v>177.605087984931</v>
      </c>
      <c r="AR44" s="37" t="n">
        <f aca="false">(AV44-AV$31)/(AV$51-AV$31)*(AR$51-AR$31)+AR$31</f>
        <v>-0.0159189608981226</v>
      </c>
      <c r="AS44" s="39" t="n">
        <f aca="false">(AV44-AV$41)/(AV$51-AV$41)*(AS$51-AS$41)+AS$41</f>
        <v>176.982491860652</v>
      </c>
      <c r="AT44" s="39" t="n">
        <f aca="false">8314.4621*AS44/(Sheet1!R$22*Sheet1!R$12*9.80665)</f>
        <v>3130.86642742526</v>
      </c>
      <c r="AU44" s="39" t="n">
        <f aca="false">AU43-LN(AP44/AP43)*(AT43+AT44)/2</f>
        <v>35610.690141475</v>
      </c>
      <c r="AV44" s="39" t="n">
        <f aca="false">Sheet1!R$10*10/Sheet1!R$11*1000*AU44/(Sheet1!R$10*10/Sheet1!R$11*1000-AU44)</f>
        <v>35796.5120802264</v>
      </c>
    </row>
    <row r="45" customFormat="false" ht="14.4" hidden="false" customHeight="false" outlineLevel="0" collapsed="false">
      <c r="A45" s="31" t="s">
        <v>109</v>
      </c>
      <c r="B45" s="42" t="n">
        <v>0.98</v>
      </c>
      <c r="C45" s="38" t="n">
        <v>-0.05</v>
      </c>
      <c r="D45" s="38" t="n">
        <v>3.75281643118827</v>
      </c>
      <c r="E45" s="36" t="n">
        <f aca="false">IF(LOG(Sheet1!C$13*(11-Sheet1!C$11)^2/3.828E+026)&gt;C45,IF(LOG(Sheet1!C$13*(11-Sheet1!C$11)^2/3.828E+026)&lt;C44,(LOG(Sheet1!C$13*(11-Sheet1!C$11)^2/3.828E+026)-C45)/(C44-C45)*(B44-B45)+B45,0),0)</f>
        <v>0</v>
      </c>
      <c r="F45" s="37" t="n">
        <f aca="false">IF(LOG(Sheet1!C$13*(11-Sheet1!C$11)^2/3.828E+026)&gt;C45,IF(LOG(Sheet1!C$13*(11-Sheet1!C$11)^2/3.828E+026)&lt;C44,(LOG(Sheet1!C$13*(11-Sheet1!C$11)^2/3.828E+026)-C45)/(C44-C45)*(D44-D45)+D45,0),0)</f>
        <v>0</v>
      </c>
      <c r="G45" s="32" t="n">
        <f aca="false">IF(F45&gt;0,IF(F45&gt;(D44+D45)/2,A44,A45),0)</f>
        <v>0</v>
      </c>
      <c r="H45" s="32"/>
      <c r="I45" s="32"/>
      <c r="J45" s="37" t="n">
        <f aca="false">J44-0.1</f>
        <v>0.299999999999999</v>
      </c>
      <c r="K45" s="40" t="n">
        <f aca="false">10^J45</f>
        <v>1.99526231496888</v>
      </c>
      <c r="L45" s="39" t="n">
        <f aca="false">(O45-O$43)/(O$53-O$43)*(L$53-L$43)+L$43</f>
        <v>6032.88438857663</v>
      </c>
      <c r="M45" s="39" t="n">
        <f aca="false">8314.4621*L45/(Sheet1!C$16*Sheet1!C$12*9.80665)</f>
        <v>141836.71888415</v>
      </c>
      <c r="N45" s="39" t="n">
        <f aca="false">N44-LN(K45/K44)*(M44+M45)/2</f>
        <v>992849.453780791</v>
      </c>
      <c r="O45" s="39" t="n">
        <f aca="false">Sheet1!C$10*10/Sheet1!C$11*1000*N45/(Sheet1!C$10*10/Sheet1!C$11*1000-N45)</f>
        <v>994254.242141728</v>
      </c>
      <c r="Q45" s="37" t="n">
        <f aca="false">Q44-0.1</f>
        <v>4.40000000000001</v>
      </c>
      <c r="R45" s="40" t="n">
        <f aca="false">10^Q45</f>
        <v>25118.8643150966</v>
      </c>
      <c r="S45" s="39" t="n">
        <f aca="false">U45-T45*((Sheet1!H$18-Sheet1!H$19)*COS(RADIANS(38))+Sheet1!H$19)/2</f>
        <v>140.92076337906</v>
      </c>
      <c r="T45" s="37" t="n">
        <f aca="false">(X45-X$44)/(X$54-X$44)*(T$54-T$44)+T$44</f>
        <v>0.0999003937704592</v>
      </c>
      <c r="U45" s="39" t="n">
        <f aca="false">(X45-X$44)/(X$54-X$44)*(U$54-U$44)+U$44</f>
        <v>141.178108941992</v>
      </c>
      <c r="V45" s="39" t="n">
        <f aca="false">8314.4621*U45/(Sheet1!H$20*Sheet1!H$12*9.80665)</f>
        <v>28020.2748931327</v>
      </c>
      <c r="W45" s="39" t="n">
        <f aca="false">W44-LN(R45/R44)*(V44+V45)/2</f>
        <v>953584.211939321</v>
      </c>
      <c r="X45" s="39" t="n">
        <f aca="false">Sheet1!H$10*10/Sheet1!H$11*1000*W45/(Sheet1!H$10*10/Sheet1!H$11*1000-W45)</f>
        <v>969182.395078245</v>
      </c>
      <c r="Y45" s="37"/>
      <c r="Z45" s="39"/>
      <c r="AF45" s="37" t="n">
        <f aca="false">AF44-0.1</f>
        <v>0.999999999999998</v>
      </c>
      <c r="AG45" s="40" t="n">
        <f aca="false">10^AF45</f>
        <v>9.99999999999995</v>
      </c>
      <c r="AH45" s="39" t="n">
        <f aca="false">AJ45-AI45*((Sheet1!M$19-Sheet1!M$20)*COS(RADIANS(38))+Sheet1!M$20)/2</f>
        <v>192.145751822288</v>
      </c>
      <c r="AI45" s="37" t="n">
        <f aca="false">(AM45-AM$30)/(AM$50-AM$30)*(AI$50-AI$30)+AI$30</f>
        <v>-0.220103700050515</v>
      </c>
      <c r="AJ45" s="39" t="n">
        <f aca="false">(AM45-AM$37)/(AM$50-AM$37)*(AJ$50-AJ$37)+AJ$37</f>
        <v>190.751601968171</v>
      </c>
      <c r="AK45" s="39" t="n">
        <f aca="false">8314.4621*AJ45/(Sheet1!M$21*Sheet1!M$12*9.80665)</f>
        <v>5609.54575040176</v>
      </c>
      <c r="AL45" s="39" t="n">
        <f aca="false">AL44-LN(AG45/AG44)*(AK44+AK45)/2</f>
        <v>53540.1853397045</v>
      </c>
      <c r="AM45" s="39" t="n">
        <f aca="false">Sheet1!M$10*10/Sheet1!M$11*1000*AL45/(Sheet1!M$10*10/Sheet1!M$11*1000-AL45)</f>
        <v>53996.1735319021</v>
      </c>
      <c r="AN45" s="41"/>
      <c r="AO45" s="37" t="n">
        <f aca="false">AO44+(AO$51-AO$41)/10</f>
        <v>0.212260688776956</v>
      </c>
      <c r="AP45" s="40" t="n">
        <f aca="false">10^AO45</f>
        <v>1.63027432435152</v>
      </c>
      <c r="AQ45" s="39" t="n">
        <f aca="false">AS45-AR45*((Sheet1!R$19-Sheet1!R$20)*COS(RADIANS(38))+Sheet1!R$20)/2</f>
        <v>175.376537869568</v>
      </c>
      <c r="AR45" s="37" t="n">
        <f aca="false">(AV45-AV$31)/(AV$51-AV$31)*(AR$51-AR$31)+AR$31</f>
        <v>-0.0135626193723133</v>
      </c>
      <c r="AS45" s="39" t="n">
        <f aca="false">(AV45-AV$41)/(AV$51-AV$41)*(AS$51-AS$41)+AS$41</f>
        <v>174.846099085887</v>
      </c>
      <c r="AT45" s="39" t="n">
        <f aca="false">8314.4621*AS45/(Sheet1!R$22*Sheet1!R$12*9.80665)</f>
        <v>3093.07308219667</v>
      </c>
      <c r="AU45" s="39" t="n">
        <f aca="false">AU44-LN(AP45/AP44)*(AT44+AT45)/2</f>
        <v>36377.5234334377</v>
      </c>
      <c r="AV45" s="39" t="n">
        <f aca="false">Sheet1!R$10*10/Sheet1!R$11*1000*AU45/(Sheet1!R$10*10/Sheet1!R$11*1000-AU45)</f>
        <v>36571.4562331632</v>
      </c>
    </row>
    <row r="46" customFormat="false" ht="14.4" hidden="false" customHeight="false" outlineLevel="0" collapsed="false">
      <c r="A46" s="31" t="s">
        <v>110</v>
      </c>
      <c r="B46" s="42" t="n">
        <v>0.97</v>
      </c>
      <c r="C46" s="38" t="n">
        <v>-0.11</v>
      </c>
      <c r="D46" s="38" t="n">
        <v>3.74741180788642</v>
      </c>
      <c r="E46" s="36" t="n">
        <f aca="false">IF(LOG(Sheet1!C$13*(11-Sheet1!C$11)^2/3.828E+026)&gt;C46,IF(LOG(Sheet1!C$13*(11-Sheet1!C$11)^2/3.828E+026)&lt;C45,(LOG(Sheet1!C$13*(11-Sheet1!C$11)^2/3.828E+026)-C46)/(C45-C46)*(B45-B46)+B46,0),0)</f>
        <v>0</v>
      </c>
      <c r="F46" s="37" t="n">
        <f aca="false">IF(LOG(Sheet1!C$13*(11-Sheet1!C$11)^2/3.828E+026)&gt;C46,IF(LOG(Sheet1!C$13*(11-Sheet1!C$11)^2/3.828E+026)&lt;C45,(LOG(Sheet1!C$13*(11-Sheet1!C$11)^2/3.828E+026)-C46)/(C45-C46)*(D45-D46)+D46,0),0)</f>
        <v>0</v>
      </c>
      <c r="G46" s="32" t="n">
        <f aca="false">IF(F46&gt;0,IF(F46&gt;(D45+D46)/2,A45,A46),0)</f>
        <v>0</v>
      </c>
      <c r="H46" s="32"/>
      <c r="I46" s="32"/>
      <c r="J46" s="37" t="n">
        <f aca="false">J45-0.1</f>
        <v>0.199999999999999</v>
      </c>
      <c r="K46" s="40" t="n">
        <f aca="false">10^J46</f>
        <v>1.58489319246111</v>
      </c>
      <c r="L46" s="39" t="n">
        <f aca="false">(O46-O$43)/(O$53-O$43)*(L$53-L$43)+L$43</f>
        <v>6089.03061882958</v>
      </c>
      <c r="M46" s="39" t="n">
        <f aca="false">8314.4621*L46/(Sheet1!C$16*Sheet1!C$12*9.80665)</f>
        <v>143156.750325805</v>
      </c>
      <c r="N46" s="39" t="n">
        <f aca="false">N45-LN(K46/K45)*(M45+M46)/2</f>
        <v>1025660.53947097</v>
      </c>
      <c r="O46" s="39" t="n">
        <f aca="false">Sheet1!C$10*10/Sheet1!C$11*1000*N46/(Sheet1!C$10*10/Sheet1!C$11*1000-N46)</f>
        <v>1027159.78133157</v>
      </c>
      <c r="Q46" s="37" t="n">
        <f aca="false">Q45-0.1</f>
        <v>4.30000000000002</v>
      </c>
      <c r="R46" s="40" t="n">
        <f aca="false">10^Q46</f>
        <v>19952.6231496895</v>
      </c>
      <c r="S46" s="39" t="n">
        <f aca="false">U46-T46*((Sheet1!H$18-Sheet1!H$19)*COS(RADIANS(38))+Sheet1!H$19)/2</f>
        <v>140.66336084711</v>
      </c>
      <c r="T46" s="37" t="n">
        <f aca="false">(X46-X$44)/(X$54-X$44)*(T$54-T$44)+T$44</f>
        <v>0.199822902658594</v>
      </c>
      <c r="U46" s="39" t="n">
        <f aca="false">(X46-X$44)/(X$54-X$44)*(U$54-U$44)+U$44</f>
        <v>141.178108941992</v>
      </c>
      <c r="V46" s="39" t="n">
        <f aca="false">8314.4621*U46/(Sheet1!H$20*Sheet1!H$12*9.80665)</f>
        <v>28020.2748931327</v>
      </c>
      <c r="W46" s="39" t="n">
        <f aca="false">W45-LN(R46/R45)*(V45+V46)/2</f>
        <v>960036.118666373</v>
      </c>
      <c r="X46" s="39" t="n">
        <f aca="false">Sheet1!H$10*10/Sheet1!H$11*1000*W46/(Sheet1!H$10*10/Sheet1!H$11*1000-W46)</f>
        <v>975847.838973908</v>
      </c>
      <c r="Y46" s="37"/>
      <c r="Z46" s="39"/>
      <c r="AF46" s="37" t="n">
        <f aca="false">AF45-0.1</f>
        <v>0.899999999999998</v>
      </c>
      <c r="AG46" s="40" t="n">
        <f aca="false">10^AF46</f>
        <v>7.94328234724278</v>
      </c>
      <c r="AH46" s="39" t="n">
        <f aca="false">AJ46-AI46*((Sheet1!M$19-Sheet1!M$20)*COS(RADIANS(38))+Sheet1!M$20)/2</f>
        <v>188.959891492741</v>
      </c>
      <c r="AI46" s="37" t="n">
        <f aca="false">(AM46-AM$30)/(AM$50-AM$30)*(AI$50-AI$30)+AI$30</f>
        <v>-0.257368932808266</v>
      </c>
      <c r="AJ46" s="39" t="n">
        <f aca="false">(AM46-AM$37)/(AM$50-AM$37)*(AJ$50-AJ$37)+AJ$37</f>
        <v>187.32970145029</v>
      </c>
      <c r="AK46" s="39" t="n">
        <f aca="false">8314.4621*AJ46/(Sheet1!M$21*Sheet1!M$12*9.80665)</f>
        <v>5508.915887741</v>
      </c>
      <c r="AL46" s="39" t="n">
        <f aca="false">AL45-LN(AG46/AG45)*(AK45+AK46)/2</f>
        <v>54820.2455409552</v>
      </c>
      <c r="AM46" s="39" t="n">
        <f aca="false">Sheet1!M$10*10/Sheet1!M$11*1000*AL46/(Sheet1!M$10*10/Sheet1!M$11*1000-AL46)</f>
        <v>55298.3956398507</v>
      </c>
      <c r="AN46" s="41"/>
      <c r="AO46" s="37" t="n">
        <f aca="false">AO45+(AO$51-AO$41)/10</f>
        <v>0.105244395728396</v>
      </c>
      <c r="AP46" s="40" t="n">
        <f aca="false">10^AO46</f>
        <v>1.27421993632117</v>
      </c>
      <c r="AQ46" s="39" t="n">
        <f aca="false">AS46-AR46*((Sheet1!R$19-Sheet1!R$20)*COS(RADIANS(38))+Sheet1!R$20)/2</f>
        <v>173.174400148213</v>
      </c>
      <c r="AR46" s="37" t="n">
        <f aca="false">(AV46-AV$31)/(AV$51-AV$31)*(AR$51-AR$31)+AR$31</f>
        <v>-0.0112342047648152</v>
      </c>
      <c r="AS46" s="39" t="n">
        <f aca="false">(AV46-AV$41)/(AV$51-AV$41)*(AS$51-AS$41)+AS$41</f>
        <v>172.735026473594</v>
      </c>
      <c r="AT46" s="39" t="n">
        <f aca="false">8314.4621*AS46/(Sheet1!R$22*Sheet1!R$12*9.80665)</f>
        <v>3055.72765724418</v>
      </c>
      <c r="AU46" s="39" t="n">
        <f aca="false">AU45-LN(AP46/AP45)*(AT45+AT46)/2</f>
        <v>37135.0990983937</v>
      </c>
      <c r="AV46" s="39" t="n">
        <f aca="false">Sheet1!R$10*10/Sheet1!R$11*1000*AU46/(Sheet1!R$10*10/Sheet1!R$11*1000-AU46)</f>
        <v>37337.2158931826</v>
      </c>
    </row>
    <row r="47" customFormat="false" ht="14.4" hidden="false" customHeight="false" outlineLevel="0" collapsed="false">
      <c r="A47" s="31" t="s">
        <v>111</v>
      </c>
      <c r="B47" s="42" t="n">
        <v>0.96</v>
      </c>
      <c r="C47" s="38" t="n">
        <v>-0.12</v>
      </c>
      <c r="D47" s="38" t="n">
        <v>3.7427251313047</v>
      </c>
      <c r="E47" s="36" t="n">
        <f aca="false">IF(LOG(Sheet1!C$13*(11-Sheet1!C$11)^2/3.828E+026)&gt;C47,IF(LOG(Sheet1!C$13*(11-Sheet1!C$11)^2/3.828E+026)&lt;C46,(LOG(Sheet1!C$13*(11-Sheet1!C$11)^2/3.828E+026)-C47)/(C46-C47)*(B46-B47)+B47,0),0)</f>
        <v>0</v>
      </c>
      <c r="F47" s="37" t="n">
        <f aca="false">IF(LOG(Sheet1!C$13*(11-Sheet1!C$11)^2/3.828E+026)&gt;C47,IF(LOG(Sheet1!C$13*(11-Sheet1!C$11)^2/3.828E+026)&lt;C46,(LOG(Sheet1!C$13*(11-Sheet1!C$11)^2/3.828E+026)-C47)/(C46-C47)*(D46-D47)+D47,0),0)</f>
        <v>0</v>
      </c>
      <c r="G47" s="32" t="n">
        <f aca="false">IF(F47&gt;0,IF(F47&gt;(D46+D47)/2,A46,A47),0)</f>
        <v>0</v>
      </c>
      <c r="H47" s="32" t="n">
        <f aca="false">IF(G47&lt;&gt;0,G47,IF(G48&lt;&gt;0,G48,IF(G49&lt;&gt;0,G49,IF(G50&lt;&gt;0,G50,IF(G51&lt;&gt;0,G51,IF(G52&lt;&gt;0,G52,IF(G53&lt;&gt;0,G53,0)))))))</f>
        <v>0</v>
      </c>
      <c r="I47" s="32"/>
      <c r="J47" s="37" t="n">
        <f aca="false">J46-0.1</f>
        <v>0.0999999999999994</v>
      </c>
      <c r="K47" s="40" t="n">
        <f aca="false">10^J47</f>
        <v>1.25892541179417</v>
      </c>
      <c r="L47" s="39" t="n">
        <f aca="false">(O47-O$43)/(O$53-O$43)*(L$53-L$43)+L$43</f>
        <v>6145.70473455059</v>
      </c>
      <c r="M47" s="39" t="n">
        <f aca="false">8314.4621*L47/(Sheet1!C$16*Sheet1!C$12*9.80665)</f>
        <v>144489.192670424</v>
      </c>
      <c r="N47" s="39" t="n">
        <f aca="false">N46-LN(K47/K46)*(M46+M47)/2</f>
        <v>1058777.00249113</v>
      </c>
      <c r="O47" s="39" t="n">
        <f aca="false">Sheet1!C$10*10/Sheet1!C$11*1000*N47/(Sheet1!C$10*10/Sheet1!C$11*1000-N47)</f>
        <v>1060374.69758695</v>
      </c>
      <c r="Q47" s="37" t="n">
        <f aca="false">Q46-0.1</f>
        <v>4.20000000000002</v>
      </c>
      <c r="R47" s="40" t="n">
        <f aca="false">10^Q47</f>
        <v>15848.9319246117</v>
      </c>
      <c r="S47" s="39" t="n">
        <f aca="false">U47-T47*((Sheet1!H$18-Sheet1!H$19)*COS(RADIANS(38))+Sheet1!H$19)/2</f>
        <v>140.405901327221</v>
      </c>
      <c r="T47" s="37" t="n">
        <f aca="false">(X47-X$44)/(X$54-X$44)*(T$54-T$44)+T$44</f>
        <v>0.299767534008713</v>
      </c>
      <c r="U47" s="39" t="n">
        <f aca="false">(X47-X$44)/(X$54-X$44)*(U$54-U$44)+U$44</f>
        <v>141.178108941992</v>
      </c>
      <c r="V47" s="39" t="n">
        <f aca="false">8314.4621*U47/(Sheet1!H$20*Sheet1!H$12*9.80665)</f>
        <v>28020.2748931327</v>
      </c>
      <c r="W47" s="39" t="n">
        <f aca="false">W46-LN(R47/R46)*(V46+V47)/2</f>
        <v>966488.025393426</v>
      </c>
      <c r="X47" s="39" t="n">
        <f aca="false">Sheet1!H$10*10/Sheet1!H$11*1000*W47/(Sheet1!H$10*10/Sheet1!H$11*1000-W47)</f>
        <v>982514.758573402</v>
      </c>
      <c r="Y47" s="37"/>
      <c r="Z47" s="39"/>
      <c r="AF47" s="37" t="n">
        <f aca="false">AF46-0.1</f>
        <v>0.799999999999998</v>
      </c>
      <c r="AG47" s="40" t="n">
        <f aca="false">10^AF47</f>
        <v>6.3095734448019</v>
      </c>
      <c r="AH47" s="39" t="n">
        <f aca="false">AJ47-AI47*((Sheet1!M$19-Sheet1!M$20)*COS(RADIANS(38))+Sheet1!M$20)/2</f>
        <v>185.829930461792</v>
      </c>
      <c r="AI47" s="37" t="n">
        <f aca="false">(AM47-AM$30)/(AM$50-AM$30)*(AI$50-AI$30)+AI$30</f>
        <v>-0.293980306529737</v>
      </c>
      <c r="AJ47" s="39" t="n">
        <f aca="false">(AM47-AM$37)/(AM$50-AM$37)*(AJ$50-AJ$37)+AJ$37</f>
        <v>183.967841812816</v>
      </c>
      <c r="AK47" s="39" t="n">
        <f aca="false">8314.4621*AJ47/(Sheet1!M$21*Sheet1!M$12*9.80665)</f>
        <v>5410.05168294137</v>
      </c>
      <c r="AL47" s="39" t="n">
        <f aca="false">AL46-LN(AG47/AG46)*(AK46+AK47)/2</f>
        <v>56077.3381389121</v>
      </c>
      <c r="AM47" s="39" t="n">
        <f aca="false">Sheet1!M$10*10/Sheet1!M$11*1000*AL47/(Sheet1!M$10*10/Sheet1!M$11*1000-AL47)</f>
        <v>56577.7688446927</v>
      </c>
      <c r="AN47" s="41"/>
      <c r="AO47" s="37" t="n">
        <f aca="false">AO46+(AO$51-AO$41)/10</f>
        <v>-0.00177189732016389</v>
      </c>
      <c r="AP47" s="40" t="n">
        <f aca="false">10^AO47</f>
        <v>0.995928367309694</v>
      </c>
      <c r="AQ47" s="39" t="n">
        <f aca="false">AS47-AR47*((Sheet1!R$19-Sheet1!R$20)*COS(RADIANS(38))+Sheet1!R$20)/2</f>
        <v>170.998373475321</v>
      </c>
      <c r="AR47" s="37" t="n">
        <f aca="false">(AV47-AV$31)/(AV$51-AV$31)*(AR$51-AR$31)+AR$31</f>
        <v>-0.00893339844699324</v>
      </c>
      <c r="AS47" s="39" t="n">
        <f aca="false">(AV47-AV$41)/(AV$51-AV$41)*(AS$51-AS$41)+AS$41</f>
        <v>170.648985139906</v>
      </c>
      <c r="AT47" s="39" t="n">
        <f aca="false">8314.4621*AS47/(Sheet1!R$22*Sheet1!R$12*9.80665)</f>
        <v>3018.82504213687</v>
      </c>
      <c r="AU47" s="39" t="n">
        <f aca="false">AU46-LN(AP47/AP46)*(AT46+AT47)/2</f>
        <v>37883.5268805831</v>
      </c>
      <c r="AV47" s="39" t="n">
        <f aca="false">Sheet1!R$10*10/Sheet1!R$11*1000*AU47/(Sheet1!R$10*10/Sheet1!R$11*1000-AU47)</f>
        <v>38093.8958495925</v>
      </c>
    </row>
    <row r="48" customFormat="false" ht="14.4" hidden="false" customHeight="false" outlineLevel="0" collapsed="false">
      <c r="A48" s="31" t="s">
        <v>112</v>
      </c>
      <c r="B48" s="42" t="n">
        <v>0.94</v>
      </c>
      <c r="C48" s="38" t="n">
        <v>-0.17</v>
      </c>
      <c r="D48" s="38" t="n">
        <v>3.73957234445009</v>
      </c>
      <c r="E48" s="36" t="n">
        <f aca="false">IF(LOG(Sheet1!C$13*(11-Sheet1!C$11)^2/3.828E+026)&gt;C48,IF(LOG(Sheet1!C$13*(11-Sheet1!C$11)^2/3.828E+026)&lt;C47,(LOG(Sheet1!C$13*(11-Sheet1!C$11)^2/3.828E+026)-C48)/(C47-C48)*(B47-B48)+B48,0),0)</f>
        <v>0</v>
      </c>
      <c r="F48" s="37" t="n">
        <f aca="false">IF(LOG(Sheet1!C$13*(11-Sheet1!C$11)^2/3.828E+026)&gt;C48,IF(LOG(Sheet1!C$13*(11-Sheet1!C$11)^2/3.828E+026)&lt;C47,(LOG(Sheet1!C$13*(11-Sheet1!C$11)^2/3.828E+026)-C48)/(C47-C48)*(D47-D48)+D48,0),0)</f>
        <v>0</v>
      </c>
      <c r="G48" s="32" t="n">
        <f aca="false">IF(F48&gt;0,IF(F48&gt;(D47+D48)/2,A47,A48),0)</f>
        <v>0</v>
      </c>
      <c r="H48" s="32"/>
      <c r="I48" s="32"/>
      <c r="J48" s="37" t="n">
        <f aca="false">J47-0.1</f>
        <v>-6.38378239159465E-016</v>
      </c>
      <c r="K48" s="40" t="n">
        <f aca="false">10^J48</f>
        <v>0.999999999999999</v>
      </c>
      <c r="L48" s="39" t="n">
        <f aca="false">(O48-O$43)/(O$53-O$43)*(L$53-L$43)+L$43</f>
        <v>6202.91179922221</v>
      </c>
      <c r="M48" s="39" t="n">
        <f aca="false">8314.4621*L48/(Sheet1!C$16*Sheet1!C$12*9.80665)</f>
        <v>145834.164963508</v>
      </c>
      <c r="N48" s="39" t="n">
        <f aca="false">N47-LN(K48/K47)*(M47+M48)/2</f>
        <v>1092201.71426293</v>
      </c>
      <c r="O48" s="39" t="n">
        <f aca="false">Sheet1!C$10*10/Sheet1!C$11*1000*N48/(Sheet1!C$10*10/Sheet1!C$11*1000-N48)</f>
        <v>1093901.9584557</v>
      </c>
      <c r="Q48" s="37" t="n">
        <f aca="false">Q47-0.1</f>
        <v>4.10000000000002</v>
      </c>
      <c r="R48" s="40" t="n">
        <f aca="false">10^Q48</f>
        <v>12589.2541179421</v>
      </c>
      <c r="S48" s="39" t="n">
        <f aca="false">U48-T48*((Sheet1!H$18-Sheet1!H$19)*COS(RADIANS(38))+Sheet1!H$19)/2</f>
        <v>140.148384800468</v>
      </c>
      <c r="T48" s="37" t="n">
        <f aca="false">(X48-X$44)/(X$54-X$44)*(T$54-T$44)+T$44</f>
        <v>0.399734295168368</v>
      </c>
      <c r="U48" s="39" t="n">
        <f aca="false">(X48-X$44)/(X$54-X$44)*(U$54-U$44)+U$44</f>
        <v>141.178108941992</v>
      </c>
      <c r="V48" s="39" t="n">
        <f aca="false">8314.4621*U48/(Sheet1!H$20*Sheet1!H$12*9.80665)</f>
        <v>28020.2748931327</v>
      </c>
      <c r="W48" s="39" t="n">
        <f aca="false">W47-LN(R48/R47)*(V47+V48)/2</f>
        <v>972939.932120478</v>
      </c>
      <c r="X48" s="39" t="n">
        <f aca="false">Sheet1!H$10*10/Sheet1!H$11*1000*W48/(Sheet1!H$10*10/Sheet1!H$11*1000-W48)</f>
        <v>989183.154366853</v>
      </c>
      <c r="Y48" s="37"/>
      <c r="Z48" s="39"/>
      <c r="AF48" s="37" t="n">
        <f aca="false">AF47-0.1</f>
        <v>0.699999999999998</v>
      </c>
      <c r="AG48" s="40" t="n">
        <f aca="false">10^AF48</f>
        <v>5.0118723362727</v>
      </c>
      <c r="AH48" s="39" t="n">
        <f aca="false">AJ48-AI48*((Sheet1!M$19-Sheet1!M$20)*COS(RADIANS(38))+Sheet1!M$20)/2</f>
        <v>182.754932221663</v>
      </c>
      <c r="AI48" s="37" t="n">
        <f aca="false">(AM48-AM$30)/(AM$50-AM$30)*(AI$50-AI$30)+AI$30</f>
        <v>-0.329948775510859</v>
      </c>
      <c r="AJ48" s="39" t="n">
        <f aca="false">(AM48-AM$37)/(AM$50-AM$37)*(AJ$50-AJ$37)+AJ$37</f>
        <v>180.665017162811</v>
      </c>
      <c r="AK48" s="39" t="n">
        <f aca="false">8314.4621*AJ48/(Sheet1!M$21*Sheet1!M$12*9.80665)</f>
        <v>5312.92355511129</v>
      </c>
      <c r="AL48" s="39" t="n">
        <f aca="false">AL47-LN(AG48/AG47)*(AK47+AK48)/2</f>
        <v>57311.8662856963</v>
      </c>
      <c r="AM48" s="39" t="n">
        <f aca="false">Sheet1!M$10*10/Sheet1!M$11*1000*AL48/(Sheet1!M$10*10/Sheet1!M$11*1000-AL48)</f>
        <v>57834.6759409335</v>
      </c>
      <c r="AN48" s="41"/>
      <c r="AO48" s="37" t="n">
        <f aca="false">AO47+(AO$51-AO$41)/10</f>
        <v>-0.108788190368724</v>
      </c>
      <c r="AP48" s="40" t="n">
        <f aca="false">10^AO48</f>
        <v>0.778416099559558</v>
      </c>
      <c r="AQ48" s="39" t="n">
        <f aca="false">AS48-AR48*((Sheet1!R$19-Sheet1!R$20)*COS(RADIANS(38))+Sheet1!R$20)/2</f>
        <v>168.848159664568</v>
      </c>
      <c r="AR48" s="37" t="n">
        <f aca="false">(AV48-AV$31)/(AV$51-AV$31)*(AR$51-AR$31)+AR$31</f>
        <v>-0.00665988513064477</v>
      </c>
      <c r="AS48" s="39" t="n">
        <f aca="false">(AV48-AV$41)/(AV$51-AV$41)*(AS$51-AS$41)+AS$41</f>
        <v>168.58768922953</v>
      </c>
      <c r="AT48" s="39" t="n">
        <f aca="false">8314.4621*AS48/(Sheet1!R$22*Sheet1!R$12*9.80665)</f>
        <v>2982.36018002009</v>
      </c>
      <c r="AU48" s="39" t="n">
        <f aca="false">AU47-LN(AP48/AP47)*(AT47+AT48)/2</f>
        <v>38622.9152715645</v>
      </c>
      <c r="AV48" s="39" t="n">
        <f aca="false">Sheet1!R$10*10/Sheet1!R$11*1000*AU48/(Sheet1!R$10*10/Sheet1!R$11*1000-AU48)</f>
        <v>38841.5997931128</v>
      </c>
    </row>
    <row r="49" customFormat="false" ht="14.4" hidden="false" customHeight="false" outlineLevel="0" collapsed="false">
      <c r="A49" s="31" t="s">
        <v>113</v>
      </c>
      <c r="B49" s="42" t="n">
        <v>0.9</v>
      </c>
      <c r="C49" s="38" t="n">
        <v>-0.25</v>
      </c>
      <c r="D49" s="38" t="n">
        <v>3.72754125702856</v>
      </c>
      <c r="E49" s="36" t="n">
        <f aca="false">IF(LOG(Sheet1!C$13*(11-Sheet1!C$11)^2/3.828E+026)&gt;C49,IF(LOG(Sheet1!C$13*(11-Sheet1!C$11)^2/3.828E+026)&lt;C48,(LOG(Sheet1!C$13*(11-Sheet1!C$11)^2/3.828E+026)-C49)/(C48-C49)*(B48-B49)+B49,0),0)</f>
        <v>0</v>
      </c>
      <c r="F49" s="37" t="n">
        <f aca="false">IF(LOG(Sheet1!C$13*(11-Sheet1!C$11)^2/3.828E+026)&gt;C49,IF(LOG(Sheet1!C$13*(11-Sheet1!C$11)^2/3.828E+026)&lt;C48,(LOG(Sheet1!C$13*(11-Sheet1!C$11)^2/3.828E+026)-C49)/(C48-C49)*(D48-D49)+D49,0),0)</f>
        <v>0</v>
      </c>
      <c r="G49" s="32" t="n">
        <f aca="false">IF(F49&gt;0,IF(F49&gt;(D48+D49)/2,A48,A49),0)</f>
        <v>0</v>
      </c>
      <c r="H49" s="32"/>
      <c r="I49" s="32"/>
      <c r="J49" s="37" t="n">
        <f aca="false">J48-0.1</f>
        <v>-0.100000000000001</v>
      </c>
      <c r="K49" s="40" t="n">
        <f aca="false">10^J49</f>
        <v>0.79432823472428</v>
      </c>
      <c r="L49" s="39" t="n">
        <f aca="false">(O49-O$43)/(O$53-O$43)*(L$53-L$43)+L$43</f>
        <v>6260.6569267801</v>
      </c>
      <c r="M49" s="39" t="n">
        <f aca="false">8314.4621*L49/(Sheet1!C$16*Sheet1!C$12*9.80665)</f>
        <v>147191.787436742</v>
      </c>
      <c r="N49" s="39" t="n">
        <f aca="false">N48-LN(K49/K48)*(M48+M49)/2</f>
        <v>1125937.57375579</v>
      </c>
      <c r="O49" s="39" t="n">
        <f aca="false">Sheet1!C$10*10/Sheet1!C$11*1000*N49/(Sheet1!C$10*10/Sheet1!C$11*1000-N49)</f>
        <v>1127744.56105462</v>
      </c>
      <c r="Q49" s="37" t="n">
        <f aca="false">Q48-0.1</f>
        <v>4.00000000000002</v>
      </c>
      <c r="R49" s="40" t="n">
        <f aca="false">10^Q49</f>
        <v>10000.0000000004</v>
      </c>
      <c r="S49" s="39" t="n">
        <f aca="false">U49-T49*((Sheet1!H$18-Sheet1!H$19)*COS(RADIANS(38))+Sheet1!H$19)/2</f>
        <v>139.890811247913</v>
      </c>
      <c r="T49" s="37" t="n">
        <f aca="false">(X49-X$44)/(X$54-X$44)*(T$54-T$44)+T$44</f>
        <v>0.49972319348837</v>
      </c>
      <c r="U49" s="39" t="n">
        <f aca="false">(X49-X$44)/(X$54-X$44)*(U$54-U$44)+U$44</f>
        <v>141.178108941992</v>
      </c>
      <c r="V49" s="39" t="n">
        <f aca="false">8314.4621*U49/(Sheet1!H$20*Sheet1!H$12*9.80665)</f>
        <v>28020.2748931327</v>
      </c>
      <c r="W49" s="39" t="n">
        <f aca="false">W48-LN(R49/R48)*(V48+V49)/2</f>
        <v>979391.83884753</v>
      </c>
      <c r="X49" s="39" t="n">
        <f aca="false">Sheet1!H$10*10/Sheet1!H$11*1000*W49/(Sheet1!H$10*10/Sheet1!H$11*1000-W49)</f>
        <v>995853.026844607</v>
      </c>
      <c r="Y49" s="37"/>
      <c r="Z49" s="39"/>
      <c r="AF49" s="37" t="n">
        <f aca="false">AF48-0.1</f>
        <v>0.599999999999998</v>
      </c>
      <c r="AG49" s="40" t="n">
        <f aca="false">10^AF49</f>
        <v>3.98107170553495</v>
      </c>
      <c r="AH49" s="39" t="n">
        <f aca="false">AJ49-AI49*((Sheet1!M$19-Sheet1!M$20)*COS(RADIANS(38))+Sheet1!M$20)/2</f>
        <v>179.733974388083</v>
      </c>
      <c r="AI49" s="37" t="n">
        <f aca="false">(AM49-AM$30)/(AM$50-AM$30)*(AI$50-AI$30)+AI$30</f>
        <v>-0.36528512884563</v>
      </c>
      <c r="AJ49" s="39" t="n">
        <f aca="false">(AM49-AM$37)/(AM$50-AM$37)*(AJ$50-AJ$37)+AJ$37</f>
        <v>177.420236777246</v>
      </c>
      <c r="AK49" s="39" t="n">
        <f aca="false">8314.4621*AJ49/(Sheet1!M$21*Sheet1!M$12*9.80665)</f>
        <v>5217.5023694697</v>
      </c>
      <c r="AL49" s="39" t="n">
        <f aca="false">AL48-LN(AG49/AG48)*(AK48+AK49)/2</f>
        <v>58524.2263735372</v>
      </c>
      <c r="AM49" s="39" t="n">
        <f aca="false">Sheet1!M$10*10/Sheet1!M$11*1000*AL49/(Sheet1!M$10*10/Sheet1!M$11*1000-AL49)</f>
        <v>59069.4939501474</v>
      </c>
      <c r="AN49" s="41"/>
      <c r="AO49" s="37" t="n">
        <f aca="false">AO48+(AO$51-AO$41)/10</f>
        <v>-0.215804483417283</v>
      </c>
      <c r="AP49" s="40" t="n">
        <f aca="false">10^AO49</f>
        <v>0.608408841381155</v>
      </c>
      <c r="AQ49" s="39" t="n">
        <f aca="false">AS49-AR49*((Sheet1!R$19-Sheet1!R$20)*COS(RADIANS(38))+Sheet1!R$20)/2</f>
        <v>166.723463662444</v>
      </c>
      <c r="AR49" s="37" t="n">
        <f aca="false">(AV49-AV$31)/(AV$51-AV$31)*(AR$51-AR$31)+AR$31</f>
        <v>-0.00441335284007809</v>
      </c>
      <c r="AS49" s="39" t="n">
        <f aca="false">(AV49-AV$41)/(AV$51-AV$41)*(AS$51-AS$41)+AS$41</f>
        <v>166.550855890436</v>
      </c>
      <c r="AT49" s="39" t="n">
        <f aca="false">8314.4621*AS49/(Sheet1!R$22*Sheet1!R$12*9.80665)</f>
        <v>2946.32806716764</v>
      </c>
      <c r="AU49" s="39" t="n">
        <f aca="false">AU48-LN(AP49/AP48)*(AT48+AT49)/2</f>
        <v>39353.3715233618</v>
      </c>
      <c r="AV49" s="39" t="n">
        <f aca="false">Sheet1!R$10*10/Sheet1!R$11*1000*AU49/(Sheet1!R$10*10/Sheet1!R$11*1000-AU49)</f>
        <v>39580.430325058</v>
      </c>
    </row>
    <row r="50" customFormat="false" ht="14.4" hidden="false" customHeight="false" outlineLevel="0" collapsed="false">
      <c r="A50" s="31" t="s">
        <v>114</v>
      </c>
      <c r="B50" s="42" t="n">
        <v>0.87</v>
      </c>
      <c r="C50" s="38" t="n">
        <v>-0.33</v>
      </c>
      <c r="D50" s="38" t="n">
        <v>3.72263392253381</v>
      </c>
      <c r="E50" s="36" t="n">
        <f aca="false">IF(LOG(Sheet1!C$13*(11-Sheet1!C$11)^2/3.828E+026)&gt;C50,IF(LOG(Sheet1!C$13*(11-Sheet1!C$11)^2/3.828E+026)&lt;C49,(LOG(Sheet1!C$13*(11-Sheet1!C$11)^2/3.828E+026)-C50)/(C49-C50)*(B49-B50)+B50,0),0)</f>
        <v>0</v>
      </c>
      <c r="F50" s="37" t="n">
        <f aca="false">IF(LOG(Sheet1!C$13*(11-Sheet1!C$11)^2/3.828E+026)&gt;C50,IF(LOG(Sheet1!C$13*(11-Sheet1!C$11)^2/3.828E+026)&lt;C49,(LOG(Sheet1!C$13*(11-Sheet1!C$11)^2/3.828E+026)-C50)/(C49-C50)*(D49-D50)+D50,0),0)</f>
        <v>0</v>
      </c>
      <c r="G50" s="32" t="n">
        <f aca="false">IF(F50&gt;0,IF(F50&gt;(D49+D50)/2,A49,A50),0)</f>
        <v>0</v>
      </c>
      <c r="H50" s="32"/>
      <c r="I50" s="32"/>
      <c r="J50" s="37" t="n">
        <f aca="false">J49-0.1</f>
        <v>-0.200000000000001</v>
      </c>
      <c r="K50" s="40" t="n">
        <f aca="false">10^J50</f>
        <v>0.630957344480192</v>
      </c>
      <c r="L50" s="39" t="n">
        <f aca="false">(O50-O$43)/(O$53-O$43)*(L$53-L$43)+L$43</f>
        <v>6318.94528215101</v>
      </c>
      <c r="M50" s="39" t="n">
        <f aca="false">8314.4621*L50/(Sheet1!C$16*Sheet1!C$12*9.80665)</f>
        <v>148562.181520643</v>
      </c>
      <c r="N50" s="39" t="n">
        <f aca="false">N49-LN(K50/K49)*(M49+M50)/2</f>
        <v>1159987.50776154</v>
      </c>
      <c r="O50" s="39" t="n">
        <f aca="false">Sheet1!C$10*10/Sheet1!C$11*1000*N50/(Sheet1!C$10*10/Sheet1!C$11*1000-N50)</f>
        <v>1161905.5323848</v>
      </c>
      <c r="Q50" s="37" t="n">
        <f aca="false">Q49-0.1</f>
        <v>3.90000000000002</v>
      </c>
      <c r="R50" s="40" t="n">
        <f aca="false">10^Q50</f>
        <v>7943.28234724311</v>
      </c>
      <c r="S50" s="39" t="n">
        <f aca="false">U50-T50*((Sheet1!H$18-Sheet1!H$19)*COS(RADIANS(38))+Sheet1!H$19)/2</f>
        <v>139.633180650613</v>
      </c>
      <c r="T50" s="37" t="n">
        <f aca="false">(X50-X$44)/(X$54-X$44)*(T$54-T$44)+T$44</f>
        <v>0.599734236322789</v>
      </c>
      <c r="U50" s="39" t="n">
        <f aca="false">(X50-X$44)/(X$54-X$44)*(U$54-U$44)+U$44</f>
        <v>141.178108941992</v>
      </c>
      <c r="V50" s="39" t="n">
        <f aca="false">8314.4621*U50/(Sheet1!H$20*Sheet1!H$12*9.80665)</f>
        <v>28020.2748931327</v>
      </c>
      <c r="W50" s="39" t="n">
        <f aca="false">W49-LN(R50/R49)*(V49+V50)/2</f>
        <v>985843.745574583</v>
      </c>
      <c r="X50" s="39" t="n">
        <f aca="false">Sheet1!H$10*10/Sheet1!H$11*1000*W50/(Sheet1!H$10*10/Sheet1!H$11*1000-W50)</f>
        <v>1002524.37649723</v>
      </c>
      <c r="Y50" s="37"/>
      <c r="Z50" s="39"/>
      <c r="AF50" s="37" t="n">
        <f aca="false">AF49-0.1</f>
        <v>0.499999999999998</v>
      </c>
      <c r="AG50" s="40" t="n">
        <f aca="false">10^AF50</f>
        <v>3.16227766016836</v>
      </c>
      <c r="AH50" s="39" t="n">
        <f aca="false">AJ50-AI50*((Sheet1!M$19-Sheet1!M$20)*COS(RADIANS(38))+Sheet1!M$20)/2</f>
        <v>176.766226956475</v>
      </c>
      <c r="AI50" s="37" t="n">
        <v>-0.4</v>
      </c>
      <c r="AJ50" s="39" t="n">
        <f aca="false">0.83*Sheet1!M16</f>
        <v>174.232603298541</v>
      </c>
      <c r="AK50" s="39" t="n">
        <f aca="false">8314.4621*AJ50/(Sheet1!M$21*Sheet1!M$12*9.80665)</f>
        <v>5123.76173688884</v>
      </c>
      <c r="AL50" s="39" t="n">
        <f aca="false">AL49-LN(AG50/AG49)*(AK49+AK50)/2</f>
        <v>59714.808402238</v>
      </c>
      <c r="AM50" s="39" t="n">
        <f aca="false">Sheet1!M$10*10/Sheet1!M$11*1000*AL50/(Sheet1!M$10*10/Sheet1!M$11*1000-AL50)</f>
        <v>60282.5944555349</v>
      </c>
      <c r="AN50" s="41"/>
      <c r="AO50" s="37" t="n">
        <f aca="false">AO49+(AO$51-AO$41)/10</f>
        <v>-0.322820776465843</v>
      </c>
      <c r="AP50" s="40" t="n">
        <f aca="false">10^AO50</f>
        <v>0.475531426547065</v>
      </c>
      <c r="AQ50" s="39" t="n">
        <f aca="false">AS50-AR50*((Sheet1!R$19-Sheet1!R$20)*COS(RADIANS(38))+Sheet1!R$20)/2</f>
        <v>164.623993521899</v>
      </c>
      <c r="AR50" s="37" t="n">
        <f aca="false">(AV50-AV$31)/(AV$51-AV$31)*(AR$51-AR$31)+AR$31</f>
        <v>-0.00219349288424579</v>
      </c>
      <c r="AS50" s="39" t="n">
        <f aca="false">(AV50-AV$41)/(AV$51-AV$41)*(AS$51-AS$41)+AS$41</f>
        <v>164.538205248587</v>
      </c>
      <c r="AT50" s="39" t="n">
        <f aca="false">8314.4621*AS50/(Sheet1!R$22*Sheet1!R$12*9.80665)</f>
        <v>2910.72375253487</v>
      </c>
      <c r="AU50" s="39" t="n">
        <f aca="false">AU49-LN(AP50/AP49)*(AT49+AT50)/2</f>
        <v>40075.001661501</v>
      </c>
      <c r="AV50" s="39" t="n">
        <f aca="false">Sheet1!R$10*10/Sheet1!R$11*1000*AU50/(Sheet1!R$10*10/Sheet1!R$11*1000-AU50)</f>
        <v>40310.4889665022</v>
      </c>
    </row>
    <row r="51" customFormat="false" ht="14.4" hidden="false" customHeight="false" outlineLevel="0" collapsed="false">
      <c r="A51" s="31" t="s">
        <v>115</v>
      </c>
      <c r="B51" s="42" t="n">
        <v>0.85</v>
      </c>
      <c r="C51" s="38" t="n">
        <v>-0.37</v>
      </c>
      <c r="D51" s="38" t="n">
        <v>3.71349054309394</v>
      </c>
      <c r="E51" s="36" t="n">
        <f aca="false">IF(LOG(Sheet1!C$13*(11-Sheet1!C$11)^2/3.828E+026)&gt;C51,IF(LOG(Sheet1!C$13*(11-Sheet1!C$11)^2/3.828E+026)&lt;C50,(LOG(Sheet1!C$13*(11-Sheet1!C$11)^2/3.828E+026)-C51)/(C50-C51)*(B50-B51)+B51,0),0)</f>
        <v>0</v>
      </c>
      <c r="F51" s="37" t="n">
        <f aca="false">IF(LOG(Sheet1!C$13*(11-Sheet1!C$11)^2/3.828E+026)&gt;C51,IF(LOG(Sheet1!C$13*(11-Sheet1!C$11)^2/3.828E+026)&lt;C50,(LOG(Sheet1!C$13*(11-Sheet1!C$11)^2/3.828E+026)-C51)/(C50-C51)*(D50-D51)+D51,0),0)</f>
        <v>0</v>
      </c>
      <c r="G51" s="32" t="n">
        <f aca="false">IF(F51&gt;0,IF(F51&gt;(D50+D51)/2,A50,A51),0)</f>
        <v>0</v>
      </c>
      <c r="H51" s="32"/>
      <c r="I51" s="32"/>
      <c r="J51" s="37" t="n">
        <f aca="false">J50-0.1</f>
        <v>-0.300000000000001</v>
      </c>
      <c r="K51" s="40" t="n">
        <f aca="false">10^J51</f>
        <v>0.501187233627272</v>
      </c>
      <c r="L51" s="39" t="n">
        <f aca="false">(O51-O$43)/(O$53-O$43)*(L$53-L$43)+L$43</f>
        <v>6377.78208179728</v>
      </c>
      <c r="M51" s="39" t="n">
        <f aca="false">8314.4621*L51/(Sheet1!C$16*Sheet1!C$12*9.80665)</f>
        <v>149945.469857359</v>
      </c>
      <c r="N51" s="39" t="n">
        <f aca="false">N50-LN(K51/K50)*(M50+M51)/2</f>
        <v>1194354.47117192</v>
      </c>
      <c r="O51" s="39" t="n">
        <f aca="false">Sheet1!C$10*10/Sheet1!C$11*1000*N51/(Sheet1!C$10*10/Sheet1!C$11*1000-N51)</f>
        <v>1196387.9296507</v>
      </c>
      <c r="Q51" s="37" t="n">
        <f aca="false">Q50-0.1</f>
        <v>3.80000000000002</v>
      </c>
      <c r="R51" s="40" t="n">
        <f aca="false">10^Q51</f>
        <v>6309.57344480216</v>
      </c>
      <c r="S51" s="39" t="n">
        <f aca="false">U51-T51*((Sheet1!H$18-Sheet1!H$19)*COS(RADIANS(38))+Sheet1!H$19)/2</f>
        <v>139.375492989614</v>
      </c>
      <c r="T51" s="37" t="n">
        <f aca="false">(X51-X$44)/(X$54-X$44)*(T$54-T$44)+T$44</f>
        <v>0.699767431028946</v>
      </c>
      <c r="U51" s="39" t="n">
        <f aca="false">(X51-X$44)/(X$54-X$44)*(U$54-U$44)+U$44</f>
        <v>141.178108941992</v>
      </c>
      <c r="V51" s="39" t="n">
        <f aca="false">8314.4621*U51/(Sheet1!H$20*Sheet1!H$12*9.80665)</f>
        <v>28020.2748931327</v>
      </c>
      <c r="W51" s="39" t="n">
        <f aca="false">W50-LN(R51/R50)*(V50+V51)/2</f>
        <v>992295.652301635</v>
      </c>
      <c r="X51" s="39" t="n">
        <f aca="false">Sheet1!H$10*10/Sheet1!H$11*1000*W51/(Sheet1!H$10*10/Sheet1!H$11*1000-W51)</f>
        <v>1009197.20381548</v>
      </c>
      <c r="Y51" s="37"/>
      <c r="Z51" s="39"/>
      <c r="AF51" s="37" t="n">
        <f aca="false">AF50-0.1</f>
        <v>0.399999999999998</v>
      </c>
      <c r="AG51" s="40" t="n">
        <f aca="false">10^AF51</f>
        <v>2.51188643150957</v>
      </c>
      <c r="AH51" s="39" t="n">
        <f aca="false">AJ51-AI51*((Sheet1!M$19-Sheet1!M$20)*COS(RADIANS(38))+Sheet1!M$20)/2</f>
        <v>174.777872735439</v>
      </c>
      <c r="AI51" s="37" t="n">
        <f aca="false">(AM51-AM$50)/(AM$62-AM$50)*(AI$62-AI$50)+AI$50</f>
        <v>-0.347432010621604</v>
      </c>
      <c r="AJ51" s="39" t="n">
        <f aca="false">(AM51-AM$50)/(AM$62-AM$50)*(AJ$62-AJ$50)+AJ$50</f>
        <v>172.577217831353</v>
      </c>
      <c r="AK51" s="39" t="n">
        <f aca="false">8314.4621*AJ51/(Sheet1!M$21*Sheet1!M$12*9.80665)</f>
        <v>5075.08083241974</v>
      </c>
      <c r="AL51" s="39" t="n">
        <f aca="false">AL50-LN(AG51/AG50)*(AK50+AK51)/2</f>
        <v>60888.9935455322</v>
      </c>
      <c r="AM51" s="39" t="n">
        <f aca="false">Sheet1!M$10*10/Sheet1!M$11*1000*AL51/(Sheet1!M$10*10/Sheet1!M$11*1000-AL51)</f>
        <v>61479.4385195383</v>
      </c>
      <c r="AN51" s="41"/>
      <c r="AO51" s="37" t="n">
        <f aca="false">AO4+0.8*(AO61-AO4)</f>
        <v>-0.429837069514403</v>
      </c>
      <c r="AP51" s="40" t="n">
        <f aca="false">10^AO51</f>
        <v>0.371674640888759</v>
      </c>
      <c r="AQ51" s="39" t="n">
        <f aca="false">AS51-AR51*((Sheet1!R$19-Sheet1!R$20)*COS(RADIANS(38))+Sheet1!R$20)/2</f>
        <v>162.549434877212</v>
      </c>
      <c r="AR51" s="37" t="n">
        <v>0</v>
      </c>
      <c r="AS51" s="39" t="n">
        <f aca="false">Sheet1!R16+0.96*(AS61-Sheet1!R16)</f>
        <v>162.549434877212</v>
      </c>
      <c r="AT51" s="39" t="n">
        <f aca="false">8314.4621*AS51/(Sheet1!R$22*Sheet1!R$12*9.80665)</f>
        <v>2875.54188611331</v>
      </c>
      <c r="AU51" s="39" t="n">
        <f aca="false">AU50-LN(AP51/AP50)*(AT50+AT51)/2</f>
        <v>40787.9104423456</v>
      </c>
      <c r="AV51" s="39" t="n">
        <f aca="false">Sheet1!R$10*10/Sheet1!R$11*1000*AU51/(Sheet1!R$10*10/Sheet1!R$11*1000-AU51)</f>
        <v>41031.8761111654</v>
      </c>
    </row>
    <row r="52" customFormat="false" ht="14.4" hidden="false" customHeight="false" outlineLevel="0" collapsed="false">
      <c r="A52" s="31" t="s">
        <v>116</v>
      </c>
      <c r="B52" s="42" t="n">
        <v>0.82</v>
      </c>
      <c r="C52" s="38" t="n">
        <v>-0.47</v>
      </c>
      <c r="D52" s="38" t="n">
        <v>3.70243053644553</v>
      </c>
      <c r="E52" s="36" t="n">
        <f aca="false">IF(LOG(Sheet1!C$13*(11-Sheet1!C$11)^2/3.828E+026)&gt;C52,IF(LOG(Sheet1!C$13*(11-Sheet1!C$11)^2/3.828E+026)&lt;C51,(LOG(Sheet1!C$13*(11-Sheet1!C$11)^2/3.828E+026)-C52)/(C51-C52)*(B51-B52)+B52,0),0)</f>
        <v>0</v>
      </c>
      <c r="F52" s="37" t="n">
        <f aca="false">IF(LOG(Sheet1!C$13*(11-Sheet1!C$11)^2/3.828E+026)&gt;C52,IF(LOG(Sheet1!C$13*(11-Sheet1!C$11)^2/3.828E+026)&lt;C51,(LOG(Sheet1!C$13*(11-Sheet1!C$11)^2/3.828E+026)-C52)/(C51-C52)*(D51-D52)+D52,0),0)</f>
        <v>0</v>
      </c>
      <c r="G52" s="32" t="n">
        <f aca="false">IF(F52&gt;0,IF(F52&gt;(D51+D52)/2,A51,A52),0)</f>
        <v>0</v>
      </c>
      <c r="H52" s="32"/>
      <c r="I52" s="32"/>
      <c r="J52" s="37" t="n">
        <f aca="false">J51-0.1</f>
        <v>-0.400000000000001</v>
      </c>
      <c r="K52" s="40" t="n">
        <f aca="false">10^J52</f>
        <v>0.398107170553497</v>
      </c>
      <c r="L52" s="39" t="n">
        <f aca="false">(O52-O$43)/(O$53-O$43)*(L$53-L$43)+L$43</f>
        <v>6437.17259426764</v>
      </c>
      <c r="M52" s="39" t="n">
        <f aca="false">8314.4621*L52/(Sheet1!C$16*Sheet1!C$12*9.80665)</f>
        <v>151341.77631362</v>
      </c>
      <c r="N52" s="39" t="n">
        <f aca="false">N51-LN(K52/K51)*(M51+M52)/2</f>
        <v>1229041.44725905</v>
      </c>
      <c r="O52" s="39" t="n">
        <f aca="false">Sheet1!C$10*10/Sheet1!C$11*1000*N52/(Sheet1!C$10*10/Sheet1!C$11*1000-N52)</f>
        <v>1231194.84058298</v>
      </c>
      <c r="Q52" s="37" t="n">
        <f aca="false">Q51-0.1</f>
        <v>3.70000000000002</v>
      </c>
      <c r="R52" s="40" t="n">
        <f aca="false">10^Q52</f>
        <v>5011.8723362729</v>
      </c>
      <c r="S52" s="39" t="n">
        <f aca="false">U52-T52*((Sheet1!H$18-Sheet1!H$19)*COS(RADIANS(38))+Sheet1!H$19)/2</f>
        <v>139.117748245957</v>
      </c>
      <c r="T52" s="37" t="n">
        <f aca="false">(X52-X$44)/(X$54-X$44)*(T$54-T$44)+T$44</f>
        <v>0.799822784967428</v>
      </c>
      <c r="U52" s="39" t="n">
        <f aca="false">(X52-X$44)/(X$54-X$44)*(U$54-U$44)+U$44</f>
        <v>141.178108941992</v>
      </c>
      <c r="V52" s="39" t="n">
        <f aca="false">8314.4621*U52/(Sheet1!H$20*Sheet1!H$12*9.80665)</f>
        <v>28020.2748931327</v>
      </c>
      <c r="W52" s="39" t="n">
        <f aca="false">W51-LN(R52/R51)*(V51+V52)/2</f>
        <v>998747.559028687</v>
      </c>
      <c r="X52" s="39" t="n">
        <f aca="false">Sheet1!H$10*10/Sheet1!H$11*1000*W52/(Sheet1!H$10*10/Sheet1!H$11*1000-W52)</f>
        <v>1015871.50929038</v>
      </c>
      <c r="Y52" s="37"/>
      <c r="Z52" s="39"/>
      <c r="AF52" s="37" t="n">
        <f aca="false">AF51-0.1</f>
        <v>0.299999999999998</v>
      </c>
      <c r="AG52" s="40" t="n">
        <f aca="false">10^AF52</f>
        <v>1.99526231496887</v>
      </c>
      <c r="AH52" s="39" t="n">
        <f aca="false">AJ52-AI52*((Sheet1!M$19-Sheet1!M$20)*COS(RADIANS(38))+Sheet1!M$20)/2</f>
        <v>172.807680066389</v>
      </c>
      <c r="AI52" s="37" t="n">
        <f aca="false">(AM52-AM$50)/(AM$62-AM$50)*(AI$62-AI$50)+AI$50</f>
        <v>-0.2953441777428</v>
      </c>
      <c r="AJ52" s="39" t="n">
        <f aca="false">(AM52-AM$50)/(AM$62-AM$50)*(AJ$62-AJ$50)+AJ$50</f>
        <v>170.936952576482</v>
      </c>
      <c r="AK52" s="39" t="n">
        <f aca="false">8314.4621*AJ52/(Sheet1!M$21*Sheet1!M$12*9.80665)</f>
        <v>5026.8445770224</v>
      </c>
      <c r="AL52" s="39" t="n">
        <f aca="false">AL51-LN(AG52/AG51)*(AK51+AK52)/2</f>
        <v>62052.0206884481</v>
      </c>
      <c r="AM52" s="39" t="n">
        <f aca="false">Sheet1!M$10*10/Sheet1!M$11*1000*AL52/(Sheet1!M$10*10/Sheet1!M$11*1000-AL52)</f>
        <v>62665.3505988278</v>
      </c>
      <c r="AN52" s="41"/>
      <c r="AO52" s="37" t="n">
        <f aca="false">AO51+(AO$61-AO$51)/10</f>
        <v>-0.536853362562963</v>
      </c>
      <c r="AP52" s="40" t="n">
        <f aca="false">10^AO52</f>
        <v>0.290500334926058</v>
      </c>
      <c r="AQ52" s="39" t="n">
        <f aca="false">AS52-AR52*((Sheet1!R$19-Sheet1!R$20)*COS(RADIANS(38))+Sheet1!R$20)/2</f>
        <v>161.789964408606</v>
      </c>
      <c r="AR52" s="37" t="n">
        <f aca="false">(AV52-AV$51)/(AV$116-AV$51)*(AR$116-AR$51)+AR$51</f>
        <v>0.00190036534436633</v>
      </c>
      <c r="AS52" s="39" t="n">
        <f aca="false">(AV52-AV$51)/(AV$61-AV$51)*(AS$61-AS$51)+AS$51</f>
        <v>161.864288361387</v>
      </c>
      <c r="AT52" s="39" t="n">
        <f aca="false">8314.4621*AS52/(Sheet1!R$22*Sheet1!R$12*9.80665)</f>
        <v>2863.42146560327</v>
      </c>
      <c r="AU52" s="39" t="n">
        <f aca="false">AU51-LN(AP52/AP51)*(AT51+AT52)/2</f>
        <v>41494.9913438349</v>
      </c>
      <c r="AV52" s="39" t="n">
        <f aca="false">Sheet1!R$10*10/Sheet1!R$11*1000*AU52/(Sheet1!R$10*10/Sheet1!R$11*1000-AU52)</f>
        <v>41747.5150721945</v>
      </c>
    </row>
    <row r="53" customFormat="false" ht="14.4" hidden="false" customHeight="false" outlineLevel="0" collapsed="false">
      <c r="A53" s="31" t="s">
        <v>117</v>
      </c>
      <c r="B53" s="42" t="n">
        <v>0.78</v>
      </c>
      <c r="C53" s="38" t="n">
        <v>-0.58</v>
      </c>
      <c r="D53" s="38" t="n">
        <v>3.68484536164441</v>
      </c>
      <c r="E53" s="36" t="n">
        <f aca="false">IF(LOG(Sheet1!C$13*(11-Sheet1!C$11)^2/3.828E+026)&gt;C53,IF(LOG(Sheet1!C$13*(11-Sheet1!C$11)^2/3.828E+026)&lt;C52,(LOG(Sheet1!C$13*(11-Sheet1!C$11)^2/3.828E+026)-C53)/(C52-C53)*(B52-B53)+B53,0),0)</f>
        <v>0</v>
      </c>
      <c r="F53" s="37" t="n">
        <f aca="false">IF(LOG(Sheet1!C$13*(11-Sheet1!C$11)^2/3.828E+026)&gt;C53,IF(LOG(Sheet1!C$13*(11-Sheet1!C$11)^2/3.828E+026)&lt;C52,(LOG(Sheet1!C$13*(11-Sheet1!C$11)^2/3.828E+026)-C53)/(C52-C53)*(D52-D53)+D53,0),0)</f>
        <v>0</v>
      </c>
      <c r="G53" s="32" t="n">
        <f aca="false">IF(F53&gt;0,IF(F53&gt;(D52+D53)/2,A52,A53),0)</f>
        <v>0</v>
      </c>
      <c r="H53" s="32"/>
      <c r="I53" s="32"/>
      <c r="J53" s="37" t="n">
        <f aca="false">J52-0.1</f>
        <v>-0.500000000000001</v>
      </c>
      <c r="K53" s="40" t="n">
        <f aca="false">10^J53</f>
        <v>0.316227766016837</v>
      </c>
      <c r="L53" s="39" t="n">
        <f aca="false">1.13*Sheet1!C14</f>
        <v>6497.12214075477</v>
      </c>
      <c r="M53" s="39" t="n">
        <f aca="false">8314.4621*L53/(Sheet1!C$16*Sheet1!C$12*9.80665)</f>
        <v>152751.225993847</v>
      </c>
      <c r="N53" s="39" t="n">
        <f aca="false">N52-LN(K53/K52)*(M52+M53)/2</f>
        <v>1264051.4479589</v>
      </c>
      <c r="O53" s="39" t="n">
        <f aca="false">Sheet1!C$10*10/Sheet1!C$11*1000*N53/(Sheet1!C$10*10/Sheet1!C$11*1000-N53)</f>
        <v>1266329.38376528</v>
      </c>
      <c r="Q53" s="37" t="n">
        <f aca="false">Q52-0.1</f>
        <v>3.60000000000002</v>
      </c>
      <c r="R53" s="40" t="n">
        <f aca="false">10^Q53</f>
        <v>3981.07170553512</v>
      </c>
      <c r="S53" s="39" t="n">
        <f aca="false">U53-T53*((Sheet1!H$18-Sheet1!H$19)*COS(RADIANS(38))+Sheet1!H$19)/2</f>
        <v>138.859946400671</v>
      </c>
      <c r="T53" s="37" t="n">
        <f aca="false">(X53-X$44)/(X$54-X$44)*(T$54-T$44)+T$44</f>
        <v>0.899900305502076</v>
      </c>
      <c r="U53" s="39" t="n">
        <f aca="false">(X53-X$44)/(X$54-X$44)*(U$54-U$44)+U$44</f>
        <v>141.178108941992</v>
      </c>
      <c r="V53" s="39" t="n">
        <f aca="false">8314.4621*U53/(Sheet1!H$20*Sheet1!H$12*9.80665)</f>
        <v>28020.2748931327</v>
      </c>
      <c r="W53" s="39" t="n">
        <f aca="false">W52-LN(R53/R52)*(V52+V53)/2</f>
        <v>1005199.46575574</v>
      </c>
      <c r="X53" s="39" t="n">
        <f aca="false">Sheet1!H$10*10/Sheet1!H$11*1000*W53/(Sheet1!H$10*10/Sheet1!H$11*1000-W53)</f>
        <v>1022547.29341313</v>
      </c>
      <c r="Y53" s="37"/>
      <c r="Z53" s="39"/>
      <c r="AF53" s="37" t="n">
        <f aca="false">AF52-0.1</f>
        <v>0.199999999999998</v>
      </c>
      <c r="AG53" s="40" t="n">
        <f aca="false">10^AF53</f>
        <v>1.58489319246111</v>
      </c>
      <c r="AH53" s="39" t="n">
        <f aca="false">AJ53-AI53*((Sheet1!M$19-Sheet1!M$20)*COS(RADIANS(38))+Sheet1!M$20)/2</f>
        <v>170.855496632043</v>
      </c>
      <c r="AI53" s="37" t="n">
        <f aca="false">(AM53-AM$50)/(AM$62-AM$50)*(AI$62-AI$50)+AI$50</f>
        <v>-0.243732477336039</v>
      </c>
      <c r="AJ53" s="39" t="n">
        <f aca="false">(AM53-AM$50)/(AM$62-AM$50)*(AJ$62-AJ$50)+AJ$50</f>
        <v>169.311680705079</v>
      </c>
      <c r="AK53" s="39" t="n">
        <f aca="false">8314.4621*AJ53/(Sheet1!M$21*Sheet1!M$12*9.80665)</f>
        <v>4979.04924096539</v>
      </c>
      <c r="AL53" s="39" t="n">
        <f aca="false">AL52-LN(AG53/AG52)*(AK52+AK53)/2</f>
        <v>63203.9917858171</v>
      </c>
      <c r="AM53" s="39" t="n">
        <f aca="false">Sheet1!M$10*10/Sheet1!M$11*1000*AL53/(Sheet1!M$10*10/Sheet1!M$11*1000-AL53)</f>
        <v>63840.4223106317</v>
      </c>
      <c r="AN53" s="41"/>
      <c r="AO53" s="37" t="n">
        <f aca="false">AO52+(AO$61-AO$51)/10</f>
        <v>-0.643869655611522</v>
      </c>
      <c r="AP53" s="40" t="n">
        <f aca="false">10^AO53</f>
        <v>0.22705462064981</v>
      </c>
      <c r="AQ53" s="39" t="n">
        <f aca="false">AS53-AR53*((Sheet1!R$19-Sheet1!R$20)*COS(RADIANS(38))+Sheet1!R$20)/2</f>
        <v>161.033538801587</v>
      </c>
      <c r="AR53" s="37" t="n">
        <f aca="false">(AV53-AV$51)/(AV$116-AV$51)*(AR$116-AR$51)+AR$51</f>
        <v>0.00379311176254854</v>
      </c>
      <c r="AS53" s="39" t="n">
        <f aca="false">(AV53-AV$51)/(AV$61-AV$51)*(AS$61-AS$51)+AS$51</f>
        <v>161.181888728283</v>
      </c>
      <c r="AT53" s="39" t="n">
        <f aca="false">8314.4621*AS53/(Sheet1!R$22*Sheet1!R$12*9.80665)</f>
        <v>2851.3496381648</v>
      </c>
      <c r="AU53" s="39" t="n">
        <f aca="false">AU52-LN(AP53/AP52)*(AT52+AT53)/2</f>
        <v>42199.0916854004</v>
      </c>
      <c r="AV53" s="39" t="n">
        <f aca="false">Sheet1!R$10*10/Sheet1!R$11*1000*AU53/(Sheet1!R$10*10/Sheet1!R$11*1000-AU53)</f>
        <v>42460.2849004884</v>
      </c>
    </row>
    <row r="54" customFormat="false" ht="14.4" hidden="false" customHeight="false" outlineLevel="0" collapsed="false">
      <c r="A54" s="31" t="s">
        <v>118</v>
      </c>
      <c r="B54" s="42" t="n">
        <v>0.73</v>
      </c>
      <c r="C54" s="38" t="n">
        <v>-0.71</v>
      </c>
      <c r="D54" s="38" t="n">
        <v>3.66464197555613</v>
      </c>
      <c r="E54" s="36" t="n">
        <f aca="false">IF(LOG(Sheet1!C$13*(11-Sheet1!C$11)^2/3.828E+026)&gt;C54,IF(LOG(Sheet1!C$13*(11-Sheet1!C$11)^2/3.828E+026)&lt;C53,(LOG(Sheet1!C$13*(11-Sheet1!C$11)^2/3.828E+026)-C54)/(C53-C54)*(B53-B54)+B54,0),0)</f>
        <v>0</v>
      </c>
      <c r="F54" s="37" t="n">
        <f aca="false">IF(LOG(Sheet1!C$13*(11-Sheet1!C$11)^2/3.828E+026)&gt;C54,IF(LOG(Sheet1!C$13*(11-Sheet1!C$11)^2/3.828E+026)&lt;C53,(LOG(Sheet1!C$13*(11-Sheet1!C$11)^2/3.828E+026)-C54)/(C53-C54)*(D53-D54)+D54,0),0)</f>
        <v>0</v>
      </c>
      <c r="G54" s="32" t="n">
        <f aca="false">IF(F54&gt;0,IF(F54&gt;(D53+D54)/2,A53,A54),0)</f>
        <v>0</v>
      </c>
      <c r="H54" s="32" t="n">
        <f aca="false">IF(G54&lt;&gt;0,G54,IF(G55&lt;&gt;0,G55,IF(G56&lt;&gt;0,G56,IF(G57&lt;&gt;0,G57,IF(G58&lt;&gt;0,G58,IF(G59&lt;&gt;0,G59,IF(G60&lt;&gt;0,G60,0)))))))</f>
        <v>0</v>
      </c>
      <c r="I54" s="32"/>
      <c r="J54" s="37" t="n">
        <f aca="false">J53-0.1</f>
        <v>-0.600000000000001</v>
      </c>
      <c r="K54" s="40" t="n">
        <f aca="false">10^J54</f>
        <v>0.251188643150958</v>
      </c>
      <c r="L54" s="39" t="n">
        <f aca="false">(O54-O$53)/(O$68-O$53)*(L$68-L$53)+L$53</f>
        <v>6523.18912197872</v>
      </c>
      <c r="M54" s="39" t="n">
        <f aca="false">8314.4621*L54/(Sheet1!C$16*Sheet1!C$12*9.80665)</f>
        <v>153364.076307209</v>
      </c>
      <c r="N54" s="39" t="n">
        <f aca="false">N53-LN(K54/K53)*(M53+M54)/2</f>
        <v>1299294.27454969</v>
      </c>
      <c r="O54" s="39" t="n">
        <f aca="false">Sheet1!C$10*10/Sheet1!C$11*1000*N54/(Sheet1!C$10*10/Sheet1!C$11*1000-N54)</f>
        <v>1301701.12358491</v>
      </c>
      <c r="Q54" s="37" t="n">
        <f aca="false">Q53-0.1</f>
        <v>3.50000000000002</v>
      </c>
      <c r="R54" s="40" t="n">
        <f aca="false">10^Q54</f>
        <v>3162.27766016849</v>
      </c>
      <c r="S54" s="39" t="n">
        <f aca="false">U54-T54*((Sheet1!H$18-Sheet1!H$19)*COS(RADIANS(38))+Sheet1!H$19)/2</f>
        <v>138.602087434779</v>
      </c>
      <c r="T54" s="37" t="n">
        <v>1</v>
      </c>
      <c r="U54" s="39" t="n">
        <f aca="false">Sheet1!H16*1.03</f>
        <v>141.178108941992</v>
      </c>
      <c r="V54" s="39" t="n">
        <f aca="false">8314.4621*U54/(Sheet1!H$20*Sheet1!H$12*9.80665)</f>
        <v>28020.2748931327</v>
      </c>
      <c r="W54" s="39" t="n">
        <f aca="false">W53-LN(R54/R53)*(V53+V54)/2</f>
        <v>1011651.37248279</v>
      </c>
      <c r="X54" s="39" t="n">
        <f aca="false">Sheet1!H$10*10/Sheet1!H$11*1000*W54/(Sheet1!H$10*10/Sheet1!H$11*1000-W54)</f>
        <v>1029224.55667517</v>
      </c>
      <c r="Y54" s="37" t="n">
        <f aca="false">IF(Q54&lt;LOG(Sheet1!H$17*101325),Q54,IF(Q77&lt;LOG(Sheet1!H$17*101325),LOG(Sheet1!H$17*101325),0))</f>
        <v>3.50000000000002</v>
      </c>
      <c r="Z54" s="39" t="n">
        <f aca="false">IF(Y54=LOG(Sheet1!H$17*101325),(LOG(Sheet1!H$17*101325)-Q77)/(Q54-Q77)*(S54-S77)+S77,IF(Y54=0,0,S54))</f>
        <v>138.602087434779</v>
      </c>
      <c r="AA54" s="39" t="n">
        <f aca="false">IF(Y54=LOG(Sheet1!H$17*101325),(LOG(Sheet1!H$17*101325)-Q64)/(Q54-Q64)*(X54-X64)+X64,IF(Y54=0,0,X54))</f>
        <v>1029224.55667517</v>
      </c>
      <c r="AB54" s="32" t="n">
        <f aca="false">IF(Y54=0,0,AB44+1)</f>
        <v>5</v>
      </c>
      <c r="AF54" s="37" t="n">
        <f aca="false">AF53-0.1</f>
        <v>0.099999999999998</v>
      </c>
      <c r="AG54" s="40" t="n">
        <f aca="false">10^AF54</f>
        <v>1.25892541179416</v>
      </c>
      <c r="AH54" s="39" t="n">
        <f aca="false">AJ54-AI54*((Sheet1!M$19-Sheet1!M$20)*COS(RADIANS(38))+Sheet1!M$20)/2</f>
        <v>168.921686021458</v>
      </c>
      <c r="AI54" s="37" t="n">
        <f aca="false">(AM54-AM$50)/(AM$62-AM$50)*(AI$62-AI$50)+AI$50</f>
        <v>-0.192592834151456</v>
      </c>
      <c r="AJ54" s="39" t="n">
        <f aca="false">(AM54-AM$50)/(AM$62-AM$50)*(AJ$62-AJ$50)+AJ$50</f>
        <v>167.701791619071</v>
      </c>
      <c r="AK54" s="39" t="n">
        <f aca="false">8314.4621*AJ54/(Sheet1!M$21*Sheet1!M$12*9.80665)</f>
        <v>4931.70627562274</v>
      </c>
      <c r="AL54" s="39" t="n">
        <f aca="false">AL53-LN(AG54/AG53)*(AK53+AK54)/2</f>
        <v>64345.0096814573</v>
      </c>
      <c r="AM54" s="39" t="n">
        <f aca="false">Sheet1!M$10*10/Sheet1!M$11*1000*AL54/(Sheet1!M$10*10/Sheet1!M$11*1000-AL54)</f>
        <v>65004.7464383846</v>
      </c>
      <c r="AN54" s="41"/>
      <c r="AO54" s="37" t="n">
        <f aca="false">AO53+(AO$61-AO$51)/10</f>
        <v>-0.750885948660082</v>
      </c>
      <c r="AP54" s="40" t="n">
        <f aca="false">10^AO54</f>
        <v>0.177465546714606</v>
      </c>
      <c r="AQ54" s="39" t="n">
        <f aca="false">AS54-AR54*((Sheet1!R$19-Sheet1!R$20)*COS(RADIANS(38))+Sheet1!R$20)/2</f>
        <v>160.280147067547</v>
      </c>
      <c r="AR54" s="37" t="n">
        <f aca="false">(AV54-AV$51)/(AV$116-AV$51)*(AR$116-AR$51)+AR$51</f>
        <v>0.00567826655146979</v>
      </c>
      <c r="AS54" s="39" t="n">
        <f aca="false">(AV54-AV$51)/(AV$61-AV$51)*(AS$61-AS$51)+AS$51</f>
        <v>160.502226056885</v>
      </c>
      <c r="AT54" s="39" t="n">
        <f aca="false">8314.4621*AS54/(Sheet1!R$22*Sheet1!R$12*9.80665)</f>
        <v>2839.32622829254</v>
      </c>
      <c r="AU54" s="39" t="n">
        <f aca="false">AU53-LN(AP54/AP53)*(AT53+AT54)/2</f>
        <v>42900.2234195186</v>
      </c>
      <c r="AV54" s="39" t="n">
        <f aca="false">Sheet1!R$10*10/Sheet1!R$11*1000*AU54/(Sheet1!R$10*10/Sheet1!R$11*1000-AU54)</f>
        <v>43170.1958755134</v>
      </c>
    </row>
    <row r="55" customFormat="false" ht="14.4" hidden="false" customHeight="false" outlineLevel="0" collapsed="false">
      <c r="A55" s="31" t="s">
        <v>119</v>
      </c>
      <c r="B55" s="42" t="n">
        <v>0.72</v>
      </c>
      <c r="C55" s="38" t="n">
        <v>-0.75</v>
      </c>
      <c r="D55" s="38" t="n">
        <v>3.64836001098093</v>
      </c>
      <c r="E55" s="36" t="n">
        <f aca="false">IF(LOG(Sheet1!C$13*(11-Sheet1!C$11)^2/3.828E+026)&gt;C55,IF(LOG(Sheet1!C$13*(11-Sheet1!C$11)^2/3.828E+026)&lt;C54,(LOG(Sheet1!C$13*(11-Sheet1!C$11)^2/3.828E+026)-C55)/(C54-C55)*(B54-B55)+B55,0),0)</f>
        <v>0</v>
      </c>
      <c r="F55" s="37" t="n">
        <f aca="false">IF(LOG(Sheet1!C$13*(11-Sheet1!C$11)^2/3.828E+026)&gt;C55,IF(LOG(Sheet1!C$13*(11-Sheet1!C$11)^2/3.828E+026)&lt;C54,(LOG(Sheet1!C$13*(11-Sheet1!C$11)^2/3.828E+026)-C55)/(C54-C55)*(D54-D55)+D55,0),0)</f>
        <v>0</v>
      </c>
      <c r="G55" s="32" t="n">
        <f aca="false">IF(F55&gt;0,IF(F55&gt;(D54+D55)/2,A54,A55),0)</f>
        <v>0</v>
      </c>
      <c r="H55" s="32"/>
      <c r="I55" s="32"/>
      <c r="J55" s="37" t="n">
        <f aca="false">J54-0.1</f>
        <v>-0.700000000000001</v>
      </c>
      <c r="K55" s="40" t="n">
        <f aca="false">10^J55</f>
        <v>0.199526231496888</v>
      </c>
      <c r="L55" s="39" t="n">
        <f aca="false">(O55-O$53)/(O$68-O$53)*(L$68-L$53)+L$53</f>
        <v>6549.3633267943</v>
      </c>
      <c r="M55" s="39" t="n">
        <f aca="false">8314.4621*L55/(Sheet1!C$16*Sheet1!C$12*9.80665)</f>
        <v>153979.447511318</v>
      </c>
      <c r="N55" s="39" t="n">
        <f aca="false">N54-LN(K55/K54)*(M54+M55)/2</f>
        <v>1334678.50536833</v>
      </c>
      <c r="O55" s="39" t="n">
        <f aca="false">Sheet1!C$10*10/Sheet1!C$11*1000*N55/(Sheet1!C$10*10/Sheet1!C$11*1000-N55)</f>
        <v>1337218.36107277</v>
      </c>
      <c r="Q55" s="37" t="n">
        <f aca="false">Q54-0.1</f>
        <v>3.40000000000002</v>
      </c>
      <c r="R55" s="40" t="n">
        <f aca="false">10^Q55</f>
        <v>2511.88643150967</v>
      </c>
      <c r="S55" s="39" t="n">
        <f aca="false">U55-T55*((Sheet1!H$18-Sheet1!H$19)*COS(RADIANS(38))+Sheet1!H$19)/2</f>
        <v>141.413035129904</v>
      </c>
      <c r="T55" s="37" t="n">
        <f aca="false">(X55-X$54)/(X$100-X$54)*(T$100-T$54)+T$54</f>
        <v>1.01535427690856</v>
      </c>
      <c r="U55" s="39" t="n">
        <f aca="false">(X55-X$54)/(X$77-X$54)*(U$77-U$54)+U$54</f>
        <v>144.028609584661</v>
      </c>
      <c r="V55" s="39" t="n">
        <f aca="false">8314.4621*U55/(Sheet1!H$20*Sheet1!H$12*9.80665)</f>
        <v>28586.02699301</v>
      </c>
      <c r="W55" s="39" t="n">
        <f aca="false">W54-LN(R55/R54)*(V54+V55)/2</f>
        <v>1018168.41382742</v>
      </c>
      <c r="X55" s="39" t="n">
        <f aca="false">Sheet1!H$10*10/Sheet1!H$11*1000*W55/(Sheet1!H$10*10/Sheet1!H$11*1000-W55)</f>
        <v>1035970.7317347</v>
      </c>
      <c r="Y55" s="37"/>
      <c r="Z55" s="39"/>
      <c r="AF55" s="37" t="n">
        <f aca="false">AF54-0.1</f>
        <v>-1.97064586870965E-015</v>
      </c>
      <c r="AG55" s="40" t="n">
        <f aca="false">10^AF55</f>
        <v>0.999999999999995</v>
      </c>
      <c r="AH55" s="39" t="n">
        <f aca="false">AJ55-AI55*((Sheet1!M$19-Sheet1!M$20)*COS(RADIANS(38))+Sheet1!M$20)/2</f>
        <v>167.005188873961</v>
      </c>
      <c r="AI55" s="37" t="n">
        <f aca="false">(AM55-AM$50)/(AM$62-AM$50)*(AI$62-AI$50)+AI$50</f>
        <v>-0.141921259529142</v>
      </c>
      <c r="AJ55" s="39" t="n">
        <f aca="false">(AM55-AM$50)/(AM$62-AM$50)*(AJ$62-AJ$50)+AJ$50</f>
        <v>166.106251222193</v>
      </c>
      <c r="AK55" s="39" t="n">
        <f aca="false">8314.4621*AJ55/(Sheet1!M$21*Sheet1!M$12*9.80665)</f>
        <v>4884.78527071086</v>
      </c>
      <c r="AL55" s="39" t="n">
        <f aca="false">AL54-LN(AG55/AG54)*(AK54+AK55)/2</f>
        <v>65475.1750364618</v>
      </c>
      <c r="AM55" s="39" t="n">
        <f aca="false">Sheet1!M$10*10/Sheet1!M$11*1000*AL55/(Sheet1!M$10*10/Sheet1!M$11*1000-AL55)</f>
        <v>66158.4137940805</v>
      </c>
      <c r="AN55" s="41"/>
      <c r="AO55" s="37" t="n">
        <f aca="false">AO54+(AO$61-AO$51)/10</f>
        <v>-0.857902241708642</v>
      </c>
      <c r="AP55" s="40" t="n">
        <f aca="false">10^AO55</f>
        <v>0.138706801828481</v>
      </c>
      <c r="AQ55" s="39" t="n">
        <f aca="false">AS55-AR55*((Sheet1!R$19-Sheet1!R$20)*COS(RADIANS(38))+Sheet1!R$20)/2</f>
        <v>159.529778870983</v>
      </c>
      <c r="AR55" s="37" t="n">
        <f aca="false">(AV55-AV$51)/(AV$116-AV$51)*(AR$116-AR$51)+AR$51</f>
        <v>0.00755585590654481</v>
      </c>
      <c r="AS55" s="39" t="n">
        <f aca="false">(AV55-AV$51)/(AV$61-AV$51)*(AS$61-AS$51)+AS$51</f>
        <v>159.825291036201</v>
      </c>
      <c r="AT55" s="39" t="n">
        <f aca="false">8314.4621*AS55/(Sheet1!R$22*Sheet1!R$12*9.80665)</f>
        <v>2827.35107127261</v>
      </c>
      <c r="AU55" s="39" t="n">
        <f aca="false">AU54-LN(AP55/AP54)*(AT54+AT55)/2</f>
        <v>43598.3980726299</v>
      </c>
      <c r="AV55" s="39" t="n">
        <f aca="false">Sheet1!R$10*10/Sheet1!R$11*1000*AU55/(Sheet1!R$10*10/Sheet1!R$11*1000-AU55)</f>
        <v>43877.2578619302</v>
      </c>
    </row>
    <row r="56" customFormat="false" ht="14.4" hidden="false" customHeight="false" outlineLevel="0" collapsed="false">
      <c r="A56" s="31" t="s">
        <v>120</v>
      </c>
      <c r="B56" s="42" t="n">
        <v>0.7</v>
      </c>
      <c r="C56" s="38" t="n">
        <v>-0.92</v>
      </c>
      <c r="D56" s="38" t="n">
        <v>3.6232492903979</v>
      </c>
      <c r="E56" s="36" t="n">
        <f aca="false">IF(LOG(Sheet1!C$13*(11-Sheet1!C$11)^2/3.828E+026)&gt;C56,IF(LOG(Sheet1!C$13*(11-Sheet1!C$11)^2/3.828E+026)&lt;C55,(LOG(Sheet1!C$13*(11-Sheet1!C$11)^2/3.828E+026)-C56)/(C55-C56)*(B55-B56)+B56,0),0)</f>
        <v>0</v>
      </c>
      <c r="F56" s="37" t="n">
        <f aca="false">IF(LOG(Sheet1!C$13*(11-Sheet1!C$11)^2/3.828E+026)&gt;C56,IF(LOG(Sheet1!C$13*(11-Sheet1!C$11)^2/3.828E+026)&lt;C55,(LOG(Sheet1!C$13*(11-Sheet1!C$11)^2/3.828E+026)-C56)/(C55-C56)*(D55-D56)+D56,0),0)</f>
        <v>0</v>
      </c>
      <c r="G56" s="32" t="n">
        <f aca="false">IF(F56&gt;0,IF(F56&gt;(D55+D56)/2,A55,A56),0)</f>
        <v>0</v>
      </c>
      <c r="H56" s="32"/>
      <c r="I56" s="32"/>
      <c r="J56" s="37" t="n">
        <f aca="false">J55-0.1</f>
        <v>-0.800000000000001</v>
      </c>
      <c r="K56" s="40" t="n">
        <f aca="false">10^J56</f>
        <v>0.158489319246111</v>
      </c>
      <c r="L56" s="39" t="n">
        <f aca="false">(O56-O$53)/(O$68-O$53)*(L$68-L$53)+L$53</f>
        <v>6575.64521762568</v>
      </c>
      <c r="M56" s="39" t="n">
        <f aca="false">8314.4621*L56/(Sheet1!C$16*Sheet1!C$12*9.80665)</f>
        <v>154597.35047804</v>
      </c>
      <c r="N56" s="39" t="n">
        <f aca="false">N55-LN(K56/K55)*(M55+M56)/2</f>
        <v>1370204.72212303</v>
      </c>
      <c r="O56" s="39" t="n">
        <f aca="false">Sheet1!C$10*10/Sheet1!C$11*1000*N56/(Sheet1!C$10*10/Sheet1!C$11*1000-N56)</f>
        <v>1372881.72371796</v>
      </c>
      <c r="Q56" s="37" t="n">
        <f aca="false">Q55-0.1</f>
        <v>3.30000000000002</v>
      </c>
      <c r="R56" s="40" t="n">
        <f aca="false">10^Q56</f>
        <v>1995.26231496895</v>
      </c>
      <c r="S56" s="39" t="n">
        <f aca="false">U56-T56*((Sheet1!H$18-Sheet1!H$19)*COS(RADIANS(38))+Sheet1!H$19)/2</f>
        <v>144.27952658848</v>
      </c>
      <c r="T56" s="37" t="n">
        <f aca="false">(X56-X$54)/(X$100-X$54)*(T$100-T$54)+T$54</f>
        <v>1.03102204630427</v>
      </c>
      <c r="U56" s="39" t="n">
        <f aca="false">(X56-X$54)/(X$77-X$54)*(U$77-U$54)+U$54</f>
        <v>146.935461554171</v>
      </c>
      <c r="V56" s="39" t="n">
        <f aca="false">8314.4621*U56/(Sheet1!H$20*Sheet1!H$12*9.80665)</f>
        <v>29162.9634024129</v>
      </c>
      <c r="W56" s="39" t="n">
        <f aca="false">W55-LN(R56/R55)*(V55+V56)/2</f>
        <v>1024817.01204842</v>
      </c>
      <c r="X56" s="39" t="n">
        <f aca="false">Sheet1!H$10*10/Sheet1!H$11*1000*W56/(Sheet1!H$10*10/Sheet1!H$11*1000-W56)</f>
        <v>1042854.64530259</v>
      </c>
      <c r="Y56" s="37"/>
      <c r="Z56" s="39"/>
      <c r="AF56" s="37" t="n">
        <f aca="false">AF55-0.1</f>
        <v>-0.100000000000002</v>
      </c>
      <c r="AG56" s="40" t="n">
        <f aca="false">10^AF56</f>
        <v>0.794328234724278</v>
      </c>
      <c r="AH56" s="39" t="n">
        <f aca="false">AJ56-AI56*((Sheet1!M$19-Sheet1!M$20)*COS(RADIANS(38))+Sheet1!M$20)/2</f>
        <v>165.10624810261</v>
      </c>
      <c r="AI56" s="37" t="n">
        <f aca="false">(AM56-AM$50)/(AM$62-AM$50)*(AI$62-AI$50)+AI$50</f>
        <v>-0.0917138702246069</v>
      </c>
      <c r="AJ56" s="39" t="n">
        <f aca="false">(AM56-AM$50)/(AM$62-AM$50)*(AJ$62-AJ$50)+AJ$50</f>
        <v>164.525327024206</v>
      </c>
      <c r="AK56" s="39" t="n">
        <f aca="false">8314.4621*AJ56/(Sheet1!M$21*Sheet1!M$12*9.80665)</f>
        <v>4838.29409304826</v>
      </c>
      <c r="AL56" s="39" t="n">
        <f aca="false">AL55-LN(AG56/AG55)*(AK55+AK56)/2</f>
        <v>66594.5859165113</v>
      </c>
      <c r="AM56" s="39" t="n">
        <f aca="false">Sheet1!M$10*10/Sheet1!M$11*1000*AL56/(Sheet1!M$10*10/Sheet1!M$11*1000-AL56)</f>
        <v>67301.5127896631</v>
      </c>
      <c r="AN56" s="41"/>
      <c r="AO56" s="37" t="n">
        <f aca="false">AO55+(AO$61-AO$51)/10</f>
        <v>-0.964918534757201</v>
      </c>
      <c r="AP56" s="40" t="n">
        <f aca="false">10^AO56</f>
        <v>0.108413025681125</v>
      </c>
      <c r="AQ56" s="39" t="n">
        <f aca="false">AS56-AR56*((Sheet1!R$19-Sheet1!R$20)*COS(RADIANS(38))+Sheet1!R$20)/2</f>
        <v>158.782422995921</v>
      </c>
      <c r="AR56" s="37" t="n">
        <f aca="false">(AV56-AV$51)/(AV$116-AV$51)*(AR$116-AR$51)+AR$51</f>
        <v>0.00942590776060091</v>
      </c>
      <c r="AS56" s="39" t="n">
        <f aca="false">(AV56-AV$51)/(AV$61-AV$51)*(AS$61-AS$51)+AS$51</f>
        <v>159.151073542719</v>
      </c>
      <c r="AT56" s="39" t="n">
        <f aca="false">8314.4621*AS56/(Sheet1!R$22*Sheet1!R$12*9.80665)</f>
        <v>2815.42398801748</v>
      </c>
      <c r="AU56" s="39" t="n">
        <f aca="false">AU55-LN(AP56/AP55)*(AT55+AT56)/2</f>
        <v>44293.6278009766</v>
      </c>
      <c r="AV56" s="39" t="n">
        <f aca="false">Sheet1!R$10*10/Sheet1!R$11*1000*AU56/(Sheet1!R$10*10/Sheet1!R$11*1000-AU56)</f>
        <v>44581.4813786738</v>
      </c>
    </row>
    <row r="57" customFormat="false" ht="14.4" hidden="false" customHeight="false" outlineLevel="0" collapsed="false">
      <c r="A57" s="31" t="s">
        <v>121</v>
      </c>
      <c r="B57" s="42" t="n">
        <v>0.64</v>
      </c>
      <c r="C57" s="38" t="n">
        <v>-1.04</v>
      </c>
      <c r="D57" s="38" t="n">
        <v>3.60745502321467</v>
      </c>
      <c r="E57" s="36" t="n">
        <f aca="false">IF(LOG(Sheet1!C$13*(11-Sheet1!C$11)^2/3.828E+026)&gt;C57,IF(LOG(Sheet1!C$13*(11-Sheet1!C$11)^2/3.828E+026)&lt;C56,(LOG(Sheet1!C$13*(11-Sheet1!C$11)^2/3.828E+026)-C57)/(C56-C57)*(B56-B57)+B57,0),0)</f>
        <v>0</v>
      </c>
      <c r="F57" s="37" t="n">
        <f aca="false">IF(LOG(Sheet1!C$13*(11-Sheet1!C$11)^2/3.828E+026)&gt;C57,IF(LOG(Sheet1!C$13*(11-Sheet1!C$11)^2/3.828E+026)&lt;C56,(LOG(Sheet1!C$13*(11-Sheet1!C$11)^2/3.828E+026)-C57)/(C56-C57)*(D56-D57)+D57,0),0)</f>
        <v>0</v>
      </c>
      <c r="G57" s="32" t="n">
        <f aca="false">IF(F57&gt;0,IF(F57&gt;(D56+D57)/2,A56,A57),0)</f>
        <v>0</v>
      </c>
      <c r="H57" s="32"/>
      <c r="I57" s="32"/>
      <c r="J57" s="37" t="n">
        <f aca="false">J56-0.1</f>
        <v>-0.900000000000001</v>
      </c>
      <c r="K57" s="40" t="n">
        <f aca="false">10^J57</f>
        <v>0.125892541179417</v>
      </c>
      <c r="L57" s="39" t="n">
        <f aca="false">(O57-O$53)/(O$68-O$53)*(L$68-L$53)+L$53</f>
        <v>6602.03525906491</v>
      </c>
      <c r="M57" s="39" t="n">
        <f aca="false">8314.4621*L57/(Sheet1!C$16*Sheet1!C$12*9.80665)</f>
        <v>155217.796130213</v>
      </c>
      <c r="N57" s="39" t="n">
        <f aca="false">N56-LN(K57/K56)*(M56+M57)/2</f>
        <v>1405873.50903123</v>
      </c>
      <c r="O57" s="39" t="n">
        <f aca="false">Sheet1!C$10*10/Sheet1!C$11*1000*N57/(Sheet1!C$10*10/Sheet1!C$11*1000-N57)</f>
        <v>1408691.84195138</v>
      </c>
      <c r="Q57" s="37" t="n">
        <f aca="false">Q56-0.1</f>
        <v>3.20000000000002</v>
      </c>
      <c r="R57" s="40" t="n">
        <f aca="false">10^Q57</f>
        <v>1584.89319246117</v>
      </c>
      <c r="S57" s="39" t="n">
        <f aca="false">U57-T57*((Sheet1!H$18-Sheet1!H$19)*COS(RADIANS(38))+Sheet1!H$19)/2</f>
        <v>147.20836102518</v>
      </c>
      <c r="T57" s="37" t="n">
        <f aca="false">(X57-X$54)/(X$100-X$54)*(T$100-T$54)+T$54</f>
        <v>1.04700995987098</v>
      </c>
      <c r="U57" s="39" t="n">
        <f aca="false">(X57-X$54)/(X$77-X$54)*(U$77-U$54)+U$54</f>
        <v>149.905481200074</v>
      </c>
      <c r="V57" s="39" t="n">
        <f aca="false">8314.4621*U57/(Sheet1!H$20*Sheet1!H$12*9.80665)</f>
        <v>29752.4369938917</v>
      </c>
      <c r="W57" s="39" t="n">
        <f aca="false">W56-LN(R57/R56)*(V56+V57)/2</f>
        <v>1031599.89818343</v>
      </c>
      <c r="X57" s="39" t="n">
        <f aca="false">Sheet1!H$10*10/Sheet1!H$11*1000*W57/(Sheet1!H$10*10/Sheet1!H$11*1000-W57)</f>
        <v>1049879.21991461</v>
      </c>
      <c r="Y57" s="37"/>
      <c r="Z57" s="39"/>
      <c r="AF57" s="37" t="n">
        <f aca="false">AF56-0.1</f>
        <v>-0.200000000000002</v>
      </c>
      <c r="AG57" s="40" t="n">
        <f aca="false">10^AF57</f>
        <v>0.63095734448019</v>
      </c>
      <c r="AH57" s="39" t="n">
        <f aca="false">AJ57-AI57*((Sheet1!M$19-Sheet1!M$20)*COS(RADIANS(38))+Sheet1!M$20)/2</f>
        <v>163.224715598842</v>
      </c>
      <c r="AI57" s="37" t="n">
        <f aca="false">(AM57-AM$50)/(AM$62-AM$50)*(AI$62-AI$50)+AI$50</f>
        <v>-0.0419667503684413</v>
      </c>
      <c r="AJ57" s="39" t="n">
        <f aca="false">(AM57-AM$50)/(AM$62-AM$50)*(AJ$62-AJ$50)+AJ$50</f>
        <v>162.958895719892</v>
      </c>
      <c r="AK57" s="39" t="n">
        <f aca="false">8314.4621*AJ57/(Sheet1!M$21*Sheet1!M$12*9.80665)</f>
        <v>4792.22911652515</v>
      </c>
      <c r="AL57" s="39" t="n">
        <f aca="false">AL56-LN(AG57/AG56)*(AK56+AK57)/2</f>
        <v>67703.3408755162</v>
      </c>
      <c r="AM57" s="39" t="n">
        <f aca="false">Sheet1!M$10*10/Sheet1!M$11*1000*AL57/(Sheet1!M$10*10/Sheet1!M$11*1000-AL57)</f>
        <v>68434.1325798655</v>
      </c>
      <c r="AN57" s="41"/>
      <c r="AO57" s="37" t="n">
        <f aca="false">AO56+(AO$61-AO$51)/10</f>
        <v>-1.07193482780576</v>
      </c>
      <c r="AP57" s="40" t="n">
        <f aca="false">10^AO57</f>
        <v>0.0847354562458302</v>
      </c>
      <c r="AQ57" s="39" t="n">
        <f aca="false">AS57-AR57*((Sheet1!R$19-Sheet1!R$20)*COS(RADIANS(38))+Sheet1!R$20)/2</f>
        <v>158.038068618068</v>
      </c>
      <c r="AR57" s="37" t="n">
        <f aca="false">(AV57-AV$51)/(AV$116-AV$51)*(AR$116-AR$51)+AR$51</f>
        <v>0.0112884491989257</v>
      </c>
      <c r="AS57" s="39" t="n">
        <f aca="false">(AV57-AV$51)/(AV$61-AV$51)*(AS$61-AS$51)+AS$51</f>
        <v>158.479563811463</v>
      </c>
      <c r="AT57" s="39" t="n">
        <f aca="false">8314.4621*AS57/(Sheet1!R$22*Sheet1!R$12*9.80665)</f>
        <v>2803.54480578213</v>
      </c>
      <c r="AU57" s="39" t="n">
        <f aca="false">AU56-LN(AP57/AP56)*(AT56+AT57)/2</f>
        <v>44985.9244293297</v>
      </c>
      <c r="AV57" s="39" t="n">
        <f aca="false">Sheet1!R$10*10/Sheet1!R$11*1000*AU57/(Sheet1!R$10*10/Sheet1!R$11*1000-AU57)</f>
        <v>45282.8766255131</v>
      </c>
    </row>
    <row r="58" customFormat="false" ht="14.4" hidden="false" customHeight="false" outlineLevel="0" collapsed="false">
      <c r="A58" s="31" t="s">
        <v>122</v>
      </c>
      <c r="B58" s="42" t="n">
        <v>0.63</v>
      </c>
      <c r="C58" s="38" t="n">
        <v>-1.08</v>
      </c>
      <c r="D58" s="38" t="n">
        <v>3.59879050676312</v>
      </c>
      <c r="E58" s="36" t="n">
        <f aca="false">IF(LOG(Sheet1!C$13*(11-Sheet1!C$11)^2/3.828E+026)&gt;C58,IF(LOG(Sheet1!C$13*(11-Sheet1!C$11)^2/3.828E+026)&lt;C57,(LOG(Sheet1!C$13*(11-Sheet1!C$11)^2/3.828E+026)-C58)/(C57-C58)*(B57-B58)+B58,0),0)</f>
        <v>0</v>
      </c>
      <c r="F58" s="37" t="n">
        <f aca="false">IF(LOG(Sheet1!C$13*(11-Sheet1!C$11)^2/3.828E+026)&gt;C58,IF(LOG(Sheet1!C$13*(11-Sheet1!C$11)^2/3.828E+026)&lt;C57,(LOG(Sheet1!C$13*(11-Sheet1!C$11)^2/3.828E+026)-C58)/(C57-C58)*(D57-D58)+D58,0),0)</f>
        <v>0</v>
      </c>
      <c r="G58" s="32" t="n">
        <f aca="false">IF(F58&gt;0,IF(F58&gt;(D57+D58)/2,A57,A58),0)</f>
        <v>0</v>
      </c>
      <c r="H58" s="32"/>
      <c r="I58" s="32"/>
      <c r="J58" s="37" t="n">
        <f aca="false">J57-0.1</f>
        <v>-1</v>
      </c>
      <c r="K58" s="40" t="n">
        <f aca="false">10^J58</f>
        <v>0.0999999999999999</v>
      </c>
      <c r="L58" s="39" t="n">
        <f aca="false">(O58-O$53)/(O$68-O$53)*(L$68-L$53)+L$53</f>
        <v>6628.53391788358</v>
      </c>
      <c r="M58" s="39" t="n">
        <f aca="false">8314.4621*L58/(Sheet1!C$16*Sheet1!C$12*9.80665)</f>
        <v>155840.795441917</v>
      </c>
      <c r="N58" s="39" t="n">
        <f aca="false">N57-LN(K58/K57)*(M57+M58)/2</f>
        <v>1441685.45283132</v>
      </c>
      <c r="O58" s="39" t="n">
        <f aca="false">Sheet1!C$10*10/Sheet1!C$11*1000*N58/(Sheet1!C$10*10/Sheet1!C$11*1000-N58)</f>
        <v>1444649.34916137</v>
      </c>
      <c r="Q58" s="37" t="n">
        <f aca="false">Q57-0.1</f>
        <v>3.10000000000002</v>
      </c>
      <c r="R58" s="40" t="n">
        <f aca="false">10^Q58</f>
        <v>1258.92541179421</v>
      </c>
      <c r="S58" s="39" t="n">
        <f aca="false">U58-T58*((Sheet1!H$18-Sheet1!H$19)*COS(RADIANS(38))+Sheet1!H$19)/2</f>
        <v>150.195162075258</v>
      </c>
      <c r="T58" s="37" t="n">
        <f aca="false">(X58-X$54)/(X$100-X$54)*(T$100-T$54)+T$54</f>
        <v>1.06332481217189</v>
      </c>
      <c r="U58" s="39" t="n">
        <f aca="false">(X58-X$54)/(X$77-X$54)*(U$77-U$54)+U$54</f>
        <v>152.934309660567</v>
      </c>
      <c r="V58" s="39" t="n">
        <f aca="false">8314.4621*U58/(Sheet1!H$20*Sheet1!H$12*9.80665)</f>
        <v>30353.582643902</v>
      </c>
      <c r="W58" s="39" t="n">
        <f aca="false">W57-LN(R58/R57)*(V57+V58)/2</f>
        <v>1038519.85942429</v>
      </c>
      <c r="X58" s="39" t="n">
        <f aca="false">Sheet1!H$10*10/Sheet1!H$11*1000*W58/(Sheet1!H$10*10/Sheet1!H$11*1000-W58)</f>
        <v>1057047.44088313</v>
      </c>
      <c r="Y58" s="37"/>
      <c r="Z58" s="39"/>
      <c r="AF58" s="37" t="n">
        <f aca="false">AF57-0.1</f>
        <v>-0.300000000000002</v>
      </c>
      <c r="AG58" s="40" t="n">
        <f aca="false">10^AF58</f>
        <v>0.50118723362727</v>
      </c>
      <c r="AH58" s="39" t="n">
        <f aca="false">AJ58-AI58*((Sheet1!M$19-Sheet1!M$20)*COS(RADIANS(38))+Sheet1!M$20)/2</f>
        <v>161.360444265357</v>
      </c>
      <c r="AI58" s="37" t="n">
        <f aca="false">(AM58-AM$50)/(AM$62-AM$50)*(AI$62-AI$50)+AI$50</f>
        <v>0.0073239891720262</v>
      </c>
      <c r="AJ58" s="39" t="n">
        <f aca="false">(AM58-AM$50)/(AM$62-AM$50)*(AJ$62-AJ$50)+AJ$50</f>
        <v>161.406834845949</v>
      </c>
      <c r="AK58" s="39" t="n">
        <f aca="false">8314.4621*AJ58/(Sheet1!M$21*Sheet1!M$12*9.80665)</f>
        <v>4746.58673979039</v>
      </c>
      <c r="AL58" s="39" t="n">
        <f aca="false">AL57-LN(AG58/AG57)*(AK57+AK58)/2</f>
        <v>68801.5376352945</v>
      </c>
      <c r="AM58" s="39" t="n">
        <f aca="false">Sheet1!M$10*10/Sheet1!M$11*1000*AL58/(Sheet1!M$10*10/Sheet1!M$11*1000-AL58)</f>
        <v>69556.3617106908</v>
      </c>
      <c r="AN58" s="41"/>
      <c r="AO58" s="37" t="n">
        <f aca="false">AO57+(AO$61-AO$51)/10</f>
        <v>-1.17895112085432</v>
      </c>
      <c r="AP58" s="40" t="n">
        <f aca="false">10^AO58</f>
        <v>0.0662291039298894</v>
      </c>
      <c r="AQ58" s="39" t="n">
        <f aca="false">AS58-AR58*((Sheet1!R$19-Sheet1!R$20)*COS(RADIANS(38))+Sheet1!R$20)/2</f>
        <v>157.296704941517</v>
      </c>
      <c r="AR58" s="37" t="n">
        <f aca="false">(AV58-AV$51)/(AV$116-AV$51)*(AR$116-AR$51)+AR$51</f>
        <v>0.0131435072357823</v>
      </c>
      <c r="AS58" s="39" t="n">
        <f aca="false">(AV58-AV$51)/(AV$61-AV$51)*(AS$61-AS$51)+AS$51</f>
        <v>157.810752103062</v>
      </c>
      <c r="AT58" s="39" t="n">
        <f aca="false">8314.4621*AS58/(Sheet1!R$22*Sheet1!R$12*9.80665)</f>
        <v>2791.71335227457</v>
      </c>
      <c r="AU58" s="39" t="n">
        <f aca="false">AU57-LN(AP58/AP57)*(AT57+AT58)/2</f>
        <v>45675.2997399494</v>
      </c>
      <c r="AV58" s="39" t="n">
        <f aca="false">Sheet1!R$10*10/Sheet1!R$11*1000*AU58/(Sheet1!R$10*10/Sheet1!R$11*1000-AU58)</f>
        <v>45981.4537754702</v>
      </c>
    </row>
    <row r="59" customFormat="false" ht="14.4" hidden="false" customHeight="false" outlineLevel="0" collapsed="false">
      <c r="A59" s="31" t="s">
        <v>123</v>
      </c>
      <c r="B59" s="42" t="n">
        <v>0.61</v>
      </c>
      <c r="C59" s="38" t="n">
        <v>-1.22</v>
      </c>
      <c r="D59" s="38" t="n">
        <v>3.58883172559421</v>
      </c>
      <c r="E59" s="36" t="n">
        <f aca="false">IF(LOG(Sheet1!C$13*(11-Sheet1!C$11)^2/3.828E+026)&gt;C59,IF(LOG(Sheet1!C$13*(11-Sheet1!C$11)^2/3.828E+026)&lt;C58,(LOG(Sheet1!C$13*(11-Sheet1!C$11)^2/3.828E+026)-C59)/(C58-C59)*(B58-B59)+B59,0),0)</f>
        <v>0</v>
      </c>
      <c r="F59" s="37" t="n">
        <f aca="false">IF(LOG(Sheet1!C$13*(11-Sheet1!C$11)^2/3.828E+026)&gt;C59,IF(LOG(Sheet1!C$13*(11-Sheet1!C$11)^2/3.828E+026)&lt;C58,(LOG(Sheet1!C$13*(11-Sheet1!C$11)^2/3.828E+026)-C59)/(C58-C59)*(D58-D59)+D59,0),0)</f>
        <v>0</v>
      </c>
      <c r="G59" s="32" t="n">
        <f aca="false">IF(F59&gt;0,IF(F59&gt;(D58+D59)/2,A58,A59),0)</f>
        <v>0</v>
      </c>
      <c r="H59" s="32"/>
      <c r="I59" s="32"/>
      <c r="J59" s="37" t="n">
        <f aca="false">J58-0.1</f>
        <v>-1.1</v>
      </c>
      <c r="K59" s="40" t="n">
        <f aca="false">10^J59</f>
        <v>0.079432823472428</v>
      </c>
      <c r="L59" s="39" t="n">
        <f aca="false">(O59-O$53)/(O$68-O$53)*(L$68-L$53)+L$53</f>
        <v>6655.14166304436</v>
      </c>
      <c r="M59" s="39" t="n">
        <f aca="false">8314.4621*L59/(Sheet1!C$16*Sheet1!C$12*9.80665)</f>
        <v>156466.359438743</v>
      </c>
      <c r="N59" s="39" t="n">
        <f aca="false">N58-LN(K59/K58)*(M58+M59)/2</f>
        <v>1477641.1427945</v>
      </c>
      <c r="O59" s="39" t="n">
        <f aca="false">Sheet1!C$10*10/Sheet1!C$11*1000*N59/(Sheet1!C$10*10/Sheet1!C$11*1000-N59)</f>
        <v>1480754.88170955</v>
      </c>
      <c r="Q59" s="37" t="n">
        <f aca="false">Q58-0.1</f>
        <v>3.00000000000001</v>
      </c>
      <c r="R59" s="40" t="n">
        <f aca="false">10^Q59</f>
        <v>1000.00000000003</v>
      </c>
      <c r="S59" s="39" t="n">
        <f aca="false">U59-T59*((Sheet1!H$18-Sheet1!H$19)*COS(RADIANS(38))+Sheet1!H$19)/2</f>
        <v>153.237957096572</v>
      </c>
      <c r="T59" s="37" t="n">
        <f aca="false">(X59-X$54)/(X$100-X$54)*(T$100-T$54)+T$54</f>
        <v>1.07997306836139</v>
      </c>
      <c r="U59" s="39" t="n">
        <f aca="false">(X59-X$54)/(X$77-X$54)*(U$77-U$54)+U$54</f>
        <v>156.019990947882</v>
      </c>
      <c r="V59" s="39" t="n">
        <f aca="false">8314.4621*U59/(Sheet1!H$20*Sheet1!H$12*9.80665)</f>
        <v>30966.0121384683</v>
      </c>
      <c r="W59" s="39" t="n">
        <f aca="false">W58-LN(R59/R58)*(V58+V59)/2</f>
        <v>1045579.53866701</v>
      </c>
      <c r="X59" s="39" t="n">
        <f aca="false">Sheet1!H$10*10/Sheet1!H$11*1000*W59/(Sheet1!H$10*10/Sheet1!H$11*1000-W59)</f>
        <v>1064362.1487889</v>
      </c>
      <c r="Y59" s="37"/>
      <c r="Z59" s="39"/>
      <c r="AF59" s="37" t="n">
        <f aca="false">AF58-0.1</f>
        <v>-0.400000000000002</v>
      </c>
      <c r="AG59" s="40" t="n">
        <f aca="false">10^AF59</f>
        <v>0.398107170553495</v>
      </c>
      <c r="AH59" s="39" t="n">
        <f aca="false">AJ59-AI59*((Sheet1!M$19-Sheet1!M$20)*COS(RADIANS(38))+Sheet1!M$20)/2</f>
        <v>159.51328801378</v>
      </c>
      <c r="AI59" s="37" t="n">
        <f aca="false">(AM59-AM$50)/(AM$62-AM$50)*(AI$62-AI$50)+AI$50</f>
        <v>0.0561622108545659</v>
      </c>
      <c r="AJ59" s="39" t="n">
        <f aca="false">(AM59-AM$50)/(AM$62-AM$50)*(AJ$62-AJ$50)+AJ$50</f>
        <v>159.869022779037</v>
      </c>
      <c r="AK59" s="39" t="n">
        <f aca="false">8314.4621*AJ59/(Sheet1!M$21*Sheet1!M$12*9.80665)</f>
        <v>4701.36338619412</v>
      </c>
      <c r="AL59" s="39" t="n">
        <f aca="false">AL58-LN(AG59/AG58)*(AK58+AK59)/2</f>
        <v>69889.2730912667</v>
      </c>
      <c r="AM59" s="39" t="n">
        <f aca="false">Sheet1!M$10*10/Sheet1!M$11*1000*AL59/(Sheet1!M$10*10/Sheet1!M$11*1000-AL59)</f>
        <v>70668.2881208201</v>
      </c>
      <c r="AN59" s="41"/>
      <c r="AO59" s="37" t="n">
        <f aca="false">AO58+(AO$61-AO$51)/10</f>
        <v>-1.28596741390288</v>
      </c>
      <c r="AP59" s="40" t="n">
        <f aca="false">10^AO59</f>
        <v>0.0517645670618778</v>
      </c>
      <c r="AQ59" s="39" t="n">
        <f aca="false">AS59-AR59*((Sheet1!R$19-Sheet1!R$20)*COS(RADIANS(38))+Sheet1!R$20)/2</f>
        <v>156.558321198759</v>
      </c>
      <c r="AR59" s="37" t="n">
        <f aca="false">(AV59-AV$51)/(AV$116-AV$51)*(AR$116-AR$51)+AR$51</f>
        <v>0.0149911088143694</v>
      </c>
      <c r="AS59" s="39" t="n">
        <f aca="false">(AV59-AV$51)/(AV$61-AV$51)*(AS$61-AS$51)+AS$51</f>
        <v>157.144628703765</v>
      </c>
      <c r="AT59" s="39" t="n">
        <f aca="false">8314.4621*AS59/(Sheet1!R$22*Sheet1!R$12*9.80665)</f>
        <v>2779.929455656</v>
      </c>
      <c r="AU59" s="39" t="n">
        <f aca="false">AU58-LN(AP59/AP58)*(AT58+AT59)/2</f>
        <v>46361.7654726964</v>
      </c>
      <c r="AV59" s="39" t="n">
        <f aca="false">Sheet1!R$10*10/Sheet1!R$11*1000*AU59/(Sheet1!R$10*10/Sheet1!R$11*1000-AU59)</f>
        <v>46677.2229748064</v>
      </c>
    </row>
    <row r="60" customFormat="false" ht="14.4" hidden="false" customHeight="false" outlineLevel="0" collapsed="false">
      <c r="A60" s="31" t="s">
        <v>124</v>
      </c>
      <c r="B60" s="42" t="n">
        <v>0.6</v>
      </c>
      <c r="C60" s="38" t="n">
        <v>-1.26</v>
      </c>
      <c r="D60" s="38" t="n">
        <v>3.5854607295085</v>
      </c>
      <c r="E60" s="36" t="n">
        <f aca="false">IF(LOG(Sheet1!C$13*(11-Sheet1!C$11)^2/3.828E+026)&gt;C60,IF(LOG(Sheet1!C$13*(11-Sheet1!C$11)^2/3.828E+026)&lt;C59,(LOG(Sheet1!C$13*(11-Sheet1!C$11)^2/3.828E+026)-C60)/(C59-C60)*(B59-B60)+B60,0),0)</f>
        <v>0</v>
      </c>
      <c r="F60" s="37" t="n">
        <f aca="false">IF(LOG(Sheet1!C$13*(11-Sheet1!C$11)^2/3.828E+026)&gt;C60,IF(LOG(Sheet1!C$13*(11-Sheet1!C$11)^2/3.828E+026)&lt;C59,(LOG(Sheet1!C$13*(11-Sheet1!C$11)^2/3.828E+026)-C60)/(C59-C60)*(D59-D60)+D60,0),0)</f>
        <v>0</v>
      </c>
      <c r="G60" s="32" t="n">
        <f aca="false">IF(F60&gt;0,IF(F60&gt;(D59+D60)/2,A59,A60),0)</f>
        <v>0</v>
      </c>
      <c r="H60" s="32"/>
      <c r="I60" s="32"/>
      <c r="J60" s="37" t="n">
        <f aca="false">J59-0.1</f>
        <v>-1.2</v>
      </c>
      <c r="K60" s="40" t="n">
        <f aca="false">10^J60</f>
        <v>0.0630957344480192</v>
      </c>
      <c r="L60" s="39" t="n">
        <f aca="false">(O60-O$53)/(O$68-O$53)*(L$68-L$53)+L$53</f>
        <v>6681.85896571279</v>
      </c>
      <c r="M60" s="39" t="n">
        <f aca="false">8314.4621*L60/(Sheet1!C$16*Sheet1!C$12*9.80665)</f>
        <v>157094.499198077</v>
      </c>
      <c r="N60" s="39" t="n">
        <f aca="false">N59-LN(K60/K59)*(M59+M60)/2</f>
        <v>1513741.17073667</v>
      </c>
      <c r="O60" s="39" t="n">
        <f aca="false">Sheet1!C$10*10/Sheet1!C$11*1000*N60/(Sheet1!C$10*10/Sheet1!C$11*1000-N60)</f>
        <v>1517009.0789467</v>
      </c>
      <c r="Q60" s="37" t="n">
        <f aca="false">Q59-0.1</f>
        <v>2.90000000000001</v>
      </c>
      <c r="R60" s="40" t="n">
        <f aca="false">10^Q60</f>
        <v>794.328234724309</v>
      </c>
      <c r="S60" s="39" t="n">
        <f aca="false">U60-T60*((Sheet1!H$18-Sheet1!H$19)*COS(RADIANS(38))+Sheet1!H$19)/2</f>
        <v>156.347037603111</v>
      </c>
      <c r="T60" s="37" t="n">
        <f aca="false">(X60-X$54)/(X$100-X$54)*(T$100-T$54)+T$54</f>
        <v>1.09696165479102</v>
      </c>
      <c r="U60" s="39" t="n">
        <f aca="false">(X60-X$54)/(X$77-X$54)*(U$77-U$54)+U$54</f>
        <v>159.172834418441</v>
      </c>
      <c r="V60" s="39" t="n">
        <f aca="false">8314.4621*U60/(Sheet1!H$20*Sheet1!H$12*9.80665)</f>
        <v>31591.7716234347</v>
      </c>
      <c r="W60" s="39" t="n">
        <f aca="false">W59-LN(R60/R59)*(V59+V60)/2</f>
        <v>1052781.76968405</v>
      </c>
      <c r="X60" s="39" t="n">
        <f aca="false">Sheet1!H$10*10/Sheet1!H$11*1000*W60/(Sheet1!H$10*10/Sheet1!H$11*1000-W60)</f>
        <v>1071826.38684784</v>
      </c>
      <c r="Y60" s="37"/>
      <c r="Z60" s="39"/>
      <c r="AF60" s="37" t="n">
        <f aca="false">AF59-0.1</f>
        <v>-0.500000000000002</v>
      </c>
      <c r="AG60" s="40" t="n">
        <f aca="false">10^AF60</f>
        <v>0.316227766016836</v>
      </c>
      <c r="AH60" s="39" t="n">
        <f aca="false">AJ60-AI60*((Sheet1!M$19-Sheet1!M$20)*COS(RADIANS(38))+Sheet1!M$20)/2</f>
        <v>157.68310176222</v>
      </c>
      <c r="AI60" s="37" t="n">
        <f aca="false">(AM60-AM$50)/(AM$62-AM$50)*(AI$62-AI$50)+AI$50</f>
        <v>0.104551750526392</v>
      </c>
      <c r="AJ60" s="39" t="n">
        <f aca="false">(AM60-AM$50)/(AM$62-AM$50)*(AJ$62-AJ$50)+AJ$50</f>
        <v>158.345338733751</v>
      </c>
      <c r="AK60" s="39" t="n">
        <f aca="false">8314.4621*AJ60/(Sheet1!M$21*Sheet1!M$12*9.80665)</f>
        <v>4656.55550372811</v>
      </c>
      <c r="AL60" s="39" t="n">
        <f aca="false">AL59-LN(AG60/AG59)*(AK59+AK60)/2</f>
        <v>70966.6433181358</v>
      </c>
      <c r="AM60" s="39" t="n">
        <f aca="false">Sheet1!M$10*10/Sheet1!M$11*1000*AL60/(Sheet1!M$10*10/Sheet1!M$11*1000-AL60)</f>
        <v>71769.9991430774</v>
      </c>
      <c r="AN60" s="41"/>
      <c r="AO60" s="37" t="n">
        <f aca="false">AO59+(AO$61-AO$51)/10</f>
        <v>-1.39298370695144</v>
      </c>
      <c r="AP60" s="40" t="n">
        <f aca="false">10^AO60</f>
        <v>0.0404591070104203</v>
      </c>
      <c r="AQ60" s="39" t="n">
        <f aca="false">AS60-AR60*((Sheet1!R$19-Sheet1!R$20)*COS(RADIANS(38))+Sheet1!R$20)/2</f>
        <v>155.822906650698</v>
      </c>
      <c r="AR60" s="37" t="n">
        <f aca="false">(AV60-AV$51)/(AV$116-AV$51)*(AR$116-AR$51)+AR$51</f>
        <v>0.0168312808067849</v>
      </c>
      <c r="AS60" s="39" t="n">
        <f aca="false">(AV60-AV$51)/(AV$61-AV$51)*(AS$61-AS$51)+AS$51</f>
        <v>156.481183925453</v>
      </c>
      <c r="AT60" s="39" t="n">
        <f aca="false">8314.4621*AS60/(Sheet1!R$22*Sheet1!R$12*9.80665)</f>
        <v>2768.1929445411</v>
      </c>
      <c r="AU60" s="39" t="n">
        <f aca="false">AU59-LN(AP60/AP59)*(AT59+AT60)/2</f>
        <v>47045.3333251438</v>
      </c>
      <c r="AV60" s="39" t="n">
        <f aca="false">Sheet1!R$10*10/Sheet1!R$11*1000*AU60/(Sheet1!R$10*10/Sheet1!R$11*1000-AU60)</f>
        <v>47370.1943430073</v>
      </c>
    </row>
    <row r="61" customFormat="false" ht="14.4" hidden="false" customHeight="false" outlineLevel="0" collapsed="false">
      <c r="A61" s="31" t="s">
        <v>125</v>
      </c>
      <c r="B61" s="42" t="n">
        <v>0.53</v>
      </c>
      <c r="C61" s="38" t="n">
        <v>-1.42</v>
      </c>
      <c r="D61" s="38" t="n">
        <v>3.56820172406699</v>
      </c>
      <c r="E61" s="36" t="n">
        <f aca="false">IF(LOG(Sheet1!C$13*(11-Sheet1!C$11)^2/3.828E+026)&gt;C61,IF(LOG(Sheet1!C$13*(11-Sheet1!C$11)^2/3.828E+026)&lt;C60,(LOG(Sheet1!C$13*(11-Sheet1!C$11)^2/3.828E+026)-C61)/(C60-C61)*(B60-B61)+B61,0),0)</f>
        <v>0</v>
      </c>
      <c r="F61" s="37" t="n">
        <f aca="false">IF(LOG(Sheet1!C$13*(11-Sheet1!C$11)^2/3.828E+026)&gt;C61,IF(LOG(Sheet1!C$13*(11-Sheet1!C$11)^2/3.828E+026)&lt;C60,(LOG(Sheet1!C$13*(11-Sheet1!C$11)^2/3.828E+026)-C61)/(C60-C61)*(D60-D61)+D61,0),0)</f>
        <v>0</v>
      </c>
      <c r="G61" s="32" t="n">
        <f aca="false">IF(F61&gt;0,IF(F61&gt;(D60+D61)/2,A60,A61),0)</f>
        <v>0</v>
      </c>
      <c r="H61" s="32" t="n">
        <f aca="false">IF(G61&lt;&gt;0,G61,IF(G62&lt;&gt;0,G62,IF(G63&lt;&gt;0,G63,IF(G64&lt;&gt;0,G64,IF(G65&lt;&gt;0,G65,IF(G66&lt;&gt;0,G66,IF(G67&lt;&gt;0,G67,0)))))))</f>
        <v>0</v>
      </c>
      <c r="I61" s="32"/>
      <c r="J61" s="37" t="n">
        <f aca="false">J60-0.1</f>
        <v>-1.3</v>
      </c>
      <c r="K61" s="40" t="n">
        <f aca="false">10^J61</f>
        <v>0.0501187233627271</v>
      </c>
      <c r="L61" s="39" t="n">
        <f aca="false">(O61-O$53)/(O$68-O$53)*(L$68-L$53)+L$53</f>
        <v>6708.68629926905</v>
      </c>
      <c r="M61" s="39" t="n">
        <f aca="false">8314.4621*L61/(Sheet1!C$16*Sheet1!C$12*9.80665)</f>
        <v>157725.225849367</v>
      </c>
      <c r="N61" s="39" t="n">
        <f aca="false">N60-LN(K61/K60)*(M60+M61)/2</f>
        <v>1549986.13103041</v>
      </c>
      <c r="O61" s="39" t="n">
        <f aca="false">Sheet1!C$10*10/Sheet1!C$11*1000*N61/(Sheet1!C$10*10/Sheet1!C$11*1000-N61)</f>
        <v>1553412.58322875</v>
      </c>
      <c r="Q61" s="37" t="n">
        <f aca="false">Q60-0.1</f>
        <v>2.80000000000001</v>
      </c>
      <c r="R61" s="40" t="n">
        <f aca="false">10^Q61</f>
        <v>630.957344480215</v>
      </c>
      <c r="S61" s="39" t="n">
        <f aca="false">U61-T61*((Sheet1!H$18-Sheet1!H$19)*COS(RADIANS(38))+Sheet1!H$19)/2</f>
        <v>159.51974732301</v>
      </c>
      <c r="T61" s="37" t="n">
        <f aca="false">(X61-X$54)/(X$100-X$54)*(T$100-T$54)+T$54</f>
        <v>1.11429792315682</v>
      </c>
      <c r="U61" s="39" t="n">
        <f aca="false">(X61-X$54)/(X$77-X$54)*(U$77-U$54)+U$54</f>
        <v>162.390202738505</v>
      </c>
      <c r="V61" s="39" t="n">
        <f aca="false">8314.4621*U61/(Sheet1!H$20*Sheet1!H$12*9.80665)</f>
        <v>32230.3376549268</v>
      </c>
      <c r="W61" s="39" t="n">
        <f aca="false">W60-LN(R61/R60)*(V60+V61)/2</f>
        <v>1060129.56155544</v>
      </c>
      <c r="X61" s="39" t="n">
        <f aca="false">Sheet1!H$10*10/Sheet1!H$11*1000*W61/(Sheet1!H$10*10/Sheet1!H$11*1000-W61)</f>
        <v>1079443.38515857</v>
      </c>
      <c r="Y61" s="37"/>
      <c r="Z61" s="39"/>
      <c r="AF61" s="37" t="n">
        <f aca="false">AF60-0.1</f>
        <v>-0.600000000000002</v>
      </c>
      <c r="AG61" s="40" t="n">
        <f aca="false">10^AF61</f>
        <v>0.251188643150957</v>
      </c>
      <c r="AH61" s="39" t="n">
        <f aca="false">AJ61-AI61*((Sheet1!M$19-Sheet1!M$20)*COS(RADIANS(38))+Sheet1!M$20)/2</f>
        <v>155.869741432749</v>
      </c>
      <c r="AI61" s="37" t="n">
        <f aca="false">(AM61-AM$50)/(AM$62-AM$50)*(AI$62-AI$50)+AI$50</f>
        <v>0.152496417490953</v>
      </c>
      <c r="AJ61" s="39" t="n">
        <f aca="false">(AM61-AM$50)/(AM$62-AM$50)*(AJ$62-AJ$50)+AJ$50</f>
        <v>156.835662760513</v>
      </c>
      <c r="AK61" s="39" t="n">
        <f aca="false">8314.4621*AJ61/(Sheet1!M$21*Sheet1!M$12*9.80665)</f>
        <v>4612.15956496386</v>
      </c>
      <c r="AL61" s="39" t="n">
        <f aca="false">AL60-LN(AG61/AG60)*(AK60+AK61)/2</f>
        <v>72033.7435755548</v>
      </c>
      <c r="AM61" s="39" t="n">
        <f aca="false">Sheet1!M$10*10/Sheet1!M$11*1000*AL61/(Sheet1!M$10*10/Sheet1!M$11*1000-AL61)</f>
        <v>72861.5815059505</v>
      </c>
      <c r="AN61" s="41"/>
      <c r="AO61" s="37" t="n">
        <f aca="false">IF(Sheet1!R24="Y",-0.5,-1.5)</f>
        <v>-1.5</v>
      </c>
      <c r="AP61" s="40" t="n">
        <f aca="false">10^AO61</f>
        <v>0.0316227766016838</v>
      </c>
      <c r="AQ61" s="39" t="n">
        <f aca="false">AS61-AR61*((Sheet1!R$19-Sheet1!R$20)*COS(RADIANS(38))+Sheet1!R$20)/2</f>
        <v>155.090446962592</v>
      </c>
      <c r="AR61" s="37" t="n">
        <f aca="false">(AV61-AV$51)/(AV$116-AV$51)*(AR$116-AR$51)+AR$51</f>
        <v>0.01866405091023</v>
      </c>
      <c r="AS61" s="39" t="n">
        <f aca="false">MIN(IF(Sheet1!R15&gt;1,36*LOG(Sheet1!R15)+30,30),(Sheet1!R15*(1-MAX(Sheet1!R14,0.56707137))/(4*0.000000056704))^0.25)</f>
        <v>155.820404516632</v>
      </c>
      <c r="AT61" s="39" t="n">
        <f aca="false">8314.4621*AS61/(Sheet1!R$22*Sheet1!R$12*9.80665)</f>
        <v>2756.50358450744</v>
      </c>
      <c r="AU61" s="39" t="n">
        <f aca="false">AU60-LN(AP61/AP60)*(AT60+AT61)/2</f>
        <v>47726.0149448665</v>
      </c>
      <c r="AV61" s="39" t="n">
        <f aca="false">Sheet1!R$10*10/Sheet1!R$11*1000*AU61/(Sheet1!R$10*10/Sheet1!R$11*1000-AU61)</f>
        <v>48060.3779648382</v>
      </c>
    </row>
    <row r="62" customFormat="false" ht="14.4" hidden="false" customHeight="false" outlineLevel="0" collapsed="false">
      <c r="A62" s="31" t="s">
        <v>126</v>
      </c>
      <c r="B62" s="42" t="n">
        <v>0.5</v>
      </c>
      <c r="C62" s="38" t="n">
        <v>-1.47</v>
      </c>
      <c r="D62" s="38" t="n">
        <v>3.56229286445647</v>
      </c>
      <c r="E62" s="36" t="n">
        <f aca="false">IF(LOG(Sheet1!C$13*(11-Sheet1!C$11)^2/3.828E+026)&gt;C62,IF(LOG(Sheet1!C$13*(11-Sheet1!C$11)^2/3.828E+026)&lt;C61,(LOG(Sheet1!C$13*(11-Sheet1!C$11)^2/3.828E+026)-C62)/(C61-C62)*(B61-B62)+B62,0),0)</f>
        <v>0</v>
      </c>
      <c r="F62" s="37" t="n">
        <f aca="false">IF(LOG(Sheet1!C$13*(11-Sheet1!C$11)^2/3.828E+026)&gt;C62,IF(LOG(Sheet1!C$13*(11-Sheet1!C$11)^2/3.828E+026)&lt;C61,(LOG(Sheet1!C$13*(11-Sheet1!C$11)^2/3.828E+026)-C62)/(C61-C62)*(D61-D62)+D62,0),0)</f>
        <v>0</v>
      </c>
      <c r="G62" s="32" t="n">
        <f aca="false">IF(F62&gt;0,IF(F62&gt;(D61+D62)/2,A61,A62),0)</f>
        <v>0</v>
      </c>
      <c r="H62" s="32"/>
      <c r="I62" s="32"/>
      <c r="J62" s="37" t="n">
        <f aca="false">J61-0.1</f>
        <v>-1.4</v>
      </c>
      <c r="K62" s="40" t="n">
        <f aca="false">10^J62</f>
        <v>0.0398107170553496</v>
      </c>
      <c r="L62" s="39" t="n">
        <f aca="false">(O62-O$53)/(O$68-O$53)*(L$68-L$53)+L$53</f>
        <v>6735.62413931979</v>
      </c>
      <c r="M62" s="39" t="n">
        <f aca="false">8314.4621*L62/(Sheet1!C$16*Sheet1!C$12*9.80665)</f>
        <v>158358.550574412</v>
      </c>
      <c r="N62" s="39" t="n">
        <f aca="false">N61-LN(K62/K61)*(M61+M62)/2</f>
        <v>1586376.62061694</v>
      </c>
      <c r="O62" s="39" t="n">
        <f aca="false">Sheet1!C$10*10/Sheet1!C$11*1000*N62/(Sheet1!C$10*10/Sheet1!C$11*1000-N62)</f>
        <v>1589966.0399329</v>
      </c>
      <c r="Q62" s="37" t="n">
        <f aca="false">Q61-0.1</f>
        <v>2.70000000000001</v>
      </c>
      <c r="R62" s="40" t="n">
        <f aca="false">10^Q62</f>
        <v>501.187233627289</v>
      </c>
      <c r="S62" s="39" t="n">
        <f aca="false">U62-T62*((Sheet1!H$18-Sheet1!H$19)*COS(RADIANS(38))+Sheet1!H$19)/2</f>
        <v>162.757421304013</v>
      </c>
      <c r="T62" s="37" t="n">
        <f aca="false">(X62-X$54)/(X$100-X$54)*(T$100-T$54)+T$54</f>
        <v>1.13198916837898</v>
      </c>
      <c r="U62" s="39" t="n">
        <f aca="false">(X62-X$54)/(X$77-X$54)*(U$77-U$54)+U$54</f>
        <v>165.67344974769</v>
      </c>
      <c r="V62" s="39" t="n">
        <f aca="false">8314.4621*U62/(Sheet1!H$20*Sheet1!H$12*9.80665)</f>
        <v>32881.9789357802</v>
      </c>
      <c r="W62" s="39" t="n">
        <f aca="false">W61-LN(R62/R61)*(V61+V62)/2</f>
        <v>1067625.89403305</v>
      </c>
      <c r="X62" s="39" t="n">
        <f aca="false">Sheet1!H$10*10/Sheet1!H$11*1000*W62/(Sheet1!H$10*10/Sheet1!H$11*1000-W62)</f>
        <v>1087216.34887419</v>
      </c>
      <c r="Y62" s="37"/>
      <c r="Z62" s="39"/>
      <c r="AF62" s="37" t="n">
        <f aca="false">AF61-0.1</f>
        <v>-0.700000000000002</v>
      </c>
      <c r="AG62" s="40" t="n">
        <f aca="false">10^AF62</f>
        <v>0.199526231496887</v>
      </c>
      <c r="AH62" s="39" t="n">
        <f aca="false">AJ62-AI62*((Sheet1!M$19-Sheet1!M$20)*COS(RADIANS(38))+Sheet1!M$20)/2</f>
        <v>154.073099545635</v>
      </c>
      <c r="AI62" s="37" t="n">
        <v>0.2</v>
      </c>
      <c r="AJ62" s="39" t="n">
        <f aca="false">0.74*Sheet1!M16</f>
        <v>155.339911374602</v>
      </c>
      <c r="AK62" s="39" t="n">
        <f aca="false">8314.4621*AJ62/(Sheet1!M$21*Sheet1!M$12*9.80665)</f>
        <v>4568.17311481656</v>
      </c>
      <c r="AL62" s="39" t="n">
        <f aca="false">AL61-LN(AG62/AG61)*(AK61+AK62)/2</f>
        <v>73090.6684344142</v>
      </c>
      <c r="AM62" s="39" t="n">
        <f aca="false">Sheet1!M$10*10/Sheet1!M$11*1000*AL62/(Sheet1!M$10*10/Sheet1!M$11*1000-AL62)</f>
        <v>73943.1214586316</v>
      </c>
      <c r="AN62" s="41"/>
      <c r="AO62" s="37" t="n">
        <f aca="false">AO61+(AO$69-AO$61)/8</f>
        <v>-1.625</v>
      </c>
      <c r="AP62" s="40" t="n">
        <f aca="false">10^AO62</f>
        <v>0.0237137370566166</v>
      </c>
      <c r="AQ62" s="39" t="n">
        <f aca="false">AS62-AR62*((Sheet1!R$19-Sheet1!R$20)*COS(RADIANS(38))+Sheet1!R$20)/2</f>
        <v>155.006880215005</v>
      </c>
      <c r="AR62" s="37" t="n">
        <f aca="false">(AV62-AV$51)/(AV$116-AV$51)*(AR$116-AR$51)+AR$51</f>
        <v>0.0208007423147287</v>
      </c>
      <c r="AS62" s="39" t="n">
        <f aca="false">(AV62-AV$61)/(AV$69-AV$61)*(AS$69-AS$61)+AS$61</f>
        <v>155.820404516632</v>
      </c>
      <c r="AT62" s="39" t="n">
        <f aca="false">8314.4621*AS62/(Sheet1!R$22*Sheet1!R$12*9.80665)</f>
        <v>2756.50358450744</v>
      </c>
      <c r="AU62" s="39" t="n">
        <f aca="false">AU61-LN(AP62/AP61)*(AT61+AT62)/2</f>
        <v>48519.4004526754</v>
      </c>
      <c r="AV62" s="39" t="n">
        <f aca="false">Sheet1!R$10*10/Sheet1!R$11*1000*AU62/(Sheet1!R$10*10/Sheet1!R$11*1000-AU62)</f>
        <v>48865.012861884</v>
      </c>
    </row>
    <row r="63" customFormat="false" ht="14.4" hidden="false" customHeight="false" outlineLevel="0" collapsed="false">
      <c r="A63" s="31" t="s">
        <v>127</v>
      </c>
      <c r="B63" s="42" t="n">
        <v>0.48</v>
      </c>
      <c r="C63" s="38" t="n">
        <v>-1.57</v>
      </c>
      <c r="D63" s="38" t="n">
        <v>3.55022835305509</v>
      </c>
      <c r="E63" s="36" t="n">
        <f aca="false">IF(LOG(Sheet1!C$13*(11-Sheet1!C$11)^2/3.828E+026)&gt;C63,IF(LOG(Sheet1!C$13*(11-Sheet1!C$11)^2/3.828E+026)&lt;C62,(LOG(Sheet1!C$13*(11-Sheet1!C$11)^2/3.828E+026)-C63)/(C62-C63)*(B62-B63)+B63,0),0)</f>
        <v>0</v>
      </c>
      <c r="F63" s="37" t="n">
        <f aca="false">IF(LOG(Sheet1!C$13*(11-Sheet1!C$11)^2/3.828E+026)&gt;C63,IF(LOG(Sheet1!C$13*(11-Sheet1!C$11)^2/3.828E+026)&lt;C62,(LOG(Sheet1!C$13*(11-Sheet1!C$11)^2/3.828E+026)-C63)/(C62-C63)*(D62-D63)+D63,0),0)</f>
        <v>0</v>
      </c>
      <c r="G63" s="32" t="n">
        <f aca="false">IF(F63&gt;0,IF(F63&gt;(D62+D63)/2,A62,A63),0)</f>
        <v>0</v>
      </c>
      <c r="H63" s="32"/>
      <c r="I63" s="32"/>
      <c r="J63" s="37" t="n">
        <f aca="false">J62-0.1</f>
        <v>-1.5</v>
      </c>
      <c r="K63" s="40" t="n">
        <f aca="false">10^J63</f>
        <v>0.0316227766016837</v>
      </c>
      <c r="L63" s="39" t="n">
        <f aca="false">(O63-O$53)/(O$68-O$53)*(L$68-L$53)+L$53</f>
        <v>6762.67296371012</v>
      </c>
      <c r="M63" s="39" t="n">
        <f aca="false">8314.4621*L63/(Sheet1!C$16*Sheet1!C$12*9.80665)</f>
        <v>158994.484607636</v>
      </c>
      <c r="N63" s="39" t="n">
        <f aca="false">N62-LN(K63/K62)*(M62+M63)/2</f>
        <v>1622913.23901827</v>
      </c>
      <c r="O63" s="39" t="n">
        <f aca="false">Sheet1!C$10*10/Sheet1!C$11*1000*N63/(Sheet1!C$10*10/Sheet1!C$11*1000-N63)</f>
        <v>1626670.09747381</v>
      </c>
      <c r="Q63" s="37" t="n">
        <f aca="false">Q62-0.1</f>
        <v>2.60000000000001</v>
      </c>
      <c r="R63" s="40" t="n">
        <f aca="false">10^Q63</f>
        <v>398.107170553511</v>
      </c>
      <c r="S63" s="39" t="n">
        <f aca="false">U63-T63*((Sheet1!H$18-Sheet1!H$19)*COS(RADIANS(38))+Sheet1!H$19)/2</f>
        <v>166.061423954102</v>
      </c>
      <c r="T63" s="37" t="n">
        <f aca="false">(X63-X$54)/(X$100-X$54)*(T$100-T$54)+T$54</f>
        <v>1.15004284580613</v>
      </c>
      <c r="U63" s="39" t="n">
        <f aca="false">(X63-X$54)/(X$77-X$54)*(U$77-U$54)+U$54</f>
        <v>169.023959059115</v>
      </c>
      <c r="V63" s="39" t="n">
        <f aca="false">8314.4621*U63/(Sheet1!H$20*Sheet1!H$12*9.80665)</f>
        <v>33546.970078116</v>
      </c>
      <c r="W63" s="39" t="n">
        <f aca="false">W62-LN(R63/R62)*(V62+V63)/2</f>
        <v>1075273.80942018</v>
      </c>
      <c r="X63" s="39" t="n">
        <f aca="false">Sheet1!H$10*10/Sheet1!H$11*1000*W63/(Sheet1!H$10*10/Sheet1!H$11*1000-W63)</f>
        <v>1095148.55363494</v>
      </c>
      <c r="Y63" s="37"/>
      <c r="Z63" s="39"/>
      <c r="AF63" s="37" t="n">
        <f aca="false">AF62-0.1</f>
        <v>-0.800000000000002</v>
      </c>
      <c r="AG63" s="40" t="n">
        <f aca="false">10^AF63</f>
        <v>0.158489319246111</v>
      </c>
      <c r="AH63" s="39" t="n">
        <f aca="false">AJ63-AI63*((Sheet1!M$19-Sheet1!M$20)*COS(RADIANS(38))+Sheet1!M$20)/2</f>
        <v>155.724329835301</v>
      </c>
      <c r="AI63" s="37" t="n">
        <f aca="false">(AM63-AM$62)/(AM$95-AM$62)*(AI$95-AI$62)+AI$62</f>
        <v>0.2</v>
      </c>
      <c r="AJ63" s="39" t="n">
        <f aca="false">(AM63-AM$62)/(AM$70-AM$62)*(AJ$70-AJ$62)+AJ$62</f>
        <v>156.991141664268</v>
      </c>
      <c r="AK63" s="39" t="n">
        <f aca="false">8314.4621*AJ63/(Sheet1!M$21*Sheet1!M$12*9.80665)</f>
        <v>4616.73182551024</v>
      </c>
      <c r="AL63" s="39" t="n">
        <f aca="false">AL62-LN(AG63/AG62)*(AK62+AK63)/2</f>
        <v>74148.1196942224</v>
      </c>
      <c r="AM63" s="39" t="n">
        <f aca="false">Sheet1!M$10*10/Sheet1!M$11*1000*AL63/(Sheet1!M$10*10/Sheet1!M$11*1000-AL63)</f>
        <v>75025.5652130782</v>
      </c>
      <c r="AN63" s="41"/>
      <c r="AO63" s="37" t="n">
        <f aca="false">AO62+(AO$69-AO$61)/8</f>
        <v>-1.75</v>
      </c>
      <c r="AP63" s="40" t="n">
        <f aca="false">10^AO63</f>
        <v>0.0177827941003892</v>
      </c>
      <c r="AQ63" s="39" t="n">
        <f aca="false">AS63-AR63*((Sheet1!R$19-Sheet1!R$20)*COS(RADIANS(38))+Sheet1!R$20)/2</f>
        <v>154.923293961943</v>
      </c>
      <c r="AR63" s="37" t="n">
        <f aca="false">(AV63-AV$51)/(AV$116-AV$51)*(AR$116-AR$51)+AR$51</f>
        <v>0.0229379324484757</v>
      </c>
      <c r="AS63" s="39" t="n">
        <f aca="false">(AV63-AV$61)/(AV$69-AV$61)*(AS$69-AS$61)+AS$61</f>
        <v>155.820404516632</v>
      </c>
      <c r="AT63" s="39" t="n">
        <f aca="false">8314.4621*AS63/(Sheet1!R$22*Sheet1!R$12*9.80665)</f>
        <v>2756.50358450744</v>
      </c>
      <c r="AU63" s="39" t="n">
        <f aca="false">AU62-LN(AP63/AP62)*(AT62+AT63)/2</f>
        <v>49312.7859604843</v>
      </c>
      <c r="AV63" s="39" t="n">
        <f aca="false">Sheet1!R$10*10/Sheet1!R$11*1000*AU63/(Sheet1!R$10*10/Sheet1!R$11*1000-AU63)</f>
        <v>49669.8352247894</v>
      </c>
    </row>
    <row r="64" customFormat="false" ht="14.4" hidden="false" customHeight="false" outlineLevel="0" collapsed="false">
      <c r="A64" s="31" t="s">
        <v>128</v>
      </c>
      <c r="B64" s="42" t="n">
        <v>0.44</v>
      </c>
      <c r="C64" s="38" t="n">
        <v>-1.68</v>
      </c>
      <c r="D64" s="38" t="n">
        <v>3.54406804435028</v>
      </c>
      <c r="E64" s="36" t="n">
        <f aca="false">IF(LOG(Sheet1!C$13*(11-Sheet1!C$11)^2/3.828E+026)&gt;C64,IF(LOG(Sheet1!C$13*(11-Sheet1!C$11)^2/3.828E+026)&lt;C63,(LOG(Sheet1!C$13*(11-Sheet1!C$11)^2/3.828E+026)-C64)/(C63-C64)*(B63-B64)+B64,0),0)</f>
        <v>0</v>
      </c>
      <c r="F64" s="37" t="n">
        <f aca="false">IF(LOG(Sheet1!C$13*(11-Sheet1!C$11)^2/3.828E+026)&gt;C64,IF(LOG(Sheet1!C$13*(11-Sheet1!C$11)^2/3.828E+026)&lt;C63,(LOG(Sheet1!C$13*(11-Sheet1!C$11)^2/3.828E+026)-C64)/(C63-C64)*(D63-D64)+D64,0),0)</f>
        <v>0</v>
      </c>
      <c r="G64" s="32" t="n">
        <f aca="false">IF(F64&gt;0,IF(F64&gt;(D63+D64)/2,A63,A64),0)</f>
        <v>0</v>
      </c>
      <c r="H64" s="32"/>
      <c r="I64" s="32"/>
      <c r="J64" s="37" t="n">
        <f aca="false">J63-0.1</f>
        <v>-1.6</v>
      </c>
      <c r="K64" s="40" t="n">
        <f aca="false">10^J64</f>
        <v>0.0251188643150957</v>
      </c>
      <c r="L64" s="39" t="n">
        <f aca="false">(O64-O$53)/(O$68-O$53)*(L$68-L$53)+L$53</f>
        <v>6789.83325253559</v>
      </c>
      <c r="M64" s="39" t="n">
        <f aca="false">8314.4621*L64/(Sheet1!C$16*Sheet1!C$12*9.80665)</f>
        <v>159633.039236371</v>
      </c>
      <c r="N64" s="39" t="n">
        <f aca="false">N63-LN(K64/K63)*(M63+M64)/2</f>
        <v>1659596.58834931</v>
      </c>
      <c r="O64" s="39" t="n">
        <f aca="false">Sheet1!C$10*10/Sheet1!C$11*1000*N64/(Sheet1!C$10*10/Sheet1!C$11*1000-N64)</f>
        <v>1663525.40731989</v>
      </c>
      <c r="Q64" s="37" t="n">
        <f aca="false">Q63-0.1</f>
        <v>2.50000000000001</v>
      </c>
      <c r="R64" s="40" t="n">
        <f aca="false">10^Q64</f>
        <v>316.227766016849</v>
      </c>
      <c r="S64" s="39" t="n">
        <f aca="false">U64-T64*((Sheet1!H$18-Sheet1!H$19)*COS(RADIANS(38))+Sheet1!H$19)/2</f>
        <v>169.433149742453</v>
      </c>
      <c r="T64" s="37" t="n">
        <f aca="false">(X64-X$54)/(X$100-X$54)*(T$100-T$54)+T$54</f>
        <v>1.16846657504556</v>
      </c>
      <c r="U64" s="39" t="n">
        <f aca="false">(X64-X$54)/(X$77-X$54)*(U$77-U$54)+U$54</f>
        <v>172.443144770231</v>
      </c>
      <c r="V64" s="39" t="n">
        <f aca="false">8314.4621*U64/(Sheet1!H$20*Sheet1!H$12*9.80665)</f>
        <v>34225.5917444218</v>
      </c>
      <c r="W64" s="39" t="n">
        <f aca="false">W63-LN(R64/R63)*(V63+V64)/2</f>
        <v>1083076.41394851</v>
      </c>
      <c r="X64" s="39" t="n">
        <f aca="false">Sheet1!H$10*10/Sheet1!H$11*1000*W64/(Sheet1!H$10*10/Sheet1!H$11*1000-W64)</f>
        <v>1103243.34725101</v>
      </c>
      <c r="Y64" s="37"/>
      <c r="Z64" s="39"/>
      <c r="AF64" s="37" t="n">
        <f aca="false">AF63-0.1</f>
        <v>-0.900000000000002</v>
      </c>
      <c r="AG64" s="40" t="n">
        <f aca="false">10^AF64</f>
        <v>0.125892541179416</v>
      </c>
      <c r="AH64" s="39" t="n">
        <f aca="false">AJ64-AI64*((Sheet1!M$19-Sheet1!M$20)*COS(RADIANS(38))+Sheet1!M$20)/2</f>
        <v>157.393681470558</v>
      </c>
      <c r="AI64" s="37" t="n">
        <f aca="false">(AM64-AM$62)/(AM$95-AM$62)*(AI$95-AI$62)+AI$62</f>
        <v>0.2</v>
      </c>
      <c r="AJ64" s="39" t="n">
        <f aca="false">(AM64-AM$62)/(AM$70-AM$62)*(AJ$70-AJ$62)+AJ$62</f>
        <v>158.660493299525</v>
      </c>
      <c r="AK64" s="39" t="n">
        <f aca="false">8314.4621*AJ64/(Sheet1!M$21*Sheet1!M$12*9.80665)</f>
        <v>4665.82344138587</v>
      </c>
      <c r="AL64" s="39" t="n">
        <f aca="false">AL63-LN(AG64/AG63)*(AK63+AK64)/2</f>
        <v>75216.8133633448</v>
      </c>
      <c r="AM64" s="39" t="n">
        <f aca="false">Sheet1!M$10*10/Sheet1!M$11*1000*AL64/(Sheet1!M$10*10/Sheet1!M$11*1000-AL64)</f>
        <v>76119.8883531711</v>
      </c>
      <c r="AN64" s="41"/>
      <c r="AO64" s="37" t="n">
        <f aca="false">AO63+(AO$69-AO$61)/8</f>
        <v>-1.875</v>
      </c>
      <c r="AP64" s="40" t="n">
        <f aca="false">10^AO64</f>
        <v>0.0133352143216332</v>
      </c>
      <c r="AQ64" s="39" t="n">
        <f aca="false">AS64-AR64*((Sheet1!R$19-Sheet1!R$20)*COS(RADIANS(38))+Sheet1!R$20)/2</f>
        <v>154.839688232477</v>
      </c>
      <c r="AR64" s="37" t="n">
        <f aca="false">(AV64-AV$51)/(AV$116-AV$51)*(AR$116-AR$51)+AR$51</f>
        <v>0.0250756205681596</v>
      </c>
      <c r="AS64" s="39" t="n">
        <f aca="false">(AV64-AV$61)/(AV$69-AV$61)*(AS$69-AS$61)+AS$61</f>
        <v>155.820404516632</v>
      </c>
      <c r="AT64" s="39" t="n">
        <f aca="false">8314.4621*AS64/(Sheet1!R$22*Sheet1!R$12*9.80665)</f>
        <v>2756.50358450744</v>
      </c>
      <c r="AU64" s="39" t="n">
        <f aca="false">AU63-LN(AP64/AP63)*(AT63+AT64)/2</f>
        <v>50106.1714682933</v>
      </c>
      <c r="AV64" s="39" t="n">
        <f aca="false">Sheet1!R$10*10/Sheet1!R$11*1000*AU64/(Sheet1!R$10*10/Sheet1!R$11*1000-AU64)</f>
        <v>50474.8451190764</v>
      </c>
    </row>
    <row r="65" customFormat="false" ht="14.4" hidden="false" customHeight="false" outlineLevel="0" collapsed="false">
      <c r="A65" s="31" t="s">
        <v>129</v>
      </c>
      <c r="B65" s="42" t="n">
        <v>0.39</v>
      </c>
      <c r="C65" s="38" t="n">
        <v>-1.78</v>
      </c>
      <c r="D65" s="38" t="n">
        <v>3.53147891704225</v>
      </c>
      <c r="E65" s="36" t="n">
        <f aca="false">IF(LOG(Sheet1!C$13*(11-Sheet1!C$11)^2/3.828E+026)&gt;C65,IF(LOG(Sheet1!C$13*(11-Sheet1!C$11)^2/3.828E+026)&lt;C64,(LOG(Sheet1!C$13*(11-Sheet1!C$11)^2/3.828E+026)-C65)/(C64-C65)*(B64-B65)+B65,0),0)</f>
        <v>0</v>
      </c>
      <c r="F65" s="37" t="n">
        <f aca="false">IF(LOG(Sheet1!C$13*(11-Sheet1!C$11)^2/3.828E+026)&gt;C65,IF(LOG(Sheet1!C$13*(11-Sheet1!C$11)^2/3.828E+026)&lt;C64,(LOG(Sheet1!C$13*(11-Sheet1!C$11)^2/3.828E+026)-C65)/(C64-C65)*(D64-D65)+D65,0),0)</f>
        <v>0</v>
      </c>
      <c r="G65" s="32" t="n">
        <f aca="false">IF(F65&gt;0,IF(F65&gt;(D64+D65)/2,A64,A65),0)</f>
        <v>0</v>
      </c>
      <c r="H65" s="32"/>
      <c r="I65" s="32"/>
      <c r="J65" s="37" t="n">
        <f aca="false">J64-0.1</f>
        <v>-1.7</v>
      </c>
      <c r="K65" s="40" t="n">
        <f aca="false">10^J65</f>
        <v>0.0199526231496887</v>
      </c>
      <c r="L65" s="39" t="n">
        <f aca="false">(O65-O$53)/(O$68-O$53)*(L$68-L$53)+L$53</f>
        <v>6817.10548815429</v>
      </c>
      <c r="M65" s="39" t="n">
        <f aca="false">8314.4621*L65/(Sheet1!C$16*Sheet1!C$12*9.80665)</f>
        <v>160274.225801145</v>
      </c>
      <c r="N65" s="39" t="n">
        <f aca="false">N64-LN(K65/K64)*(M64+M65)/2</f>
        <v>1696427.27333011</v>
      </c>
      <c r="O65" s="39" t="n">
        <f aca="false">Sheet1!C$10*10/Sheet1!C$11*1000*N65/(Sheet1!C$10*10/Sheet1!C$11*1000-N65)</f>
        <v>1700532.62400971</v>
      </c>
      <c r="Q65" s="37" t="n">
        <f aca="false">Q64-0.1</f>
        <v>2.40000000000001</v>
      </c>
      <c r="R65" s="40" t="n">
        <f aca="false">10^Q65</f>
        <v>251.188643150966</v>
      </c>
      <c r="S65" s="39" t="n">
        <f aca="false">U65-T65*((Sheet1!H$18-Sheet1!H$19)*COS(RADIANS(38))+Sheet1!H$19)/2</f>
        <v>172.874023919379</v>
      </c>
      <c r="T65" s="37" t="n">
        <f aca="false">(X65-X$54)/(X$100-X$54)*(T$100-T$54)+T$54</f>
        <v>1.187268143897</v>
      </c>
      <c r="U65" s="39" t="n">
        <f aca="false">(X65-X$54)/(X$77-X$54)*(U$77-U$54)+U$54</f>
        <v>175.932452192888</v>
      </c>
      <c r="V65" s="39" t="n">
        <f aca="false">8314.4621*U65/(Sheet1!H$20*Sheet1!H$12*9.80665)</f>
        <v>34918.1307924527</v>
      </c>
      <c r="W65" s="39" t="n">
        <f aca="false">W64-LN(R65/R64)*(V64+V65)/2</f>
        <v>1091036.87918789</v>
      </c>
      <c r="X65" s="39" t="n">
        <f aca="false">Sheet1!H$10*10/Sheet1!H$11*1000*W65/(Sheet1!H$10*10/Sheet1!H$11*1000-W65)</f>
        <v>1111504.15143092</v>
      </c>
      <c r="Y65" s="37"/>
      <c r="Z65" s="39"/>
      <c r="AF65" s="37" t="n">
        <f aca="false">AF64-0.1</f>
        <v>-1</v>
      </c>
      <c r="AG65" s="40" t="n">
        <f aca="false">10^AF65</f>
        <v>0.0999999999999995</v>
      </c>
      <c r="AH65" s="39" t="n">
        <f aca="false">AJ65-AI65*((Sheet1!M$19-Sheet1!M$20)*COS(RADIANS(38))+Sheet1!M$20)/2</f>
        <v>159.081215623132</v>
      </c>
      <c r="AI65" s="37" t="n">
        <f aca="false">(AM65-AM$62)/(AM$95-AM$62)*(AI$95-AI$62)+AI$62</f>
        <v>0.2</v>
      </c>
      <c r="AJ65" s="39" t="n">
        <f aca="false">(AM65-AM$62)/(AM$70-AM$62)*(AJ$70-AJ$62)+AJ$62</f>
        <v>160.3480274521</v>
      </c>
      <c r="AK65" s="39" t="n">
        <f aca="false">8314.4621*AJ65/(Sheet1!M$21*Sheet1!M$12*9.80665)</f>
        <v>4715.44976135676</v>
      </c>
      <c r="AL65" s="39" t="n">
        <f aca="false">AL64-LN(AG65/AG64)*(AK64+AK65)/2</f>
        <v>76296.8723548418</v>
      </c>
      <c r="AM65" s="39" t="n">
        <f aca="false">Sheet1!M$10*10/Sheet1!M$11*1000*AL65/(Sheet1!M$10*10/Sheet1!M$11*1000-AL65)</f>
        <v>77226.2287774728</v>
      </c>
      <c r="AN65" s="41"/>
      <c r="AO65" s="37" t="n">
        <f aca="false">AO64+(AO$69-AO$61)/8</f>
        <v>-2</v>
      </c>
      <c r="AP65" s="40" t="n">
        <f aca="false">10^AO65</f>
        <v>0.01</v>
      </c>
      <c r="AQ65" s="39" t="n">
        <f aca="false">AS65-AR65*((Sheet1!R$19-Sheet1!R$20)*COS(RADIANS(38))+Sheet1!R$20)/2</f>
        <v>154.756063019799</v>
      </c>
      <c r="AR65" s="37" t="n">
        <f aca="false">(AV65-AV$51)/(AV$116-AV$51)*(AR$116-AR$51)+AR$51</f>
        <v>0.027213806847854</v>
      </c>
      <c r="AS65" s="39" t="n">
        <f aca="false">(AV65-AV$61)/(AV$69-AV$61)*(AS$69-AS$61)+AS$61</f>
        <v>155.820404516632</v>
      </c>
      <c r="AT65" s="39" t="n">
        <f aca="false">8314.4621*AS65/(Sheet1!R$22*Sheet1!R$12*9.80665)</f>
        <v>2756.50358450744</v>
      </c>
      <c r="AU65" s="39" t="n">
        <f aca="false">AU64-LN(AP65/AP64)*(AT64+AT65)/2</f>
        <v>50899.5569761022</v>
      </c>
      <c r="AV65" s="39" t="n">
        <f aca="false">Sheet1!R$10*10/Sheet1!R$11*1000*AU65/(Sheet1!R$10*10/Sheet1!R$11*1000-AU65)</f>
        <v>51280.0426102975</v>
      </c>
    </row>
    <row r="66" customFormat="false" ht="14.4" hidden="false" customHeight="false" outlineLevel="0" collapsed="false">
      <c r="A66" s="31" t="s">
        <v>130</v>
      </c>
      <c r="B66" s="42" t="n">
        <v>0.22</v>
      </c>
      <c r="C66" s="38" t="n">
        <v>-2.2</v>
      </c>
      <c r="D66" s="38" t="n">
        <v>3.50514997831991</v>
      </c>
      <c r="E66" s="36" t="n">
        <f aca="false">IF(LOG(Sheet1!C$13*(11-Sheet1!C$11)^2/3.828E+026)&gt;C66,IF(LOG(Sheet1!C$13*(11-Sheet1!C$11)^2/3.828E+026)&lt;C65,(LOG(Sheet1!C$13*(11-Sheet1!C$11)^2/3.828E+026)-C66)/(C65-C66)*(B65-B66)+B66,0),0)</f>
        <v>0</v>
      </c>
      <c r="F66" s="37" t="n">
        <f aca="false">IF(LOG(Sheet1!C$13*(11-Sheet1!C$11)^2/3.828E+026)&gt;C66,IF(LOG(Sheet1!C$13*(11-Sheet1!C$11)^2/3.828E+026)&lt;C65,(LOG(Sheet1!C$13*(11-Sheet1!C$11)^2/3.828E+026)-C66)/(C65-C66)*(D65-D66)+D66,0),0)</f>
        <v>0</v>
      </c>
      <c r="G66" s="32" t="n">
        <f aca="false">IF(F66&gt;0,IF(F66&gt;(D65+D66)/2,A65,A66),0)</f>
        <v>0</v>
      </c>
      <c r="H66" s="32"/>
      <c r="I66" s="32"/>
      <c r="J66" s="37" t="n">
        <f aca="false">J65-0.1</f>
        <v>-1.8</v>
      </c>
      <c r="K66" s="40" t="n">
        <f aca="false">10^J66</f>
        <v>0.0158489319246111</v>
      </c>
      <c r="L66" s="39" t="n">
        <f aca="false">(O66-O$53)/(O$68-O$53)*(L$68-L$53)+L$53</f>
        <v>6844.49015519903</v>
      </c>
      <c r="M66" s="39" t="n">
        <f aca="false">8314.4621*L66/(Sheet1!C$16*Sheet1!C$12*9.80665)</f>
        <v>160918.055695965</v>
      </c>
      <c r="N66" s="39" t="n">
        <f aca="false">N65-LN(K66/K65)*(M65+M66)/2</f>
        <v>1733405.90129811</v>
      </c>
      <c r="O66" s="39" t="n">
        <f aca="false">Sheet1!C$10*10/Sheet1!C$11*1000*N66/(Sheet1!C$10*10/Sheet1!C$11*1000-N66)</f>
        <v>1737692.40516855</v>
      </c>
      <c r="Q66" s="37" t="n">
        <f aca="false">Q65-0.1</f>
        <v>2.30000000000001</v>
      </c>
      <c r="R66" s="40" t="n">
        <f aca="false">10^Q66</f>
        <v>199.526231496895</v>
      </c>
      <c r="S66" s="39" t="n">
        <f aca="false">U66-T66*((Sheet1!H$18-Sheet1!H$19)*COS(RADIANS(38))+Sheet1!H$19)/2</f>
        <v>176.385503255835</v>
      </c>
      <c r="T66" s="37" t="n">
        <f aca="false">(X66-X$54)/(X$100-X$54)*(T$100-T$54)+T$54</f>
        <v>1.20645551239343</v>
      </c>
      <c r="U66" s="39" t="n">
        <f aca="false">(X66-X$54)/(X$77-X$54)*(U$77-U$54)+U$54</f>
        <v>179.493358603257</v>
      </c>
      <c r="V66" s="39" t="n">
        <f aca="false">8314.4621*U66/(Sheet1!H$20*Sheet1!H$12*9.80665)</f>
        <v>35624.8804240706</v>
      </c>
      <c r="W66" s="39" t="n">
        <f aca="false">W65-LN(R66/R65)*(V65+V66)/2</f>
        <v>1099158.44348999</v>
      </c>
      <c r="X66" s="39" t="n">
        <f aca="false">Sheet1!H$10*10/Sheet1!H$11*1000*W66/(Sheet1!H$10*10/Sheet1!H$11*1000-W66)</f>
        <v>1119934.46355696</v>
      </c>
      <c r="Y66" s="37"/>
      <c r="Z66" s="39"/>
      <c r="AF66" s="37" t="n">
        <f aca="false">AF65-0.1</f>
        <v>-1.1</v>
      </c>
      <c r="AG66" s="40" t="n">
        <f aca="false">10^AF66</f>
        <v>0.0794328234724278</v>
      </c>
      <c r="AH66" s="39" t="n">
        <f aca="false">AJ66-AI66*((Sheet1!M$19-Sheet1!M$20)*COS(RADIANS(38))+Sheet1!M$20)/2</f>
        <v>160.787393936633</v>
      </c>
      <c r="AI66" s="37" t="n">
        <f aca="false">(AM66-AM$62)/(AM$95-AM$62)*(AI$95-AI$62)+AI$62</f>
        <v>0.2</v>
      </c>
      <c r="AJ66" s="39" t="n">
        <f aca="false">(AM66-AM$62)/(AM$70-AM$62)*(AJ$70-AJ$62)+AJ$62</f>
        <v>162.0542057656</v>
      </c>
      <c r="AK66" s="39" t="n">
        <f aca="false">8314.4621*AJ66/(Sheet1!M$21*Sheet1!M$12*9.80665)</f>
        <v>4765.62436125092</v>
      </c>
      <c r="AL66" s="39" t="n">
        <f aca="false">AL65-LN(AG66/AG65)*(AK65+AK66)/2</f>
        <v>77388.4213518562</v>
      </c>
      <c r="AM66" s="39" t="n">
        <f aca="false">Sheet1!M$10*10/Sheet1!M$11*1000*AL66/(Sheet1!M$10*10/Sheet1!M$11*1000-AL66)</f>
        <v>78344.7265105142</v>
      </c>
      <c r="AN66" s="41"/>
      <c r="AO66" s="37" t="n">
        <f aca="false">AO65+(AO$69-AO$61)/8</f>
        <v>-2.125</v>
      </c>
      <c r="AP66" s="40" t="n">
        <f aca="false">10^AO66</f>
        <v>0.00749894209332456</v>
      </c>
      <c r="AQ66" s="39" t="n">
        <f aca="false">AS66-AR66*((Sheet1!R$19-Sheet1!R$20)*COS(RADIANS(38))+Sheet1!R$20)/2</f>
        <v>154.672418317097</v>
      </c>
      <c r="AR66" s="37" t="n">
        <f aca="false">(AV66-AV$51)/(AV$116-AV$51)*(AR$116-AR$51)+AR$51</f>
        <v>0.0293524914617138</v>
      </c>
      <c r="AS66" s="39" t="n">
        <f aca="false">(AV66-AV$61)/(AV$69-AV$61)*(AS$69-AS$61)+AS$61</f>
        <v>155.820404516632</v>
      </c>
      <c r="AT66" s="39" t="n">
        <f aca="false">8314.4621*AS66/(Sheet1!R$22*Sheet1!R$12*9.80665)</f>
        <v>2756.50358450744</v>
      </c>
      <c r="AU66" s="39" t="n">
        <f aca="false">AU65-LN(AP66/AP65)*(AT65+AT66)/2</f>
        <v>51692.9424839111</v>
      </c>
      <c r="AV66" s="39" t="n">
        <f aca="false">Sheet1!R$10*10/Sheet1!R$11*1000*AU66/(Sheet1!R$10*10/Sheet1!R$11*1000-AU66)</f>
        <v>52085.427764036</v>
      </c>
    </row>
    <row r="67" customFormat="false" ht="14.4" hidden="false" customHeight="false" outlineLevel="0" collapsed="false">
      <c r="A67" s="31" t="s">
        <v>131</v>
      </c>
      <c r="B67" s="42" t="n">
        <v>0.18</v>
      </c>
      <c r="C67" s="38" t="n">
        <v>-2.31</v>
      </c>
      <c r="D67" s="38" t="n">
        <v>3.49136169383427</v>
      </c>
      <c r="E67" s="36" t="n">
        <f aca="false">IF(LOG(Sheet1!C$13*(11-Sheet1!C$11)^2/3.828E+026)&gt;C67,IF(LOG(Sheet1!C$13*(11-Sheet1!C$11)^2/3.828E+026)&lt;C66,(LOG(Sheet1!C$13*(11-Sheet1!C$11)^2/3.828E+026)-C67)/(C66-C67)*(B66-B67)+B67,0),0)</f>
        <v>0</v>
      </c>
      <c r="F67" s="37" t="n">
        <f aca="false">IF(LOG(Sheet1!C$13*(11-Sheet1!C$11)^2/3.828E+026)&gt;C67,IF(LOG(Sheet1!C$13*(11-Sheet1!C$11)^2/3.828E+026)&lt;C66,(LOG(Sheet1!C$13*(11-Sheet1!C$11)^2/3.828E+026)-C67)/(C66-C67)*(D66-D67)+D67,0),0)</f>
        <v>0</v>
      </c>
      <c r="G67" s="32" t="n">
        <f aca="false">IF(F67&gt;0,IF(F67&gt;(D66+D67)/2,A66,A67),0)</f>
        <v>0</v>
      </c>
      <c r="H67" s="32"/>
      <c r="I67" s="32"/>
      <c r="J67" s="37" t="n">
        <f aca="false">J66-0.1</f>
        <v>-1.9</v>
      </c>
      <c r="K67" s="40" t="n">
        <f aca="false">10^J67</f>
        <v>0.0125892541179416</v>
      </c>
      <c r="L67" s="39" t="n">
        <f aca="false">(O67-O$53)/(O$68-O$53)*(L$68-L$53)+L$53</f>
        <v>6871.98774058955</v>
      </c>
      <c r="M67" s="39" t="n">
        <f aca="false">8314.4621*L67/(Sheet1!C$16*Sheet1!C$12*9.80665)</f>
        <v>161564.540368606</v>
      </c>
      <c r="N67" s="39" t="n">
        <f aca="false">N66-LN(K67/K66)*(M66+M67)/2</f>
        <v>1770533.08222052</v>
      </c>
      <c r="O67" s="39" t="n">
        <f aca="false">Sheet1!C$10*10/Sheet1!C$11*1000*N67/(Sheet1!C$10*10/Sheet1!C$11*1000-N67)</f>
        <v>1775005.41152496</v>
      </c>
      <c r="Q67" s="37" t="n">
        <f aca="false">Q66-0.1</f>
        <v>2.20000000000001</v>
      </c>
      <c r="R67" s="40" t="n">
        <f aca="false">10^Q67</f>
        <v>158.489319246117</v>
      </c>
      <c r="S67" s="39" t="n">
        <f aca="false">U67-T67*((Sheet1!H$18-Sheet1!H$19)*COS(RADIANS(38))+Sheet1!H$19)/2</f>
        <v>179.969076803132</v>
      </c>
      <c r="T67" s="37" t="n">
        <f aca="false">(X67-X$54)/(X$100-X$54)*(T$100-T$54)+T$54</f>
        <v>1.22603681695227</v>
      </c>
      <c r="U67" s="39" t="n">
        <f aca="false">(X67-X$54)/(X$77-X$54)*(U$77-U$54)+U$54</f>
        <v>183.127374012236</v>
      </c>
      <c r="V67" s="39" t="n">
        <f aca="false">8314.4621*U67/(Sheet1!H$20*Sheet1!H$12*9.80665)</f>
        <v>36346.1403381507</v>
      </c>
      <c r="W67" s="39" t="n">
        <f aca="false">W66-LN(R67/R66)*(V66+V67)/2</f>
        <v>1107444.41346672</v>
      </c>
      <c r="X67" s="39" t="n">
        <f aca="false">Sheet1!H$10*10/Sheet1!H$11*1000*W67/(Sheet1!H$10*10/Sheet1!H$11*1000-W67)</f>
        <v>1128537.85850905</v>
      </c>
      <c r="Y67" s="37"/>
      <c r="Z67" s="39"/>
      <c r="AF67" s="37" t="n">
        <f aca="false">AF66-0.1</f>
        <v>-1.2</v>
      </c>
      <c r="AG67" s="40" t="n">
        <f aca="false">10^AF67</f>
        <v>0.063095734448019</v>
      </c>
      <c r="AH67" s="39" t="n">
        <f aca="false">AJ67-AI67*((Sheet1!M$19-Sheet1!M$20)*COS(RADIANS(38))+Sheet1!M$20)/2</f>
        <v>162.512119841208</v>
      </c>
      <c r="AI67" s="37" t="n">
        <f aca="false">(AM67-AM$62)/(AM$95-AM$62)*(AI$95-AI$62)+AI$62</f>
        <v>0.2</v>
      </c>
      <c r="AJ67" s="39" t="n">
        <f aca="false">(AM67-AM$62)/(AM$70-AM$62)*(AJ$70-AJ$62)+AJ$62</f>
        <v>163.778931670175</v>
      </c>
      <c r="AK67" s="39" t="n">
        <f aca="false">8314.4621*AJ67/(Sheet1!M$21*Sheet1!M$12*9.80665)</f>
        <v>4816.34440118134</v>
      </c>
      <c r="AL67" s="39" t="n">
        <f aca="false">AL66-LN(AG67/AG66)*(AK66+AK67)/2</f>
        <v>78491.2880208789</v>
      </c>
      <c r="AM67" s="39" t="n">
        <f aca="false">Sheet1!M$10*10/Sheet1!M$11*1000*AL67/(Sheet1!M$10*10/Sheet1!M$11*1000-AL67)</f>
        <v>79475.2173865588</v>
      </c>
      <c r="AN67" s="41"/>
      <c r="AO67" s="37" t="n">
        <f aca="false">AO66+(AO$69-AO$61)/8</f>
        <v>-2.25</v>
      </c>
      <c r="AP67" s="40" t="n">
        <f aca="false">10^AO67</f>
        <v>0.00562341325190349</v>
      </c>
      <c r="AQ67" s="39" t="n">
        <f aca="false">AS67-AR67*((Sheet1!R$19-Sheet1!R$20)*COS(RADIANS(38))+Sheet1!R$20)/2</f>
        <v>154.588754117558</v>
      </c>
      <c r="AR67" s="37" t="n">
        <f aca="false">(AV67-AV$51)/(AV$116-AV$51)*(AR$116-AR$51)+AR$51</f>
        <v>0.0314916745839748</v>
      </c>
      <c r="AS67" s="39" t="n">
        <f aca="false">(AV67-AV$61)/(AV$69-AV$61)*(AS$69-AS$61)+AS$61</f>
        <v>155.820404516632</v>
      </c>
      <c r="AT67" s="39" t="n">
        <f aca="false">8314.4621*AS67/(Sheet1!R$22*Sheet1!R$12*9.80665)</f>
        <v>2756.50358450744</v>
      </c>
      <c r="AU67" s="39" t="n">
        <f aca="false">AU66-LN(AP67/AP66)*(AT66+AT67)/2</f>
        <v>52486.3279917201</v>
      </c>
      <c r="AV67" s="39" t="n">
        <f aca="false">Sheet1!R$10*10/Sheet1!R$11*1000*AU67/(Sheet1!R$10*10/Sheet1!R$11*1000-AU67)</f>
        <v>52891.0006459054</v>
      </c>
    </row>
    <row r="68" customFormat="false" ht="14.4" hidden="false" customHeight="false" outlineLevel="0" collapsed="false">
      <c r="A68" s="31" t="s">
        <v>132</v>
      </c>
      <c r="B68" s="42" t="n">
        <v>0.15</v>
      </c>
      <c r="C68" s="38" t="n">
        <v>-2.52</v>
      </c>
      <c r="D68" s="38" t="n">
        <v>3.48429983934679</v>
      </c>
      <c r="E68" s="36" t="n">
        <f aca="false">IF(LOG(Sheet1!C$13*(11-Sheet1!C$11)^2/3.828E+026)&gt;C68,IF(LOG(Sheet1!C$13*(11-Sheet1!C$11)^2/3.828E+026)&lt;C67,(LOG(Sheet1!C$13*(11-Sheet1!C$11)^2/3.828E+026)-C68)/(C67-C68)*(B67-B68)+B68,0),0)</f>
        <v>0</v>
      </c>
      <c r="F68" s="37" t="n">
        <f aca="false">IF(LOG(Sheet1!C$13*(11-Sheet1!C$11)^2/3.828E+026)&gt;C68,IF(LOG(Sheet1!C$13*(11-Sheet1!C$11)^2/3.828E+026)&lt;C67,(LOG(Sheet1!C$13*(11-Sheet1!C$11)^2/3.828E+026)-C68)/(C67-C68)*(D67-D68)+D68,0),0)</f>
        <v>0</v>
      </c>
      <c r="G68" s="32" t="n">
        <f aca="false">IF(F68&gt;0,IF(F68&gt;(D67+D68)/2,A67,A68),0)</f>
        <v>0</v>
      </c>
      <c r="H68" s="32" t="n">
        <f aca="false">IF(G68&lt;&gt;0,G68,IF(G69&lt;&gt;0,G69,IF(G70&lt;&gt;0,G70,IF(G71&lt;&gt;0,G71,IF(G72&lt;&gt;0,G72,IF(G73&lt;&gt;0,G73,IF(G74&lt;&gt;0,G74,0)))))))</f>
        <v>0</v>
      </c>
      <c r="I68" s="32"/>
      <c r="J68" s="37" t="n">
        <f aca="false">J67-0.1</f>
        <v>-2</v>
      </c>
      <c r="K68" s="40" t="n">
        <f aca="false">10^J68</f>
        <v>0.00999999999999997</v>
      </c>
      <c r="L68" s="39" t="n">
        <f aca="false">1.2*Sheet1!C14</f>
        <v>6899.59873354489</v>
      </c>
      <c r="M68" s="39" t="n">
        <f aca="false">8314.4621*L68/(Sheet1!C$16*Sheet1!C$12*9.80665)</f>
        <v>162213.691320899</v>
      </c>
      <c r="N68" s="39" t="n">
        <f aca="false">N67-LN(K68/K67)*(M67+M68)/2</f>
        <v>1807809.42870673</v>
      </c>
      <c r="O68" s="39" t="n">
        <f aca="false">Sheet1!C$10*10/Sheet1!C$11*1000*N68/(Sheet1!C$10*10/Sheet1!C$11*1000-N68)</f>
        <v>1812472.3069275</v>
      </c>
      <c r="Q68" s="37" t="n">
        <f aca="false">Q67-0.1</f>
        <v>2.10000000000001</v>
      </c>
      <c r="R68" s="40" t="n">
        <f aca="false">10^Q68</f>
        <v>125.892541179421</v>
      </c>
      <c r="S68" s="39" t="n">
        <f aca="false">U68-T68*((Sheet1!H$18-Sheet1!H$19)*COS(RADIANS(38))+Sheet1!H$19)/2</f>
        <v>183.626266673498</v>
      </c>
      <c r="T68" s="37" t="n">
        <f aca="false">(X68-X$54)/(X$100-X$54)*(T$100-T$54)+T$54</f>
        <v>1.24602037464049</v>
      </c>
      <c r="U68" s="39" t="n">
        <f aca="false">(X68-X$54)/(X$77-X$54)*(U$77-U$54)+U$54</f>
        <v>186.836041956998</v>
      </c>
      <c r="V68" s="39" t="n">
        <f aca="false">8314.4621*U68/(Sheet1!H$20*Sheet1!H$12*9.80665)</f>
        <v>37082.2168876833</v>
      </c>
      <c r="W68" s="39" t="n">
        <f aca="false">W67-LN(R68/R67)*(V67+V68)/2</f>
        <v>1115898.16550428</v>
      </c>
      <c r="X68" s="39" t="n">
        <f aca="false">Sheet1!H$10*10/Sheet1!H$11*1000*W68/(Sheet1!H$10*10/Sheet1!H$11*1000-W68)</f>
        <v>1137317.99053871</v>
      </c>
      <c r="Y68" s="37"/>
      <c r="Z68" s="39"/>
      <c r="AF68" s="37" t="n">
        <f aca="false">AF67-0.1</f>
        <v>-1.3</v>
      </c>
      <c r="AG68" s="40" t="n">
        <f aca="false">10^AF68</f>
        <v>0.050118723362727</v>
      </c>
      <c r="AH68" s="39" t="n">
        <f aca="false">AJ68-AI68*((Sheet1!M$19-Sheet1!M$20)*COS(RADIANS(38))+Sheet1!M$20)/2</f>
        <v>164.256091494448</v>
      </c>
      <c r="AI68" s="37" t="n">
        <f aca="false">(AM68-AM$62)/(AM$95-AM$62)*(AI$95-AI$62)+AI$62</f>
        <v>0.2</v>
      </c>
      <c r="AJ68" s="39" t="n">
        <f aca="false">(AM68-AM$62)/(AM$70-AM$62)*(AJ$70-AJ$62)+AJ$62</f>
        <v>165.522903323416</v>
      </c>
      <c r="AK68" s="39" t="n">
        <f aca="false">8314.4621*AJ68/(Sheet1!M$21*Sheet1!M$12*9.80665)</f>
        <v>4867.6304122833</v>
      </c>
      <c r="AL68" s="39" t="n">
        <f aca="false">AL67-LN(AG68/AG67)*(AK67+AK68)/2</f>
        <v>79606.1968231996</v>
      </c>
      <c r="AM68" s="39" t="n">
        <f aca="false">Sheet1!M$10*10/Sheet1!M$11*1000*AL68/(Sheet1!M$10*10/Sheet1!M$11*1000-AL68)</f>
        <v>80618.4568777409</v>
      </c>
      <c r="AN68" s="41"/>
      <c r="AO68" s="37" t="n">
        <f aca="false">AO67+(AO$69-AO$61)/8</f>
        <v>-2.375</v>
      </c>
      <c r="AP68" s="40" t="n">
        <f aca="false">10^AO68</f>
        <v>0.00421696503428582</v>
      </c>
      <c r="AQ68" s="39" t="n">
        <f aca="false">AS68-AR68*((Sheet1!R$19-Sheet1!R$20)*COS(RADIANS(38))+Sheet1!R$20)/2</f>
        <v>154.505070414363</v>
      </c>
      <c r="AR68" s="37" t="n">
        <f aca="false">(AV68-AV$51)/(AV$116-AV$51)*(AR$116-AR$51)+AR$51</f>
        <v>0.0336313563889542</v>
      </c>
      <c r="AS68" s="39" t="n">
        <f aca="false">(AV68-AV$61)/(AV$69-AV$61)*(AS$69-AS$61)+AS$61</f>
        <v>155.820404516632</v>
      </c>
      <c r="AT68" s="39" t="n">
        <f aca="false">8314.4621*AS68/(Sheet1!R$22*Sheet1!R$12*9.80665)</f>
        <v>2756.50358450744</v>
      </c>
      <c r="AU68" s="39" t="n">
        <f aca="false">AU67-LN(AP68/AP67)*(AT67+AT68)/2</f>
        <v>53279.713499529</v>
      </c>
      <c r="AV68" s="39" t="n">
        <f aca="false">Sheet1!R$10*10/Sheet1!R$11*1000*AU68/(Sheet1!R$10*10/Sheet1!R$11*1000-AU68)</f>
        <v>53696.7613215501</v>
      </c>
    </row>
    <row r="69" customFormat="false" ht="14.4" hidden="false" customHeight="false" outlineLevel="0" collapsed="false">
      <c r="A69" s="31" t="s">
        <v>133</v>
      </c>
      <c r="B69" s="42" t="n">
        <v>0.12</v>
      </c>
      <c r="C69" s="38" t="n">
        <v>-2.79</v>
      </c>
      <c r="D69" s="38" t="n">
        <v>3.47712125471966</v>
      </c>
      <c r="E69" s="36" t="n">
        <f aca="false">IF(LOG(Sheet1!C$13*(11-Sheet1!C$11)^2/3.828E+026)&gt;C69,IF(LOG(Sheet1!C$13*(11-Sheet1!C$11)^2/3.828E+026)&lt;C68,(LOG(Sheet1!C$13*(11-Sheet1!C$11)^2/3.828E+026)-C69)/(C68-C69)*(B68-B69)+B69,0),0)</f>
        <v>0</v>
      </c>
      <c r="F69" s="37" t="n">
        <f aca="false">IF(LOG(Sheet1!C$13*(11-Sheet1!C$11)^2/3.828E+026)&gt;C69,IF(LOG(Sheet1!C$13*(11-Sheet1!C$11)^2/3.828E+026)&lt;C68,(LOG(Sheet1!C$13*(11-Sheet1!C$11)^2/3.828E+026)-C69)/(C68-C69)*(D68-D69)+D69,0),0)</f>
        <v>0</v>
      </c>
      <c r="G69" s="32" t="n">
        <f aca="false">IF(F69&gt;0,IF(F69&gt;(D68+D69)/2,A68,A69),0)</f>
        <v>0</v>
      </c>
      <c r="H69" s="32"/>
      <c r="I69" s="32"/>
      <c r="J69" s="37" t="n">
        <f aca="false">J68-0.1</f>
        <v>-2.1</v>
      </c>
      <c r="K69" s="40" t="n">
        <f aca="false">10^J69</f>
        <v>0.00794328234724279</v>
      </c>
      <c r="L69" s="39" t="n">
        <f aca="false">(O69-O$68)/(O$76-O$68)*(L$76-L$68)+L$68</f>
        <v>7042.82355901704</v>
      </c>
      <c r="M69" s="39" t="n">
        <f aca="false">8314.4621*L69/(Sheet1!C$16*Sheet1!C$12*9.80665)</f>
        <v>165580.992598244</v>
      </c>
      <c r="N69" s="39" t="n">
        <f aca="false">N68-LN(K69/K68)*(M68+M69)/2</f>
        <v>1845548.18634448</v>
      </c>
      <c r="O69" s="39" t="n">
        <f aca="false">Sheet1!C$10*10/Sheet1!C$11*1000*N69/(Sheet1!C$10*10/Sheet1!C$11*1000-N69)</f>
        <v>1850408.03720125</v>
      </c>
      <c r="Q69" s="37" t="n">
        <f aca="false">Q68-0.1</f>
        <v>2.00000000000001</v>
      </c>
      <c r="R69" s="40" t="n">
        <f aca="false">10^Q69</f>
        <v>100.000000000003</v>
      </c>
      <c r="S69" s="39" t="n">
        <f aca="false">U69-T69*((Sheet1!H$18-Sheet1!H$19)*COS(RADIANS(38))+Sheet1!H$19)/2</f>
        <v>187.35521990603</v>
      </c>
      <c r="T69" s="37" t="n">
        <f aca="false">(X69-X$54)/(X$100-X$54)*(T$100-T$54)+T$54</f>
        <v>1.26641450331662</v>
      </c>
      <c r="U69" s="39" t="n">
        <f aca="false">(X69-X$54)/(X$77-X$54)*(U$77-U$54)+U$54</f>
        <v>190.61753090362</v>
      </c>
      <c r="V69" s="39" t="n">
        <f aca="false">8314.4621*U69/(Sheet1!H$20*Sheet1!H$12*9.80665)</f>
        <v>37832.746559626</v>
      </c>
      <c r="W69" s="39" t="n">
        <f aca="false">W68-LN(R69/R68)*(V68+V69)/2</f>
        <v>1124523.06940808</v>
      </c>
      <c r="X69" s="39" t="n">
        <f aca="false">Sheet1!H$10*10/Sheet1!H$11*1000*W69/(Sheet1!H$10*10/Sheet1!H$11*1000-W69)</f>
        <v>1146278.51424525</v>
      </c>
      <c r="Y69" s="37"/>
      <c r="Z69" s="39"/>
      <c r="AF69" s="37" t="n">
        <f aca="false">AF68-0.1</f>
        <v>-1.4</v>
      </c>
      <c r="AG69" s="40" t="n">
        <f aca="false">10^AF69</f>
        <v>0.0398107170553495</v>
      </c>
      <c r="AH69" s="39" t="n">
        <f aca="false">AJ69-AI69*((Sheet1!M$19-Sheet1!M$20)*COS(RADIANS(38))+Sheet1!M$20)/2</f>
        <v>166.018909045856</v>
      </c>
      <c r="AI69" s="37" t="n">
        <f aca="false">(AM69-AM$62)/(AM$95-AM$62)*(AI$95-AI$62)+AI$62</f>
        <v>0.2</v>
      </c>
      <c r="AJ69" s="39" t="n">
        <f aca="false">(AM69-AM$62)/(AM$70-AM$62)*(AJ$70-AJ$62)+AJ$62</f>
        <v>167.285720874824</v>
      </c>
      <c r="AK69" s="39" t="n">
        <f aca="false">8314.4621*AJ69/(Sheet1!M$21*Sheet1!M$12*9.80665)</f>
        <v>4919.47063591552</v>
      </c>
      <c r="AL69" s="39" t="n">
        <f aca="false">AL68-LN(AG69/AG68)*(AK68+AK69)/2</f>
        <v>80732.97847206</v>
      </c>
      <c r="AM69" s="39" t="n">
        <f aca="false">Sheet1!M$10*10/Sheet1!M$11*1000*AL69/(Sheet1!M$10*10/Sheet1!M$11*1000-AL69)</f>
        <v>81774.284712959</v>
      </c>
      <c r="AN69" s="41"/>
      <c r="AO69" s="37" t="n">
        <f aca="false">IF(Sheet1!R24="Y",-1,-2.5)</f>
        <v>-2.5</v>
      </c>
      <c r="AP69" s="40" t="n">
        <f aca="false">10^AO69</f>
        <v>0.00316227766016838</v>
      </c>
      <c r="AQ69" s="39" t="n">
        <f aca="false">AS69-AR69*((Sheet1!R$19-Sheet1!R$20)*COS(RADIANS(38))+Sheet1!R$20)/2</f>
        <v>154.421367200692</v>
      </c>
      <c r="AR69" s="37" t="n">
        <f aca="false">(AV69-AV$51)/(AV$116-AV$51)*(AR$116-AR$51)+AR$51</f>
        <v>0.0357715370510503</v>
      </c>
      <c r="AS69" s="39" t="n">
        <f aca="false">MIN(IF(Sheet1!R15&gt;1,36*LOG(Sheet1!R15)+30,30),(Sheet1!R15*(1-MAX(Sheet1!R14,0.56707137))/(4*0.000000056704))^0.25)</f>
        <v>155.820404516632</v>
      </c>
      <c r="AT69" s="39" t="n">
        <f aca="false">8314.4621*AS69/(Sheet1!R$22*Sheet1!R$12*9.80665)</f>
        <v>2756.50358450744</v>
      </c>
      <c r="AU69" s="39" t="n">
        <f aca="false">AU68-LN(AP69/AP68)*(AT68+AT69)/2</f>
        <v>54073.099007338</v>
      </c>
      <c r="AV69" s="39" t="n">
        <f aca="false">Sheet1!R$10*10/Sheet1!R$11*1000*AU69/(Sheet1!R$10*10/Sheet1!R$11*1000-AU69)</f>
        <v>54502.709856645</v>
      </c>
    </row>
    <row r="70" customFormat="false" ht="14.4" hidden="false" customHeight="false" outlineLevel="0" collapsed="false">
      <c r="A70" s="31" t="s">
        <v>134</v>
      </c>
      <c r="B70" s="42" t="n">
        <v>0.1</v>
      </c>
      <c r="C70" s="38" t="n">
        <v>-3.02</v>
      </c>
      <c r="D70" s="38" t="n">
        <v>3.44715803134222</v>
      </c>
      <c r="E70" s="36" t="n">
        <f aca="false">IF(LOG(Sheet1!C$13*(11-Sheet1!C$11)^2/3.828E+026)&gt;C70,IF(LOG(Sheet1!C$13*(11-Sheet1!C$11)^2/3.828E+026)&lt;C69,(LOG(Sheet1!C$13*(11-Sheet1!C$11)^2/3.828E+026)-C70)/(C69-C70)*(B69-B70)+B70,0),0)</f>
        <v>0</v>
      </c>
      <c r="F70" s="37" t="n">
        <f aca="false">IF(LOG(Sheet1!C$13*(11-Sheet1!C$11)^2/3.828E+026)&gt;C70,IF(LOG(Sheet1!C$13*(11-Sheet1!C$11)^2/3.828E+026)&lt;C69,(LOG(Sheet1!C$13*(11-Sheet1!C$11)^2/3.828E+026)-C70)/(C69-C70)*(D69-D70)+D70,0),0)</f>
        <v>0</v>
      </c>
      <c r="G70" s="32" t="n">
        <f aca="false">IF(F70&gt;0,IF(F70&gt;(D69+D70)/2,A69,A70),0)</f>
        <v>0</v>
      </c>
      <c r="H70" s="32"/>
      <c r="I70" s="32"/>
      <c r="J70" s="37" t="n">
        <f aca="false">J69-0.1</f>
        <v>-2.2</v>
      </c>
      <c r="K70" s="40" t="n">
        <f aca="false">10^J70</f>
        <v>0.00630957344480191</v>
      </c>
      <c r="L70" s="39" t="n">
        <f aca="false">(O70-O$68)/(O$76-O$68)*(L$76-L$68)+L$68</f>
        <v>7189.03758077471</v>
      </c>
      <c r="M70" s="39" t="n">
        <f aca="false">8314.4621*L70/(Sheet1!C$16*Sheet1!C$12*9.80665)</f>
        <v>169018.571667425</v>
      </c>
      <c r="N70" s="39" t="n">
        <f aca="false">N69-LN(K70/K69)*(M69+M70)/2</f>
        <v>1884070.3847845</v>
      </c>
      <c r="O70" s="39" t="n">
        <f aca="false">Sheet1!C$10*10/Sheet1!C$11*1000*N70/(Sheet1!C$10*10/Sheet1!C$11*1000-N70)</f>
        <v>1889135.51111057</v>
      </c>
      <c r="Q70" s="37" t="n">
        <f aca="false">Q69-0.1</f>
        <v>1.90000000000001</v>
      </c>
      <c r="R70" s="40" t="n">
        <f aca="false">10^Q70</f>
        <v>79.4328234724307</v>
      </c>
      <c r="S70" s="39" t="n">
        <f aca="false">U70-T70*((Sheet1!H$18-Sheet1!H$19)*COS(RADIANS(38))+Sheet1!H$19)/2</f>
        <v>191.1676864732</v>
      </c>
      <c r="T70" s="37" t="n">
        <f aca="false">(X70-X$54)/(X$100-X$54)*(T$100-T$54)+T$54</f>
        <v>1.28722807504469</v>
      </c>
      <c r="U70" s="39" t="n">
        <f aca="false">(X70-X$54)/(X$77-X$54)*(U$77-U$54)+U$54</f>
        <v>194.483613679204</v>
      </c>
      <c r="V70" s="39" t="n">
        <f aca="false">8314.4621*U70/(Sheet1!H$20*Sheet1!H$12*9.80665)</f>
        <v>38600.0659616444</v>
      </c>
      <c r="W70" s="39" t="n">
        <f aca="false">W69-LN(R70/R69)*(V69+V70)/2</f>
        <v>1133322.72214444</v>
      </c>
      <c r="X70" s="39" t="n">
        <f aca="false">Sheet1!H$10*10/Sheet1!H$11*1000*W70/(Sheet1!H$10*10/Sheet1!H$11*1000-W70)</f>
        <v>1155423.32772804</v>
      </c>
      <c r="Y70" s="37"/>
      <c r="Z70" s="39"/>
      <c r="AF70" s="37" t="n">
        <f aca="false">AF69-0.1</f>
        <v>-1.5</v>
      </c>
      <c r="AG70" s="40" t="n">
        <f aca="false">10^AF70</f>
        <v>0.0316227766016836</v>
      </c>
      <c r="AH70" s="39" t="n">
        <f aca="false">AJ70-AI70*((Sheet1!M$19-Sheet1!M$20)*COS(RADIANS(38))+Sheet1!M$20)/2</f>
        <v>167.801460724154</v>
      </c>
      <c r="AI70" s="37" t="n">
        <f aca="false">(AM70-AM$62)/(AM$95-AM$62)*(AI$95-AI$62)+AI$62</f>
        <v>0.2</v>
      </c>
      <c r="AJ70" s="39" t="n">
        <f aca="false">0.016*(320*LOG(Sheet1!M15)-AJ62)+AJ62</f>
        <v>169.068272553122</v>
      </c>
      <c r="AK70" s="39" t="n">
        <f aca="false">8314.4621*AJ70/(Sheet1!M$21*Sheet1!M$12*9.80665)</f>
        <v>4971.89119274805</v>
      </c>
      <c r="AL70" s="39" t="n">
        <f aca="false">AL69-LN(AG70/AG69)*(AK69+AK70)/2</f>
        <v>81871.7635868646</v>
      </c>
      <c r="AM70" s="39" t="n">
        <f aca="false">Sheet1!M$10*10/Sheet1!M$11*1000*AL70/(Sheet1!M$10*10/Sheet1!M$11*1000-AL70)</f>
        <v>82942.848329715</v>
      </c>
      <c r="AN70" s="41"/>
      <c r="AO70" s="37" t="n">
        <f aca="false">AO69+(AO$77-AO$69)/8</f>
        <v>-2.6</v>
      </c>
      <c r="AP70" s="40" t="n">
        <f aca="false">10^AO70</f>
        <v>0.00251188643150958</v>
      </c>
      <c r="AQ70" s="39" t="n">
        <f aca="false">AS70-AR70*((Sheet1!R$19-Sheet1!R$20)*COS(RADIANS(38))+Sheet1!R$20)/2</f>
        <v>155.608607501713</v>
      </c>
      <c r="AR70" s="37" t="n">
        <f aca="false">(AV70-AV$51)/(AV$116-AV$51)*(AR$116-AR$51)+AR$51</f>
        <v>0.0374909350753497</v>
      </c>
      <c r="AS70" s="39" t="n">
        <f aca="false">(AV70-AV$69)/(AV$77-AV$69)*(AS$77-AS$69)+AS$69</f>
        <v>157.0748910753</v>
      </c>
      <c r="AT70" s="39" t="n">
        <f aca="false">8314.4621*AS70/(Sheet1!R$22*Sheet1!R$12*9.80665)</f>
        <v>2778.69577882507</v>
      </c>
      <c r="AU70" s="39" t="n">
        <f aca="false">AU69-LN(AP70/AP69)*(AT69+AT70)/2</f>
        <v>54710.3623843067</v>
      </c>
      <c r="AV70" s="39" t="n">
        <f aca="false">Sheet1!R$10*10/Sheet1!R$11*1000*AU70/(Sheet1!R$10*10/Sheet1!R$11*1000-AU70)</f>
        <v>55150.2002033581</v>
      </c>
    </row>
    <row r="71" customFormat="false" ht="14.4" hidden="false" customHeight="false" outlineLevel="0" collapsed="false">
      <c r="A71" s="31" t="s">
        <v>135</v>
      </c>
      <c r="B71" s="42" t="n">
        <v>0.09</v>
      </c>
      <c r="C71" s="38" t="n">
        <v>-3.21</v>
      </c>
      <c r="D71" s="38" t="n">
        <v>3.42324587393681</v>
      </c>
      <c r="E71" s="36" t="n">
        <f aca="false">IF(LOG(Sheet1!C$13*(11-Sheet1!C$11)^2/3.828E+026)&gt;C71,IF(LOG(Sheet1!C$13*(11-Sheet1!C$11)^2/3.828E+026)&lt;C70,(LOG(Sheet1!C$13*(11-Sheet1!C$11)^2/3.828E+026)-C71)/(C70-C71)*(B70-B71)+B71,0),0)</f>
        <v>0</v>
      </c>
      <c r="F71" s="37" t="n">
        <f aca="false">IF(LOG(Sheet1!C$13*(11-Sheet1!C$11)^2/3.828E+026)&gt;C71,IF(LOG(Sheet1!C$13*(11-Sheet1!C$11)^2/3.828E+026)&lt;C70,(LOG(Sheet1!C$13*(11-Sheet1!C$11)^2/3.828E+026)-C71)/(C70-C71)*(D70-D71)+D71,0),0)</f>
        <v>0</v>
      </c>
      <c r="G71" s="32" t="n">
        <f aca="false">IF(F71&gt;0,IF(F71&gt;(D70+D71)/2,A70,A71),0)</f>
        <v>0</v>
      </c>
      <c r="H71" s="32"/>
      <c r="I71" s="32"/>
      <c r="J71" s="37" t="n">
        <f aca="false">J70-0.1</f>
        <v>-2.3</v>
      </c>
      <c r="K71" s="40" t="n">
        <f aca="false">10^J71</f>
        <v>0.0050118723362727</v>
      </c>
      <c r="L71" s="39" t="n">
        <f aca="false">(O71-O$68)/(O$76-O$68)*(L$76-L$68)+L$68</f>
        <v>7338.30386068796</v>
      </c>
      <c r="M71" s="39" t="n">
        <f aca="false">8314.4621*L71/(Sheet1!C$16*Sheet1!C$12*9.80665)</f>
        <v>172527.911150712</v>
      </c>
      <c r="N71" s="39" t="n">
        <f aca="false">N70-LN(K71/K70)*(M70+M71)/2</f>
        <v>1923392.37677958</v>
      </c>
      <c r="O71" s="39" t="n">
        <f aca="false">Sheet1!C$10*10/Sheet1!C$11*1000*N71/(Sheet1!C$10*10/Sheet1!C$11*1000-N71)</f>
        <v>1928671.43175204</v>
      </c>
      <c r="Q71" s="37" t="n">
        <f aca="false">Q70-0.1</f>
        <v>1.80000000000001</v>
      </c>
      <c r="R71" s="40" t="n">
        <f aca="false">10^Q71</f>
        <v>63.0957344480214</v>
      </c>
      <c r="S71" s="39" t="n">
        <f aca="false">U71-T71*((Sheet1!H$18-Sheet1!H$19)*COS(RADIANS(38))+Sheet1!H$19)/2</f>
        <v>195.055199270295</v>
      </c>
      <c r="T71" s="37" t="n">
        <f aca="false">(X71-X$54)/(X$100-X$54)*(T$100-T$54)+T$54</f>
        <v>1.30847015989078</v>
      </c>
      <c r="U71" s="39" t="n">
        <f aca="false">(X71-X$54)/(X$77-X$54)*(U$77-U$54)+U$54</f>
        <v>198.425846543721</v>
      </c>
      <c r="V71" s="39" t="n">
        <f aca="false">8314.4621*U71/(Sheet1!H$20*Sheet1!H$12*9.80665)</f>
        <v>39382.4992254437</v>
      </c>
      <c r="W71" s="39" t="n">
        <f aca="false">W70-LN(R71/R70)*(V70+V71)/2</f>
        <v>1142300.7967501</v>
      </c>
      <c r="X71" s="39" t="n">
        <f aca="false">Sheet1!H$10*10/Sheet1!H$11*1000*W71/(Sheet1!H$10*10/Sheet1!H$11*1000-W71)</f>
        <v>1164756.41608216</v>
      </c>
      <c r="Y71" s="37"/>
      <c r="Z71" s="39"/>
      <c r="AF71" s="37" t="n">
        <f aca="false">AF70-0.1</f>
        <v>-1.6</v>
      </c>
      <c r="AG71" s="40" t="n">
        <f aca="false">10^AF71</f>
        <v>0.0251188643150957</v>
      </c>
      <c r="AH71" s="39" t="n">
        <f aca="false">AJ71-AI71*((Sheet1!M$19-Sheet1!M$20)*COS(RADIANS(38))+Sheet1!M$20)/2</f>
        <v>174.457355182915</v>
      </c>
      <c r="AI71" s="37" t="n">
        <f aca="false">(AM71-AM$62)/(AM$95-AM$62)*(AI$95-AI$62)+AI$62</f>
        <v>0.2</v>
      </c>
      <c r="AJ71" s="39" t="n">
        <f aca="false">(AM71-AM$70)/(AM$75-AM$70)*(AJ$75-AJ$70)+AJ$70</f>
        <v>175.724167011883</v>
      </c>
      <c r="AK71" s="39" t="n">
        <f aca="false">8314.4621*AJ71/(Sheet1!M$21*Sheet1!M$12*9.80665)</f>
        <v>5167.62503765959</v>
      </c>
      <c r="AL71" s="39" t="n">
        <f aca="false">AL70-LN(AG71/AG70)*(AK70+AK71)/2</f>
        <v>83039.11853298</v>
      </c>
      <c r="AM71" s="39" t="n">
        <f aca="false">Sheet1!M$10*10/Sheet1!M$11*1000*AL71/(Sheet1!M$10*10/Sheet1!M$11*1000-AL71)</f>
        <v>84141.1703657089</v>
      </c>
      <c r="AN71" s="41"/>
      <c r="AO71" s="37" t="n">
        <f aca="false">AO70+(AO$77-AO$69)/8</f>
        <v>-2.7</v>
      </c>
      <c r="AP71" s="40" t="n">
        <f aca="false">10^AO71</f>
        <v>0.00199526231496888</v>
      </c>
      <c r="AQ71" s="39" t="n">
        <f aca="false">AS71-AR71*((Sheet1!R$19-Sheet1!R$20)*COS(RADIANS(38))+Sheet1!R$20)/2</f>
        <v>156.805632066918</v>
      </c>
      <c r="AR71" s="37" t="n">
        <f aca="false">(AV71-AV$51)/(AV$116-AV$51)*(AR$116-AR$51)+AR$51</f>
        <v>0.0392245029728356</v>
      </c>
      <c r="AS71" s="39" t="n">
        <f aca="false">(AV71-AV$69)/(AV$77-AV$69)*(AS$77-AS$69)+AS$69</f>
        <v>158.339716086845</v>
      </c>
      <c r="AT71" s="39" t="n">
        <f aca="false">8314.4621*AS71/(Sheet1!R$22*Sheet1!R$12*9.80665)</f>
        <v>2801.07086306973</v>
      </c>
      <c r="AU71" s="39" t="n">
        <f aca="false">AU70-LN(AP71/AP70)*(AT70+AT71)/2</f>
        <v>55352.756758768</v>
      </c>
      <c r="AV71" s="39" t="n">
        <f aca="false">Sheet1!R$10*10/Sheet1!R$11*1000*AU71/(Sheet1!R$10*10/Sheet1!R$11*1000-AU71)</f>
        <v>55803.0266362901</v>
      </c>
    </row>
    <row r="72" customFormat="false" ht="14.4" hidden="false" customHeight="false" outlineLevel="0" collapsed="false">
      <c r="A72" s="31" t="s">
        <v>136</v>
      </c>
      <c r="B72" s="42" t="n">
        <v>0.08</v>
      </c>
      <c r="C72" s="38" t="n">
        <v>-3.29</v>
      </c>
      <c r="D72" s="38" t="n">
        <v>3.41497334797082</v>
      </c>
      <c r="E72" s="36" t="n">
        <f aca="false">IF(LOG(Sheet1!C$13*(11-Sheet1!C$11)^2/3.828E+026)&gt;C72,IF(LOG(Sheet1!C$13*(11-Sheet1!C$11)^2/3.828E+026)&lt;C71,(LOG(Sheet1!C$13*(11-Sheet1!C$11)^2/3.828E+026)-C72)/(C71-C72)*(B71-B72)+B72,0),0)</f>
        <v>0</v>
      </c>
      <c r="F72" s="37" t="n">
        <f aca="false">IF(LOG(Sheet1!C$13*(11-Sheet1!C$11)^2/3.828E+026)&gt;C72,IF(LOG(Sheet1!C$13*(11-Sheet1!C$11)^2/3.828E+026)&lt;C71,(LOG(Sheet1!C$13*(11-Sheet1!C$11)^2/3.828E+026)-C72)/(C71-C72)*(D71-D72)+D72,0),0)</f>
        <v>0</v>
      </c>
      <c r="G72" s="32" t="n">
        <f aca="false">IF(F72&gt;0,IF(F72&gt;(D71+D72)/2,A71,A72),0)</f>
        <v>0</v>
      </c>
      <c r="H72" s="32"/>
      <c r="I72" s="32"/>
      <c r="J72" s="37" t="n">
        <f aca="false">J71-0.1</f>
        <v>-2.4</v>
      </c>
      <c r="K72" s="40" t="n">
        <f aca="false">10^J72</f>
        <v>0.00398107170553496</v>
      </c>
      <c r="L72" s="39" t="n">
        <f aca="false">(O72-O$68)/(O$76-O$68)*(L$76-L$68)+L$68</f>
        <v>7490.68681942181</v>
      </c>
      <c r="M72" s="39" t="n">
        <f aca="false">8314.4621*L72/(Sheet1!C$16*Sheet1!C$12*9.80665)</f>
        <v>176110.525616455</v>
      </c>
      <c r="N72" s="39" t="n">
        <f aca="false">N71-LN(K72/K71)*(M71+M72)/2</f>
        <v>1963530.86014682</v>
      </c>
      <c r="O72" s="39" t="n">
        <f aca="false">Sheet1!C$10*10/Sheet1!C$11*1000*N72/(Sheet1!C$10*10/Sheet1!C$11*1000-N72)</f>
        <v>1969032.86212409</v>
      </c>
      <c r="Q72" s="37" t="n">
        <f aca="false">Q71-0.1</f>
        <v>1.70000000000001</v>
      </c>
      <c r="R72" s="40" t="n">
        <f aca="false">10^Q72</f>
        <v>50.1187233627288</v>
      </c>
      <c r="S72" s="39" t="n">
        <f aca="false">U72-T72*((Sheet1!H$18-Sheet1!H$19)*COS(RADIANS(38))+Sheet1!H$19)/2</f>
        <v>199.02276379407</v>
      </c>
      <c r="T72" s="37" t="n">
        <f aca="false">(X72-X$54)/(X$100-X$54)*(T$100-T$54)+T$54</f>
        <v>1.3301496619558</v>
      </c>
      <c r="U72" s="39" t="n">
        <f aca="false">(X72-X$54)/(X$77-X$54)*(U$77-U$54)+U$54</f>
        <v>202.44925793108</v>
      </c>
      <c r="V72" s="39" t="n">
        <f aca="false">8314.4621*U72/(Sheet1!H$20*Sheet1!H$12*9.80665)</f>
        <v>40181.0443676534</v>
      </c>
      <c r="W72" s="39" t="n">
        <f aca="false">W71-LN(R72/R71)*(V71+V72)/2</f>
        <v>1151460.88822126</v>
      </c>
      <c r="X72" s="39" t="n">
        <f aca="false">Sheet1!H$10*10/Sheet1!H$11*1000*W72/(Sheet1!H$10*10/Sheet1!H$11*1000-W72)</f>
        <v>1174281.69148296</v>
      </c>
      <c r="Y72" s="37"/>
      <c r="Z72" s="39"/>
      <c r="AF72" s="37" t="n">
        <f aca="false">AF71-0.1</f>
        <v>-1.7</v>
      </c>
      <c r="AG72" s="40" t="n">
        <f aca="false">10^AF72</f>
        <v>0.0199526231496887</v>
      </c>
      <c r="AH72" s="39" t="n">
        <f aca="false">AJ72-AI72*((Sheet1!M$19-Sheet1!M$20)*COS(RADIANS(38))+Sheet1!M$20)/2</f>
        <v>181.378182391437</v>
      </c>
      <c r="AI72" s="37" t="n">
        <f aca="false">(AM72-AM$62)/(AM$95-AM$62)*(AI$95-AI$62)+AI$62</f>
        <v>0.2</v>
      </c>
      <c r="AJ72" s="39" t="n">
        <f aca="false">(AM72-AM$70)/(AM$75-AM$70)*(AJ$75-AJ$70)+AJ$70</f>
        <v>182.644994220404</v>
      </c>
      <c r="AK72" s="39" t="n">
        <f aca="false">8314.4621*AJ72/(Sheet1!M$21*Sheet1!M$12*9.80665)</f>
        <v>5371.14991743127</v>
      </c>
      <c r="AL72" s="39" t="n">
        <f aca="false">AL71-LN(AG72/AG71)*(AK71+AK72)/2</f>
        <v>84252.4398384805</v>
      </c>
      <c r="AM72" s="39" t="n">
        <f aca="false">Sheet1!M$10*10/Sheet1!M$11*1000*AL72/(Sheet1!M$10*10/Sheet1!M$11*1000-AL72)</f>
        <v>85387.152125137</v>
      </c>
      <c r="AN72" s="41"/>
      <c r="AO72" s="37" t="n">
        <f aca="false">AO71+(AO$77-AO$69)/8</f>
        <v>-2.8</v>
      </c>
      <c r="AP72" s="40" t="n">
        <f aca="false">10^AO72</f>
        <v>0.00158489319246111</v>
      </c>
      <c r="AQ72" s="39" t="n">
        <f aca="false">AS72-AR72*((Sheet1!R$19-Sheet1!R$20)*COS(RADIANS(38))+Sheet1!R$20)/2</f>
        <v>158.012525206812</v>
      </c>
      <c r="AR72" s="37" t="n">
        <f aca="false">(AV72-AV$51)/(AV$116-AV$51)*(AR$116-AR$51)+AR$51</f>
        <v>0.04097236284458</v>
      </c>
      <c r="AS72" s="39" t="n">
        <f aca="false">(AV72-AV$69)/(AV$77-AV$69)*(AS$77-AS$69)+AS$69</f>
        <v>159.614968637185</v>
      </c>
      <c r="AT72" s="39" t="n">
        <f aca="false">8314.4621*AS72/(Sheet1!R$22*Sheet1!R$12*9.80665)</f>
        <v>2823.63041319458</v>
      </c>
      <c r="AU72" s="39" t="n">
        <f aca="false">AU71-LN(AP72/AP71)*(AT71+AT72)/2</f>
        <v>56000.3244241217</v>
      </c>
      <c r="AV72" s="39" t="n">
        <f aca="false">Sheet1!R$10*10/Sheet1!R$11*1000*AU72/(Sheet1!R$10*10/Sheet1!R$11*1000-AU72)</f>
        <v>56461.235136223</v>
      </c>
    </row>
    <row r="73" customFormat="false" ht="14.4" hidden="false" customHeight="false" outlineLevel="0" collapsed="false">
      <c r="A73" s="31" t="s">
        <v>137</v>
      </c>
      <c r="B73" s="42" t="n">
        <v>0.077</v>
      </c>
      <c r="C73" s="38" t="n">
        <v>-3.34</v>
      </c>
      <c r="D73" s="38" t="n">
        <v>3.39794000867204</v>
      </c>
      <c r="E73" s="36" t="n">
        <f aca="false">IF(LOG(Sheet1!C$13*(11-Sheet1!C$11)^2/3.828E+026)&gt;C73,IF(LOG(Sheet1!C$13*(11-Sheet1!C$11)^2/3.828E+026)&lt;C72,(LOG(Sheet1!C$13*(11-Sheet1!C$11)^2/3.828E+026)-C73)/(C72-C73)*(B72-B73)+B73,0),0)</f>
        <v>0</v>
      </c>
      <c r="F73" s="37" t="n">
        <f aca="false">IF(LOG(Sheet1!C$13*(11-Sheet1!C$11)^2/3.828E+026)&gt;C73,IF(LOG(Sheet1!C$13*(11-Sheet1!C$11)^2/3.828E+026)&lt;C72,(LOG(Sheet1!C$13*(11-Sheet1!C$11)^2/3.828E+026)-C73)/(C72-C73)*(D72-D73)+D73,0),0)</f>
        <v>0</v>
      </c>
      <c r="G73" s="32" t="n">
        <f aca="false">IF(F73&gt;0,IF(F73&gt;(D72+D73)/2,A72,A73),0)</f>
        <v>0</v>
      </c>
      <c r="H73" s="32"/>
      <c r="I73" s="32"/>
      <c r="J73" s="37" t="n">
        <f aca="false">J72-0.1</f>
        <v>-2.5</v>
      </c>
      <c r="K73" s="40" t="n">
        <f aca="false">10^J73</f>
        <v>0.00316227766016837</v>
      </c>
      <c r="L73" s="39" t="n">
        <f aca="false">(O73-O$68)/(O$76-O$68)*(L$76-L$68)+L$68</f>
        <v>7646.25226690749</v>
      </c>
      <c r="M73" s="39" t="n">
        <f aca="false">8314.4621*L73/(Sheet1!C$16*Sheet1!C$12*9.80665)</f>
        <v>179767.962295483</v>
      </c>
      <c r="N73" s="39" t="n">
        <f aca="false">N72-LN(K73/K72)*(M72+M73)/2</f>
        <v>2004502.88520599</v>
      </c>
      <c r="O73" s="39" t="n">
        <f aca="false">Sheet1!C$10*10/Sheet1!C$11*1000*N73/(Sheet1!C$10*10/Sheet1!C$11*1000-N73)</f>
        <v>2010237.23319787</v>
      </c>
      <c r="Q73" s="37" t="n">
        <f aca="false">Q72-0.1</f>
        <v>1.60000000000001</v>
      </c>
      <c r="R73" s="40" t="n">
        <f aca="false">10^Q73</f>
        <v>39.810717055351</v>
      </c>
      <c r="S73" s="39" t="n">
        <f aca="false">U73-T73*((Sheet1!H$18-Sheet1!H$19)*COS(RADIANS(38))+Sheet1!H$19)/2</f>
        <v>203.07207994721</v>
      </c>
      <c r="T73" s="37" t="n">
        <f aca="false">(X73-X$54)/(X$100-X$54)*(T$100-T$54)+T$54</f>
        <v>1.35227586977899</v>
      </c>
      <c r="U73" s="39" t="n">
        <f aca="false">(X73-X$54)/(X$77-X$54)*(U$77-U$54)+U$54</f>
        <v>206.555571671447</v>
      </c>
      <c r="V73" s="39" t="n">
        <f aca="false">8314.4621*U73/(Sheet1!H$20*Sheet1!H$12*9.80665)</f>
        <v>40996.0435248513</v>
      </c>
      <c r="W73" s="39" t="n">
        <f aca="false">W72-LN(R73/R72)*(V72+V73)/2</f>
        <v>1160806.74584496</v>
      </c>
      <c r="X73" s="39" t="n">
        <f aca="false">Sheet1!H$10*10/Sheet1!H$11*1000*W73/(Sheet1!H$10*10/Sheet1!H$11*1000-W73)</f>
        <v>1184003.23501562</v>
      </c>
      <c r="Y73" s="37"/>
      <c r="Z73" s="39"/>
      <c r="AF73" s="37" t="n">
        <f aca="false">AF72-0.1</f>
        <v>-1.8</v>
      </c>
      <c r="AG73" s="40" t="n">
        <f aca="false">10^AF73</f>
        <v>0.015848931924611</v>
      </c>
      <c r="AH73" s="39" t="n">
        <f aca="false">AJ73-AI73*((Sheet1!M$19-Sheet1!M$20)*COS(RADIANS(38))+Sheet1!M$20)/2</f>
        <v>188.5743740964</v>
      </c>
      <c r="AI73" s="37" t="n">
        <f aca="false">(AM73-AM$62)/(AM$95-AM$62)*(AI$95-AI$62)+AI$62</f>
        <v>0.2</v>
      </c>
      <c r="AJ73" s="39" t="n">
        <f aca="false">(AM73-AM$70)/(AM$75-AM$70)*(AJ$75-AJ$70)+AJ$70</f>
        <v>189.841185925368</v>
      </c>
      <c r="AK73" s="39" t="n">
        <f aca="false">8314.4621*AJ73/(Sheet1!M$21*Sheet1!M$12*9.80665)</f>
        <v>5582.77260463884</v>
      </c>
      <c r="AL73" s="39" t="n">
        <f aca="false">AL72-LN(AG73/AG72)*(AK72+AK73)/2</f>
        <v>85513.556773937</v>
      </c>
      <c r="AM73" s="39" t="n">
        <f aca="false">Sheet1!M$10*10/Sheet1!M$11*1000*AL73/(Sheet1!M$10*10/Sheet1!M$11*1000-AL73)</f>
        <v>86682.728449103</v>
      </c>
      <c r="AN73" s="41"/>
      <c r="AO73" s="37" t="n">
        <f aca="false">AO72+(AO$77-AO$69)/8</f>
        <v>-2.9</v>
      </c>
      <c r="AP73" s="40" t="n">
        <f aca="false">10^AO73</f>
        <v>0.00125892541179417</v>
      </c>
      <c r="AQ73" s="39" t="n">
        <f aca="false">AS73-AR73*((Sheet1!R$19-Sheet1!R$20)*COS(RADIANS(38))+Sheet1!R$20)/2</f>
        <v>159.229372018437</v>
      </c>
      <c r="AR73" s="37" t="n">
        <f aca="false">(AV73-AV$51)/(AV$116-AV$51)*(AR$116-AR$51)+AR$51</f>
        <v>0.0427346379307472</v>
      </c>
      <c r="AS73" s="39" t="n">
        <f aca="false">(AV73-AV$69)/(AV$77-AV$69)*(AS$77-AS$69)+AS$69</f>
        <v>160.900738643332</v>
      </c>
      <c r="AT73" s="39" t="n">
        <f aca="false">8314.4621*AS73/(Sheet1!R$22*Sheet1!R$12*9.80665)</f>
        <v>2846.37601985495</v>
      </c>
      <c r="AU73" s="39" t="n">
        <f aca="false">AU72-LN(AP73/AP72)*(AT72+AT73)/2</f>
        <v>56653.1080383365</v>
      </c>
      <c r="AV73" s="39" t="n">
        <f aca="false">Sheet1!R$10*10/Sheet1!R$11*1000*AU73/(Sheet1!R$10*10/Sheet1!R$11*1000-AU73)</f>
        <v>57124.8721128975</v>
      </c>
    </row>
    <row r="74" customFormat="false" ht="14.4" hidden="false" customHeight="false" outlineLevel="0" collapsed="false">
      <c r="A74" s="31" t="s">
        <v>138</v>
      </c>
      <c r="B74" s="42" t="n">
        <v>0.065</v>
      </c>
      <c r="C74" s="38" t="n">
        <v>-3.53</v>
      </c>
      <c r="D74" s="38" t="n">
        <v>3.38916608436453</v>
      </c>
      <c r="E74" s="36" t="n">
        <f aca="false">IF(LOG(Sheet1!C$13*(11-Sheet1!C$11)^2/3.828E+026)&gt;C74,IF(LOG(Sheet1!C$13*(11-Sheet1!C$11)^2/3.828E+026)&lt;C73,(LOG(Sheet1!C$13*(11-Sheet1!C$11)^2/3.828E+026)-C74)/(C73-C74)*(B73-B74)+B74,0),0)</f>
        <v>0</v>
      </c>
      <c r="F74" s="37" t="n">
        <f aca="false">IF(LOG(Sheet1!C$13*(11-Sheet1!C$11)^2/3.828E+026)&gt;C74,IF(LOG(Sheet1!C$13*(11-Sheet1!C$11)^2/3.828E+026)&lt;C73,(LOG(Sheet1!C$13*(11-Sheet1!C$11)^2/3.828E+026)-C74)/(C73-C74)*(D73-D74)+D74,0),0)</f>
        <v>0</v>
      </c>
      <c r="G74" s="32" t="n">
        <f aca="false">IF(F74&gt;0,IF(F74&gt;(D73+D74)/2,A73,A74),0)</f>
        <v>0</v>
      </c>
      <c r="H74" s="32"/>
      <c r="I74" s="32"/>
      <c r="J74" s="37" t="n">
        <f aca="false">J73-0.1</f>
        <v>-2.6</v>
      </c>
      <c r="K74" s="40" t="n">
        <f aca="false">10^J74</f>
        <v>0.00251188643150957</v>
      </c>
      <c r="L74" s="39" t="n">
        <f aca="false">(O74-O$68)/(O$76-O$68)*(L$76-L$68)+L$68</f>
        <v>7805.06743354672</v>
      </c>
      <c r="M74" s="39" t="n">
        <f aca="false">8314.4621*L74/(Sheet1!C$16*Sheet1!C$12*9.80665)</f>
        <v>183501.801814735</v>
      </c>
      <c r="N74" s="39" t="n">
        <f aca="false">N73-LN(K74/K73)*(M73+M74)/2</f>
        <v>2046325.86238477</v>
      </c>
      <c r="O74" s="39" t="n">
        <f aca="false">Sheet1!C$10*10/Sheet1!C$11*1000*N74/(Sheet1!C$10*10/Sheet1!C$11*1000-N74)</f>
        <v>2052302.35218227</v>
      </c>
      <c r="Q74" s="37" t="n">
        <f aca="false">Q73-0.1</f>
        <v>1.50000000000001</v>
      </c>
      <c r="R74" s="40" t="n">
        <f aca="false">10^Q74</f>
        <v>31.6227766016848</v>
      </c>
      <c r="S74" s="39" t="n">
        <f aca="false">U74-T74*((Sheet1!H$18-Sheet1!H$19)*COS(RADIANS(38))+Sheet1!H$19)/2</f>
        <v>207.204885853982</v>
      </c>
      <c r="T74" s="37" t="n">
        <f aca="false">(X74-X$54)/(X$100-X$54)*(T$100-T$54)+T$54</f>
        <v>1.37485828074774</v>
      </c>
      <c r="U74" s="39" t="n">
        <f aca="false">(X74-X$54)/(X$77-X$54)*(U$77-U$54)+U$54</f>
        <v>210.746550354559</v>
      </c>
      <c r="V74" s="39" t="n">
        <f aca="false">8314.4621*U74/(Sheet1!H$20*Sheet1!H$12*9.80665)</f>
        <v>41827.846526408</v>
      </c>
      <c r="W74" s="39" t="n">
        <f aca="false">W73-LN(R74/R73)*(V73+V74)/2</f>
        <v>1170342.19857375</v>
      </c>
      <c r="X74" s="39" t="n">
        <f aca="false">Sheet1!H$10*10/Sheet1!H$11*1000*W74/(Sheet1!H$10*10/Sheet1!H$11*1000-W74)</f>
        <v>1193925.21952644</v>
      </c>
      <c r="Y74" s="37"/>
      <c r="Z74" s="39"/>
      <c r="AF74" s="37" t="n">
        <f aca="false">AF73-0.1</f>
        <v>-1.9</v>
      </c>
      <c r="AG74" s="40" t="n">
        <f aca="false">10^AF74</f>
        <v>0.0125892541179416</v>
      </c>
      <c r="AH74" s="39" t="n">
        <f aca="false">AJ74-AI74*((Sheet1!M$19-Sheet1!M$20)*COS(RADIANS(38))+Sheet1!M$20)/2</f>
        <v>196.057231789872</v>
      </c>
      <c r="AI74" s="37" t="n">
        <f aca="false">(AM74-AM$62)/(AM$95-AM$62)*(AI$95-AI$62)+AI$62</f>
        <v>0.2</v>
      </c>
      <c r="AJ74" s="39" t="n">
        <f aca="false">(AM74-AM$70)/(AM$75-AM$70)*(AJ$75-AJ$70)+AJ$70</f>
        <v>197.324043618839</v>
      </c>
      <c r="AK74" s="39" t="n">
        <f aca="false">8314.4621*AJ74/(Sheet1!M$21*Sheet1!M$12*9.80665)</f>
        <v>5802.82544897763</v>
      </c>
      <c r="AL74" s="39" t="n">
        <f aca="false">AL73-LN(AG74/AG73)*(AK73+AK74)/2</f>
        <v>86824.372191591</v>
      </c>
      <c r="AM74" s="39" t="n">
        <f aca="false">Sheet1!M$10*10/Sheet1!M$11*1000*AL74/(Sheet1!M$10*10/Sheet1!M$11*1000-AL74)</f>
        <v>88029.9151117258</v>
      </c>
      <c r="AN74" s="41"/>
      <c r="AO74" s="37" t="n">
        <f aca="false">AO73+(AO$77-AO$69)/8</f>
        <v>-3</v>
      </c>
      <c r="AP74" s="40" t="n">
        <f aca="false">10^AO74</f>
        <v>0.001</v>
      </c>
      <c r="AQ74" s="39" t="n">
        <f aca="false">AS74-AR74*((Sheet1!R$19-Sheet1!R$20)*COS(RADIANS(38))+Sheet1!R$20)/2</f>
        <v>160.456258393694</v>
      </c>
      <c r="AR74" s="37" t="n">
        <f aca="false">(AV74-AV$51)/(AV$116-AV$51)*(AR$116-AR$51)+AR$51</f>
        <v>0.0445114526226354</v>
      </c>
      <c r="AS74" s="39" t="n">
        <f aca="false">(AV74-AV$69)/(AV$77-AV$69)*(AS$77-AS$69)+AS$69</f>
        <v>162.197116862172</v>
      </c>
      <c r="AT74" s="39" t="n">
        <f aca="false">8314.4621*AS74/(Sheet1!R$22*Sheet1!R$12*9.80665)</f>
        <v>2869.30928856384</v>
      </c>
      <c r="AU74" s="39" t="n">
        <f aca="false">AU73-LN(AP74/AP73)*(AT73+AT74)/2</f>
        <v>57311.1506273542</v>
      </c>
      <c r="AV74" s="39" t="n">
        <f aca="false">Sheet1!R$10*10/Sheet1!R$11*1000*AU74/(Sheet1!R$10*10/Sheet1!R$11*1000-AU74)</f>
        <v>57793.9844095481</v>
      </c>
    </row>
    <row r="75" customFormat="false" ht="14.4" hidden="false" customHeight="false" outlineLevel="0" collapsed="false">
      <c r="J75" s="37" t="n">
        <f aca="false">J74-0.1</f>
        <v>-2.7</v>
      </c>
      <c r="K75" s="40" t="n">
        <f aca="false">10^J75</f>
        <v>0.00199526231496887</v>
      </c>
      <c r="L75" s="39" t="n">
        <f aca="false">(O75-O$68)/(O$76-O$68)*(L$76-L$68)+L$68</f>
        <v>7967.20100216889</v>
      </c>
      <c r="M75" s="39" t="n">
        <f aca="false">8314.4621*L75/(Sheet1!C$16*Sheet1!C$12*9.80665)</f>
        <v>187313.658948595</v>
      </c>
      <c r="N75" s="39" t="n">
        <f aca="false">N74-LN(K75/K74)*(M74+M75)/2</f>
        <v>2089017.56999504</v>
      </c>
      <c r="O75" s="39" t="n">
        <f aca="false">Sheet1!C$10*10/Sheet1!C$11*1000*N75/(Sheet1!C$10*10/Sheet1!C$11*1000-N75)</f>
        <v>2095246.41098838</v>
      </c>
      <c r="Q75" s="37" t="n">
        <f aca="false">Q74-0.1</f>
        <v>1.40000000000001</v>
      </c>
      <c r="R75" s="40" t="n">
        <f aca="false">10^Q75</f>
        <v>25.1188643150966</v>
      </c>
      <c r="S75" s="39" t="n">
        <f aca="false">U75-T75*((Sheet1!H$18-Sheet1!H$19)*COS(RADIANS(38))+Sheet1!H$19)/2</f>
        <v>211.422958807059</v>
      </c>
      <c r="T75" s="37" t="n">
        <f aca="false">(X75-X$54)/(X$100-X$54)*(T$100-T$54)+T$54</f>
        <v>1.39790660627119</v>
      </c>
      <c r="U75" s="39" t="n">
        <f aca="false">(X75-X$54)/(X$77-X$54)*(U$77-U$54)+U$54</f>
        <v>215.02399628989</v>
      </c>
      <c r="V75" s="39" t="n">
        <f aca="false">8314.4621*U75/(Sheet1!H$20*Sheet1!H$12*9.80665)</f>
        <v>42676.8110850545</v>
      </c>
      <c r="W75" s="39" t="n">
        <f aca="false">W74-LN(R75/R74)*(V74+V75)/2</f>
        <v>1180071.15681898</v>
      </c>
      <c r="X75" s="39" t="n">
        <f aca="false">Sheet1!H$10*10/Sheet1!H$11*1000*W75/(Sheet1!H$10*10/Sheet1!H$11*1000-W75)</f>
        <v>1204051.91189603</v>
      </c>
      <c r="Y75" s="37"/>
      <c r="Z75" s="39"/>
      <c r="AF75" s="37" t="n">
        <f aca="false">AF74-0.1</f>
        <v>-2</v>
      </c>
      <c r="AG75" s="40" t="n">
        <f aca="false">10^AF75</f>
        <v>0.00999999999999994</v>
      </c>
      <c r="AH75" s="39" t="n">
        <f aca="false">AJ75-AI75*((Sheet1!M$19-Sheet1!M$20)*COS(RADIANS(38))+Sheet1!M$20)/2</f>
        <v>203.838408817767</v>
      </c>
      <c r="AI75" s="37" t="n">
        <f aca="false">(AM75-AM$62)/(AM$95-AM$62)*(AI$95-AI$62)+AI$62</f>
        <v>0.2</v>
      </c>
      <c r="AJ75" s="39" t="n">
        <f aca="false">0.058*(320*LOG(Sheet1!M15)-AJ62)+AJ62</f>
        <v>205.105220646735</v>
      </c>
      <c r="AK75" s="39" t="n">
        <f aca="false">8314.4621*AJ75/(Sheet1!M$21*Sheet1!M$12*9.80665)</f>
        <v>6031.65114731822</v>
      </c>
      <c r="AL75" s="39" t="n">
        <f aca="false">AL74-LN(AG75/AG74)*(AK74+AK75)/2</f>
        <v>88186.8666612919</v>
      </c>
      <c r="AM75" s="39" t="n">
        <f aca="false">Sheet1!M$10*10/Sheet1!M$11*1000*AL75/(Sheet1!M$10*10/Sheet1!M$11*1000-AL75)</f>
        <v>89430.8135428877</v>
      </c>
      <c r="AN75" s="41"/>
      <c r="AO75" s="37" t="n">
        <f aca="false">AO74+(AO$77-AO$69)/8</f>
        <v>-3.1</v>
      </c>
      <c r="AP75" s="40" t="n">
        <f aca="false">10^AO75</f>
        <v>0.000794328234724281</v>
      </c>
      <c r="AQ75" s="39" t="n">
        <f aca="false">AS75-AR75*((Sheet1!R$19-Sheet1!R$20)*COS(RADIANS(38))+Sheet1!R$20)/2</f>
        <v>161.693271027756</v>
      </c>
      <c r="AR75" s="37" t="n">
        <f aca="false">(AV75-AV$51)/(AV$116-AV$51)*(AR$116-AR$51)+AR$51</f>
        <v>0.0463029324748689</v>
      </c>
      <c r="AS75" s="39" t="n">
        <f aca="false">(AV75-AV$69)/(AV$77-AV$69)*(AS$77-AS$69)+AS$69</f>
        <v>163.504194899362</v>
      </c>
      <c r="AT75" s="39" t="n">
        <f aca="false">8314.4621*AS75/(Sheet1!R$22*Sheet1!R$12*9.80665)</f>
        <v>2892.43183984925</v>
      </c>
      <c r="AU75" s="39" t="n">
        <f aca="false">AU74-LN(AP75/AP74)*(AT74+AT75)/2</f>
        <v>57974.4955885279</v>
      </c>
      <c r="AV75" s="39" t="n">
        <f aca="false">Sheet1!R$10*10/Sheet1!R$11*1000*AU75/(Sheet1!R$10*10/Sheet1!R$11*1000-AU75)</f>
        <v>58468.6193074943</v>
      </c>
    </row>
    <row r="76" customFormat="false" ht="14.4" hidden="false" customHeight="false" outlineLevel="0" collapsed="false">
      <c r="J76" s="37" t="n">
        <v>-2.75</v>
      </c>
      <c r="K76" s="40" t="n">
        <f aca="false">10^J76</f>
        <v>0.00177827941003892</v>
      </c>
      <c r="L76" s="39" t="n">
        <f aca="false">1.4*Sheet1!C14</f>
        <v>8049.53185580237</v>
      </c>
      <c r="M76" s="39" t="n">
        <f aca="false">8314.4621*L76/(Sheet1!C$16*Sheet1!C$12*9.80665)</f>
        <v>189249.306541049</v>
      </c>
      <c r="N76" s="39" t="n">
        <f aca="false">N75-LN(K76/K75)*(M75+M76)/2</f>
        <v>2110694.27676779</v>
      </c>
      <c r="O76" s="39" t="n">
        <f aca="false">Sheet1!C$10*10/Sheet1!C$11*1000*N76/(Sheet1!C$10*10/Sheet1!C$11*1000-N76)</f>
        <v>2117053.25240956</v>
      </c>
      <c r="Q76" s="37" t="n">
        <f aca="false">Q75-0.1</f>
        <v>1.30000000000001</v>
      </c>
      <c r="R76" s="40" t="n">
        <f aca="false">10^Q76</f>
        <v>19.9526231496894</v>
      </c>
      <c r="S76" s="39" t="n">
        <f aca="false">U76-T76*((Sheet1!H$18-Sheet1!H$19)*COS(RADIANS(38))+Sheet1!H$19)/2</f>
        <v>215.729716489505</v>
      </c>
      <c r="T76" s="37" t="n">
        <f aca="false">(X76-X$54)/(X$100-X$54)*(T$100-T$54)+T$54</f>
        <v>1.42143086378431</v>
      </c>
      <c r="U76" s="39" t="n">
        <f aca="false">(X76-X$54)/(X$77-X$54)*(U$77-U$54)+U$54</f>
        <v>219.39135296563</v>
      </c>
      <c r="V76" s="39" t="n">
        <f aca="false">8314.4621*U76/(Sheet1!H$20*Sheet1!H$12*9.80665)</f>
        <v>43543.620645883</v>
      </c>
      <c r="W76" s="39" t="n">
        <f aca="false">W75-LN(R76/R75)*(V75+V76)/2</f>
        <v>1189997.65085974</v>
      </c>
      <c r="X76" s="39" t="n">
        <f aca="false">Sheet1!H$10*10/Sheet1!H$11*1000*W76/(Sheet1!H$10*10/Sheet1!H$11*1000-W76)</f>
        <v>1214387.71346286</v>
      </c>
      <c r="Y76" s="37"/>
      <c r="Z76" s="39"/>
      <c r="AF76" s="37" t="n">
        <f aca="false">AF75-0.1</f>
        <v>-2.1</v>
      </c>
      <c r="AG76" s="40" t="n">
        <f aca="false">10^AF76</f>
        <v>0.00794328234724277</v>
      </c>
      <c r="AH76" s="39" t="n">
        <f aca="false">AJ76-AI76*((Sheet1!M$19-Sheet1!M$20)*COS(RADIANS(38))+Sheet1!M$20)/2</f>
        <v>221.799183538744</v>
      </c>
      <c r="AI76" s="37" t="n">
        <f aca="false">(AM76-AM$62)/(AM$95-AM$62)*(AI$95-AI$62)+AI$62</f>
        <v>0.2</v>
      </c>
      <c r="AJ76" s="39" t="n">
        <f aca="false">(AM76-AM$75)/(AM$80-AM$75)*(AJ$80-AJ$75)+AJ$75</f>
        <v>223.065995367711</v>
      </c>
      <c r="AK76" s="39" t="n">
        <f aca="false">8314.4621*AJ76/(Sheet1!M$21*Sheet1!M$12*9.80665)</f>
        <v>6559.83432622955</v>
      </c>
      <c r="AL76" s="39" t="n">
        <f aca="false">AL74-LN(AG76/AG74)*(AK74+AK76)/2</f>
        <v>89670.9798024059</v>
      </c>
      <c r="AM76" s="39" t="n">
        <f aca="false">Sheet1!M$10*10/Sheet1!M$11*1000*AL76/(Sheet1!M$10*10/Sheet1!M$11*1000-AL76)</f>
        <v>90957.4536172627</v>
      </c>
      <c r="AN76" s="41"/>
      <c r="AO76" s="37" t="n">
        <f aca="false">AO75+(AO$77-AO$69)/8</f>
        <v>-3.2</v>
      </c>
      <c r="AP76" s="40" t="n">
        <f aca="false">10^AO76</f>
        <v>0.000630957344480193</v>
      </c>
      <c r="AQ76" s="39" t="n">
        <f aca="false">AS76-AR76*((Sheet1!R$19-Sheet1!R$20)*COS(RADIANS(38))+Sheet1!R$20)/2</f>
        <v>162.940497427593</v>
      </c>
      <c r="AR76" s="37" t="n">
        <f aca="false">(AV76-AV$51)/(AV$116-AV$51)*(AR$116-AR$51)+AR$51</f>
        <v>0.0481092042177415</v>
      </c>
      <c r="AS76" s="39" t="n">
        <f aca="false">(AV76-AV$69)/(AV$77-AV$69)*(AS$77-AS$69)+AS$69</f>
        <v>164.822065218341</v>
      </c>
      <c r="AT76" s="39" t="n">
        <f aca="false">8314.4621*AS76/(Sheet1!R$22*Sheet1!R$12*9.80665)</f>
        <v>2915.74530941346</v>
      </c>
      <c r="AU76" s="39" t="n">
        <f aca="false">AU75-LN(AP76/AP75)*(AT75+AT76)/2</f>
        <v>58643.1866940984</v>
      </c>
      <c r="AV76" s="39" t="n">
        <f aca="false">Sheet1!R$10*10/Sheet1!R$11*1000*AU76/(Sheet1!R$10*10/Sheet1!R$11*1000-AU76)</f>
        <v>59148.8245307887</v>
      </c>
    </row>
    <row r="77" customFormat="false" ht="14.4" hidden="false" customHeight="false" outlineLevel="0" collapsed="false">
      <c r="J77" s="37" t="n">
        <f aca="false">J75-0.1</f>
        <v>-2.8</v>
      </c>
      <c r="K77" s="40" t="n">
        <f aca="false">10^J77</f>
        <v>0.00158489319246111</v>
      </c>
      <c r="L77" s="39" t="n">
        <f aca="false">(O77-O$76)/(O$79-O$76)*(L$79-L$76)+L$76</f>
        <v>8659.50579657251</v>
      </c>
      <c r="M77" s="39" t="n">
        <f aca="false">8314.4621*L77/(Sheet1!C$16*Sheet1!C$12*9.80665)</f>
        <v>203590.158576519</v>
      </c>
      <c r="N77" s="39" t="n">
        <f aca="false">N75-LN(K77/K75)*(M75+M77)/2</f>
        <v>2134022.03514643</v>
      </c>
      <c r="O77" s="39" t="n">
        <f aca="false">Sheet1!C$10*10/Sheet1!C$11*1000*N77/(Sheet1!C$10*10/Sheet1!C$11*1000-N77)</f>
        <v>2140522.56498906</v>
      </c>
      <c r="Q77" s="37" t="n">
        <v>1.25</v>
      </c>
      <c r="R77" s="40" t="n">
        <f aca="false">10^Q77</f>
        <v>17.7827941003892</v>
      </c>
      <c r="S77" s="39" t="n">
        <f aca="false">U77-T77*((Sheet1!H$18-Sheet1!H$19)*COS(RADIANS(38))+Sheet1!H$19)/2</f>
        <v>217.914030335946</v>
      </c>
      <c r="T77" s="37" t="n">
        <f aca="false">(X77-X$54)/(X$100-X$54)*(T$100-T$54)+T$54</f>
        <v>1.43337429494588</v>
      </c>
      <c r="U77" s="39" t="n">
        <f aca="false">70/610*(U$170-U$54)+U$54</f>
        <v>221.606433347613</v>
      </c>
      <c r="V77" s="39" t="n">
        <f aca="false">8314.4621*U77/(Sheet1!H$20*Sheet1!H$12*9.80665)</f>
        <v>43983.2579358191</v>
      </c>
      <c r="W77" s="39" t="n">
        <f aca="false">W76-LN(R77/R76)*(V76+V77)/2</f>
        <v>1195036.10300621</v>
      </c>
      <c r="X77" s="39" t="n">
        <f aca="false">Sheet1!H$10*10/Sheet1!H$11*1000*W77/(Sheet1!H$10*10/Sheet1!H$11*1000-W77)</f>
        <v>1219635.27268739</v>
      </c>
      <c r="Y77" s="37" t="n">
        <f aca="false">IF(Q77&lt;LOG(Sheet1!H$17*101325),Q77,IF(Q90&lt;LOG(Sheet1!H$17*101325),LOG(Sheet1!H$17*101325),0))</f>
        <v>1.25</v>
      </c>
      <c r="Z77" s="39" t="n">
        <f aca="false">IF(Y77=LOG(Sheet1!H$17*101325),(LOG(Sheet1!H$17*101325)-Q90)/(Q77-Q90)*(S77-S90)+S90,IF(Y77=0,0,S77))</f>
        <v>217.914030335946</v>
      </c>
      <c r="AA77" s="39" t="n">
        <f aca="false">IF(Y77=LOG(Sheet1!H$17*101325),(LOG(Sheet1!H$17*101325)-Q87)/(Q77-Q87)*(X77-X87)+X87,IF(Y77=0,0,X77))</f>
        <v>1219635.27268739</v>
      </c>
      <c r="AB77" s="32" t="n">
        <f aca="false">IF(Y77=0,0,AB54+1)</f>
        <v>6</v>
      </c>
      <c r="AF77" s="37" t="n">
        <f aca="false">AF76-0.1</f>
        <v>-2.2</v>
      </c>
      <c r="AG77" s="40" t="n">
        <f aca="false">10^AF77</f>
        <v>0.00630957344480189</v>
      </c>
      <c r="AH77" s="39" t="n">
        <f aca="false">AJ77-AI77*((Sheet1!M$19-Sheet1!M$20)*COS(RADIANS(38))+Sheet1!M$20)/2</f>
        <v>240.869550091004</v>
      </c>
      <c r="AI77" s="37" t="n">
        <f aca="false">(AM77-AM$62)/(AM$95-AM$62)*(AI$95-AI$62)+AI$62</f>
        <v>0.2</v>
      </c>
      <c r="AJ77" s="39" t="n">
        <f aca="false">(AM77-AM$75)/(AM$80-AM$75)*(AJ$80-AJ$75)+AJ$75</f>
        <v>242.136361919971</v>
      </c>
      <c r="AK77" s="39" t="n">
        <f aca="false">8314.4621*AJ77/(Sheet1!M$21*Sheet1!M$12*9.80665)</f>
        <v>7120.64793171468</v>
      </c>
      <c r="AL77" s="39" t="n">
        <f aca="false">AL76-LN(AG77/AG76)*(AK76+AK77)/2</f>
        <v>91246.0035280115</v>
      </c>
      <c r="AM77" s="39" t="n">
        <f aca="false">Sheet1!M$10*10/Sheet1!M$11*1000*AL77/(Sheet1!M$10*10/Sheet1!M$11*1000-AL77)</f>
        <v>92578.4024613884</v>
      </c>
      <c r="AN77" s="41"/>
      <c r="AO77" s="37" t="n">
        <f aca="false">AO69+0.2*(AO116-AO69)</f>
        <v>-3.3</v>
      </c>
      <c r="AP77" s="40" t="n">
        <f aca="false">10^AO77</f>
        <v>0.000501187233627272</v>
      </c>
      <c r="AQ77" s="39" t="n">
        <f aca="false">AS77-AR77*((Sheet1!R$19-Sheet1!R$20)*COS(RADIANS(38))+Sheet1!R$20)/2</f>
        <v>164.198025920611</v>
      </c>
      <c r="AR77" s="37" t="n">
        <f aca="false">(AV77-AV$51)/(AV$116-AV$51)*(AR$116-AR$51)+AR$51</f>
        <v>0.0499303957712567</v>
      </c>
      <c r="AS77" s="39" t="n">
        <f aca="false">AS69+0.05*(AS116-AS69)</f>
        <v>166.15082114951</v>
      </c>
      <c r="AT77" s="39" t="n">
        <f aca="false">8314.4621*AS77/(Sheet1!R$22*Sheet1!R$12*9.80665)</f>
        <v>2939.25134829562</v>
      </c>
      <c r="AU77" s="39" t="n">
        <f aca="false">AU76-LN(AP77/AP76)*(AT76+AT77)/2</f>
        <v>59317.268095277</v>
      </c>
      <c r="AV77" s="39" t="n">
        <f aca="false">Sheet1!R$10*10/Sheet1!R$11*1000*AU77/(Sheet1!R$10*10/Sheet1!R$11*1000-AU77)</f>
        <v>59834.6482515046</v>
      </c>
    </row>
    <row r="78" customFormat="false" ht="14.4" hidden="false" customHeight="false" outlineLevel="0" collapsed="false">
      <c r="J78" s="37" t="n">
        <f aca="false">J77-0.1</f>
        <v>-2.9</v>
      </c>
      <c r="K78" s="40" t="n">
        <f aca="false">10^J78</f>
        <v>0.00125892541179416</v>
      </c>
      <c r="L78" s="39" t="n">
        <f aca="false">(O78-O$76)/(O$79-O$76)*(L$79-L$76)+L$76</f>
        <v>9978.79396806621</v>
      </c>
      <c r="M78" s="39" t="n">
        <f aca="false">8314.4621*L78/(Sheet1!C$16*Sheet1!C$12*9.80665)</f>
        <v>234607.412257305</v>
      </c>
      <c r="N78" s="39" t="n">
        <f aca="false">N77-LN(K78/K77)*(M77+M78)/2</f>
        <v>2184471.39486584</v>
      </c>
      <c r="O78" s="39" t="n">
        <f aca="false">Sheet1!C$10*10/Sheet1!C$11*1000*N78/(Sheet1!C$10*10/Sheet1!C$11*1000-N78)</f>
        <v>2191283.39985378</v>
      </c>
      <c r="Q78" s="37" t="n">
        <f aca="false">Q76-0.1</f>
        <v>1.20000000000001</v>
      </c>
      <c r="R78" s="40" t="n">
        <f aca="false">10^Q78</f>
        <v>15.8489319246116</v>
      </c>
      <c r="S78" s="39" t="n">
        <f aca="false">U78-T78*((Sheet1!H$18-Sheet1!H$19)*COS(RADIANS(38))+Sheet1!H$19)/2</f>
        <v>217.882945099016</v>
      </c>
      <c r="T78" s="37" t="n">
        <f aca="false">(X78-X$54)/(X$100-X$54)*(T$100-T$54)+T$54</f>
        <v>1.4453798011665</v>
      </c>
      <c r="U78" s="39" t="n">
        <f aca="false">(X78-X$77)/(X$90-X$77)*(U$90-U$77)+U$77</f>
        <v>221.606274552912</v>
      </c>
      <c r="V78" s="39" t="n">
        <f aca="false">8314.4621*U78/(Sheet1!H$20*Sheet1!H$12*9.80665)</f>
        <v>43983.2264190973</v>
      </c>
      <c r="W78" s="39" t="n">
        <f aca="false">W77-LN(R78/R77)*(V77+V78)/2</f>
        <v>1200099.86089517</v>
      </c>
      <c r="X78" s="39" t="n">
        <f aca="false">Sheet1!H$10*10/Sheet1!H$11*1000*W78/(Sheet1!H$10*10/Sheet1!H$11*1000-W78)</f>
        <v>1224910.10569484</v>
      </c>
      <c r="Y78" s="37"/>
      <c r="Z78" s="39"/>
      <c r="AF78" s="37" t="n">
        <f aca="false">AF77-0.1</f>
        <v>-2.3</v>
      </c>
      <c r="AG78" s="40" t="n">
        <f aca="false">10^AF78</f>
        <v>0.00501187233627269</v>
      </c>
      <c r="AH78" s="39" t="n">
        <f aca="false">AJ78-AI78*((Sheet1!M$19-Sheet1!M$20)*COS(RADIANS(38))+Sheet1!M$20)/2</f>
        <v>261.581596724591</v>
      </c>
      <c r="AI78" s="37" t="n">
        <f aca="false">(AM78-AM$62)/(AM$95-AM$62)*(AI$95-AI$62)+AI$62</f>
        <v>0.2</v>
      </c>
      <c r="AJ78" s="39" t="n">
        <f aca="false">(AM78-AM$75)/(AM$80-AM$75)*(AJ$80-AJ$75)+AJ$75</f>
        <v>262.848408553559</v>
      </c>
      <c r="AK78" s="39" t="n">
        <f aca="false">8314.4621*AJ78/(Sheet1!M$21*Sheet1!M$12*9.80665)</f>
        <v>7729.73939923981</v>
      </c>
      <c r="AL78" s="39" t="n">
        <f aca="false">AL77-LN(AG78/AG77)*(AK77+AK78)/2</f>
        <v>92955.7175526837</v>
      </c>
      <c r="AM78" s="39" t="n">
        <f aca="false">Sheet1!M$10*10/Sheet1!M$11*1000*AL78/(Sheet1!M$10*10/Sheet1!M$11*1000-AL78)</f>
        <v>94338.8941454946</v>
      </c>
      <c r="AN78" s="41"/>
      <c r="AO78" s="37" t="n">
        <f aca="false">AO77+(AO$86-AO$77)/9</f>
        <v>-3.38888888888889</v>
      </c>
      <c r="AP78" s="40" t="n">
        <f aca="false">10^AO78</f>
        <v>0.000408423865267451</v>
      </c>
      <c r="AQ78" s="39" t="n">
        <f aca="false">AS78-AR78*((Sheet1!R$19-Sheet1!R$20)*COS(RADIANS(38))+Sheet1!R$20)/2</f>
        <v>168.839065628355</v>
      </c>
      <c r="AR78" s="37" t="n">
        <f aca="false">(AV78-AV$51)/(AV$116-AV$51)*(AR$116-AR$51)+AR$51</f>
        <v>0.0515790585239826</v>
      </c>
      <c r="AS78" s="39" t="n">
        <f aca="false">(AV78-AV$77)/(AV$86-AV$77)*(AS$86-AS$77)+AS$77</f>
        <v>170.856340633708</v>
      </c>
      <c r="AT78" s="39" t="n">
        <f aca="false">8314.4621*AS78/(Sheet1!R$22*Sheet1!R$12*9.80665)</f>
        <v>3022.4932148881</v>
      </c>
      <c r="AU78" s="39" t="n">
        <f aca="false">AU77-LN(AP78/AP77)*(AT77+AT78)/2</f>
        <v>59927.3758356959</v>
      </c>
      <c r="AV78" s="39" t="n">
        <f aca="false">Sheet1!R$10*10/Sheet1!R$11*1000*AU78/(Sheet1!R$10*10/Sheet1!R$11*1000-AU78)</f>
        <v>60455.5011327392</v>
      </c>
    </row>
    <row r="79" customFormat="false" ht="14.4" hidden="false" customHeight="false" outlineLevel="0" collapsed="false">
      <c r="J79" s="37" t="n">
        <f aca="false">J78-0.1</f>
        <v>-3</v>
      </c>
      <c r="K79" s="40" t="n">
        <f aca="false">10^J79</f>
        <v>0.000999999999999995</v>
      </c>
      <c r="L79" s="39" t="n">
        <f aca="false">2*Sheet1!C14</f>
        <v>11499.3312225748</v>
      </c>
      <c r="M79" s="39" t="n">
        <f aca="false">8314.4621*L79/(Sheet1!C$16*Sheet1!C$12*9.80665)</f>
        <v>270356.152201499</v>
      </c>
      <c r="N79" s="39" t="n">
        <f aca="false">N78-LN(K79/K78)*(M78+M79)/2</f>
        <v>2242607.47366723</v>
      </c>
      <c r="O79" s="39" t="n">
        <f aca="false">Sheet1!C$10*10/Sheet1!C$11*1000*N79/(Sheet1!C$10*10/Sheet1!C$11*1000-N79)</f>
        <v>2249787.47966704</v>
      </c>
      <c r="Q79" s="37" t="n">
        <f aca="false">Q78-0.1</f>
        <v>1.10000000000001</v>
      </c>
      <c r="R79" s="40" t="n">
        <f aca="false">10^Q79</f>
        <v>12.5892541179421</v>
      </c>
      <c r="S79" s="39" t="n">
        <f aca="false">U79-T79*((Sheet1!H$18-Sheet1!H$19)*COS(RADIANS(38))+Sheet1!H$19)/2</f>
        <v>217.820758419661</v>
      </c>
      <c r="T79" s="37" t="n">
        <f aca="false">(X79-X$54)/(X$100-X$54)*(T$100-T$54)+T$54</f>
        <v>1.4693970723705</v>
      </c>
      <c r="U79" s="39" t="n">
        <f aca="false">(X79-X$77)/(X$90-X$77)*(U$90-U$77)+U$77</f>
        <v>221.605956880724</v>
      </c>
      <c r="V79" s="39" t="n">
        <f aca="false">8314.4621*U79/(Sheet1!H$20*Sheet1!H$12*9.80665)</f>
        <v>43983.1633692228</v>
      </c>
      <c r="W79" s="39" t="n">
        <f aca="false">W78-LN(R79/R78)*(V78+V79)/2</f>
        <v>1210227.36578573</v>
      </c>
      <c r="X79" s="39" t="n">
        <f aca="false">Sheet1!H$10*10/Sheet1!H$11*1000*W79/(Sheet1!H$10*10/Sheet1!H$11*1000-W79)</f>
        <v>1235462.52160863</v>
      </c>
      <c r="Z79" s="39"/>
      <c r="AF79" s="37" t="n">
        <f aca="false">AF78-0.1</f>
        <v>-2.4</v>
      </c>
      <c r="AG79" s="40" t="n">
        <f aca="false">10^AF79</f>
        <v>0.00398107170553494</v>
      </c>
      <c r="AH79" s="39" t="n">
        <f aca="false">AJ79-AI79*((Sheet1!M$19-Sheet1!M$20)*COS(RADIANS(38))+Sheet1!M$20)/2</f>
        <v>284.078736422869</v>
      </c>
      <c r="AI79" s="37" t="n">
        <f aca="false">(AM79-AM$62)/(AM$95-AM$62)*(AI$95-AI$62)+AI$62</f>
        <v>0.2</v>
      </c>
      <c r="AJ79" s="39" t="n">
        <f aca="false">(AM79-AM$75)/(AM$80-AM$75)*(AJ$80-AJ$75)+AJ$75</f>
        <v>285.345548251836</v>
      </c>
      <c r="AK79" s="39" t="n">
        <f aca="false">8314.4621*AJ79/(Sheet1!M$21*Sheet1!M$12*9.80665)</f>
        <v>8391.32615965782</v>
      </c>
      <c r="AL79" s="39" t="n">
        <f aca="false">AL78-LN(AG79/AG78)*(AK78+AK79)/2</f>
        <v>94811.7238146386</v>
      </c>
      <c r="AM79" s="39" t="n">
        <f aca="false">Sheet1!M$10*10/Sheet1!M$11*1000*AL79/(Sheet1!M$10*10/Sheet1!M$11*1000-AL79)</f>
        <v>96251.1140419887</v>
      </c>
      <c r="AN79" s="41"/>
      <c r="AO79" s="37" t="n">
        <f aca="false">AO78+(AO$86-AO$77)/9</f>
        <v>-3.47777777777778</v>
      </c>
      <c r="AP79" s="40" t="n">
        <f aca="false">10^AO79</f>
        <v>0.00033282981394546</v>
      </c>
      <c r="AQ79" s="39" t="n">
        <f aca="false">AS79-AR79*((Sheet1!R$19-Sheet1!R$20)*COS(RADIANS(38))+Sheet1!R$20)/2</f>
        <v>173.6124240683</v>
      </c>
      <c r="AR79" s="37" t="n">
        <f aca="false">(AV79-AV$51)/(AV$116-AV$51)*(AR$116-AR$51)+AR$51</f>
        <v>0.0532747256020201</v>
      </c>
      <c r="AS79" s="39" t="n">
        <f aca="false">(AV79-AV$77)/(AV$86-AV$77)*(AS$86-AS$77)+AS$77</f>
        <v>175.696017205697</v>
      </c>
      <c r="AT79" s="39" t="n">
        <f aca="false">8314.4621*AS79/(Sheet1!R$22*Sheet1!R$12*9.80665)</f>
        <v>3108.10835534374</v>
      </c>
      <c r="AU79" s="39" t="n">
        <f aca="false">AU78-LN(AP79/AP78)*(AT78+AT79)/2</f>
        <v>60554.7639151049</v>
      </c>
      <c r="AV79" s="39" t="n">
        <f aca="false">Sheet1!R$10*10/Sheet1!R$11*1000*AU79/(Sheet1!R$10*10/Sheet1!R$11*1000-AU79)</f>
        <v>61094.0548874556</v>
      </c>
    </row>
    <row r="80" customFormat="false" ht="14.4" hidden="false" customHeight="false" outlineLevel="0" collapsed="false">
      <c r="J80" s="37" t="n">
        <f aca="false">J79-0.1</f>
        <v>-3.1</v>
      </c>
      <c r="K80" s="40" t="n">
        <f aca="false">10^J80</f>
        <v>0.000794328234724277</v>
      </c>
      <c r="L80" s="39" t="n">
        <f aca="false">(O80-O$79)/(O$89-O$79)*(L$89-L$79)+L$79</f>
        <v>12832.9215412638</v>
      </c>
      <c r="M80" s="39" t="n">
        <f aca="false">8314.4621*L80/(Sheet1!C$16*Sheet1!C$12*9.80665)</f>
        <v>301709.657913737</v>
      </c>
      <c r="N80" s="39" t="n">
        <f aca="false">N79-LN(K80/K79)*(M79+M80)/2</f>
        <v>2308468.98399638</v>
      </c>
      <c r="O80" s="39" t="n">
        <f aca="false">Sheet1!C$10*10/Sheet1!C$11*1000*N80/(Sheet1!C$10*10/Sheet1!C$11*1000-N80)</f>
        <v>2316077.62689693</v>
      </c>
      <c r="Q80" s="37" t="n">
        <f aca="false">Q79-0.1</f>
        <v>1.00000000000001</v>
      </c>
      <c r="R80" s="40" t="n">
        <f aca="false">10^Q80</f>
        <v>10.0000000000003</v>
      </c>
      <c r="S80" s="39" t="n">
        <f aca="false">U80-T80*((Sheet1!H$18-Sheet1!H$19)*COS(RADIANS(38))+Sheet1!H$19)/2</f>
        <v>217.758550123617</v>
      </c>
      <c r="T80" s="37" t="n">
        <f aca="false">(X80-X$54)/(X$100-X$54)*(T$100-T$54)+T$54</f>
        <v>1.49342269220848</v>
      </c>
      <c r="U80" s="39" t="n">
        <f aca="false">(X80-X$77)/(X$90-X$77)*(U$90-U$77)+U$77</f>
        <v>221.605639098106</v>
      </c>
      <c r="V80" s="39" t="n">
        <f aca="false">8314.4621*U80/(Sheet1!H$20*Sheet1!H$12*9.80665)</f>
        <v>43983.100297431</v>
      </c>
      <c r="W80" s="39" t="n">
        <f aca="false">W79-LN(R80/R79)*(V79+V80)/2</f>
        <v>1220354.85615599</v>
      </c>
      <c r="X80" s="39" t="n">
        <f aca="false">Sheet1!H$10*10/Sheet1!H$11*1000*W80/(Sheet1!H$10*10/Sheet1!H$11*1000-W80)</f>
        <v>1246018.60564346</v>
      </c>
      <c r="Z80" s="39"/>
      <c r="AF80" s="37" t="n">
        <f aca="false">AF79-0.1</f>
        <v>-2.5</v>
      </c>
      <c r="AG80" s="40" t="n">
        <f aca="false">10^AF80</f>
        <v>0.00316227766016836</v>
      </c>
      <c r="AH80" s="39" t="n">
        <f aca="false">AJ80-AI80*((Sheet1!M$19-Sheet1!M$20)*COS(RADIANS(38))+Sheet1!M$20)/2</f>
        <v>308.517162803977</v>
      </c>
      <c r="AI80" s="37" t="n">
        <f aca="false">(AM80-AM$62)/(AM$95-AM$62)*(AI$95-AI$62)+AI$62</f>
        <v>0.2</v>
      </c>
      <c r="AJ80" s="39" t="n">
        <f aca="false">0.18*(320*LOG(Sheet1!M15)-AJ62)+AJ62</f>
        <v>309.783974632944</v>
      </c>
      <c r="AK80" s="39" t="n">
        <f aca="false">8314.4621*AJ80/(Sheet1!M$21*Sheet1!M$12*9.80665)</f>
        <v>9110.00149154587</v>
      </c>
      <c r="AL80" s="39" t="n">
        <f aca="false">AL79-LN(AG80/AG79)*(AK79+AK80)/2</f>
        <v>96826.6386225019</v>
      </c>
      <c r="AM80" s="39" t="n">
        <f aca="false">Sheet1!M$10*10/Sheet1!M$11*1000*AL80/(Sheet1!M$10*10/Sheet1!M$11*1000-AL80)</f>
        <v>98328.3425484143</v>
      </c>
      <c r="AN80" s="41"/>
      <c r="AO80" s="37" t="n">
        <f aca="false">AO79+(AO$86-AO$77)/9</f>
        <v>-3.56666666666667</v>
      </c>
      <c r="AP80" s="40" t="n">
        <f aca="false">10^AO80</f>
        <v>0.000271227257933201</v>
      </c>
      <c r="AQ80" s="39" t="n">
        <f aca="false">AS80-AR80*((Sheet1!R$19-Sheet1!R$20)*COS(RADIANS(38))+Sheet1!R$20)/2</f>
        <v>178.521924445216</v>
      </c>
      <c r="AR80" s="37" t="n">
        <f aca="false">(AV80-AV$51)/(AV$116-AV$51)*(AR$116-AR$51)+AR$51</f>
        <v>0.0550187551404431</v>
      </c>
      <c r="AS80" s="39" t="n">
        <f aca="false">(AV80-AV$77)/(AV$86-AV$77)*(AS$86-AS$77)+AS$77</f>
        <v>180.673727187386</v>
      </c>
      <c r="AT80" s="39" t="n">
        <f aca="false">8314.4621*AS80/(Sheet1!R$22*Sheet1!R$12*9.80665)</f>
        <v>3196.16534280778</v>
      </c>
      <c r="AU80" s="39" t="n">
        <f aca="false">AU79-LN(AP80/AP79)*(AT79+AT80)/2</f>
        <v>61199.9250990835</v>
      </c>
      <c r="AV80" s="39" t="n">
        <f aca="false">Sheet1!R$10*10/Sheet1!R$11*1000*AU80/(Sheet1!R$10*10/Sheet1!R$11*1000-AU80)</f>
        <v>61750.8209617167</v>
      </c>
    </row>
    <row r="81" customFormat="false" ht="14.4" hidden="false" customHeight="false" outlineLevel="0" collapsed="false">
      <c r="J81" s="37" t="n">
        <f aca="false">J80-0.1</f>
        <v>-3.2</v>
      </c>
      <c r="K81" s="40" t="n">
        <f aca="false">10^J81</f>
        <v>0.00063095734448019</v>
      </c>
      <c r="L81" s="39" t="n">
        <f aca="false">(O81-O$79)/(O$89-O$79)*(L$89-L$79)+L$79</f>
        <v>14321.4831575408</v>
      </c>
      <c r="M81" s="39" t="n">
        <f aca="false">8314.4621*L81/(Sheet1!C$16*Sheet1!C$12*9.80665)</f>
        <v>336706.631485682</v>
      </c>
      <c r="N81" s="39" t="n">
        <f aca="false">N80-LN(K81/K80)*(M80+M81)/2</f>
        <v>2381969.37555116</v>
      </c>
      <c r="O81" s="39" t="n">
        <f aca="false">Sheet1!C$10*10/Sheet1!C$11*1000*N81/(Sheet1!C$10*10/Sheet1!C$11*1000-N81)</f>
        <v>2390071.09199705</v>
      </c>
      <c r="Q81" s="37" t="n">
        <f aca="false">Q80-0.1</f>
        <v>0.900000000000013</v>
      </c>
      <c r="R81" s="40" t="n">
        <f aca="false">10^Q81</f>
        <v>7.94328234724306</v>
      </c>
      <c r="S81" s="39" t="n">
        <f aca="false">U81-T81*((Sheet1!H$18-Sheet1!H$19)*COS(RADIANS(38))+Sheet1!H$19)/2</f>
        <v>217.696911347662</v>
      </c>
      <c r="T81" s="37" t="n">
        <f aca="false">(X81-X$54)/(X$100-X$54)*(T$100-T$54)+T$54</f>
        <v>1.51745669708846</v>
      </c>
      <c r="U81" s="39" t="n">
        <f aca="false">(X81-X$77)/(X$90-X$77)*(U$90-U$77)+U$77</f>
        <v>221.605912435627</v>
      </c>
      <c r="V81" s="39" t="n">
        <f aca="false">8314.4621*U81/(Sheet1!H$20*Sheet1!H$12*9.80665)</f>
        <v>43983.1545479981</v>
      </c>
      <c r="W81" s="39" t="n">
        <f aca="false">W80-LN(R81/R80)*(V80+V81)/2</f>
        <v>1230482.34551067</v>
      </c>
      <c r="X81" s="39" t="n">
        <f aca="false">Sheet1!H$10*10/Sheet1!H$11*1000*W81/(Sheet1!H$10*10/Sheet1!H$11*1000-W81)</f>
        <v>1256578.37379587</v>
      </c>
      <c r="Z81" s="39"/>
      <c r="AF81" s="37" t="n">
        <f aca="false">AF80-0.1</f>
        <v>-2.6</v>
      </c>
      <c r="AG81" s="40" t="n">
        <f aca="false">10^AF81</f>
        <v>0.00251188643150956</v>
      </c>
      <c r="AH81" s="39" t="n">
        <f aca="false">AJ81-AI81*((Sheet1!M$19-Sheet1!M$20)*COS(RADIANS(38))+Sheet1!M$20)/2</f>
        <v>330.153776847643</v>
      </c>
      <c r="AI81" s="37" t="n">
        <f aca="false">(AM81-AM$62)/(AM$95-AM$62)*(AI$95-AI$62)+AI$62</f>
        <v>0.2</v>
      </c>
      <c r="AJ81" s="39" t="n">
        <f aca="false">(AM81-AM$80)/(AM$95-AM$80)*(AJ$95-AJ$80)+AJ$80</f>
        <v>331.420588676611</v>
      </c>
      <c r="AK81" s="39" t="n">
        <f aca="false">8314.4621*AJ81/(Sheet1!M$21*Sheet1!M$12*9.80665)</f>
        <v>9746.2822625036</v>
      </c>
      <c r="AL81" s="39" t="n">
        <f aca="false">AL80-LN(AG81/AG80)*(AK80+AK81)/2</f>
        <v>98997.5485165689</v>
      </c>
      <c r="AM81" s="39" t="n">
        <f aca="false">Sheet1!M$10*10/Sheet1!M$11*1000*AL81/(Sheet1!M$10*10/Sheet1!M$11*1000-AL81)</f>
        <v>100567.891532531</v>
      </c>
      <c r="AN81" s="41"/>
      <c r="AO81" s="37" t="n">
        <f aca="false">AO80+(AO$86-AO$77)/9</f>
        <v>-3.65555555555556</v>
      </c>
      <c r="AP81" s="40" t="n">
        <f aca="false">10^AO81</f>
        <v>0.000221026549797061</v>
      </c>
      <c r="AQ81" s="39" t="n">
        <f aca="false">AS81-AR81*((Sheet1!R$19-Sheet1!R$20)*COS(RADIANS(38))+Sheet1!R$20)/2</f>
        <v>183.571503354475</v>
      </c>
      <c r="AR81" s="37" t="n">
        <f aca="false">(AV81-AV$51)/(AV$116-AV$51)*(AR$116-AR$51)+AR$51</f>
        <v>0.0568125455545552</v>
      </c>
      <c r="AS81" s="39" t="n">
        <f aca="false">(AV81-AV$77)/(AV$86-AV$77)*(AS$86-AS$77)+AS$77</f>
        <v>185.793461866656</v>
      </c>
      <c r="AT81" s="39" t="n">
        <f aca="false">8314.4621*AS81/(Sheet1!R$22*Sheet1!R$12*9.80665)</f>
        <v>3286.73478420355</v>
      </c>
      <c r="AU81" s="39" t="n">
        <f aca="false">AU80-LN(AP81/AP80)*(AT80+AT81)/2</f>
        <v>61863.3663964979</v>
      </c>
      <c r="AV81" s="39" t="n">
        <f aca="false">Sheet1!R$10*10/Sheet1!R$11*1000*AU81/(Sheet1!R$10*10/Sheet1!R$11*1000-AU81)</f>
        <v>62426.3259703008</v>
      </c>
    </row>
    <row r="82" customFormat="false" ht="14.4" hidden="false" customHeight="false" outlineLevel="0" collapsed="false">
      <c r="J82" s="37" t="n">
        <f aca="false">J81-0.1</f>
        <v>-3.3</v>
      </c>
      <c r="K82" s="40" t="n">
        <f aca="false">10^J82</f>
        <v>0.000501187233627269</v>
      </c>
      <c r="L82" s="39" t="n">
        <f aca="false">(O82-O$79)/(O$89-O$79)*(L$89-L$79)+L$79</f>
        <v>15983.1016522725</v>
      </c>
      <c r="M82" s="39" t="n">
        <f aca="false">8314.4621*L82/(Sheet1!C$16*Sheet1!C$12*9.80665)</f>
        <v>375772.275736421</v>
      </c>
      <c r="N82" s="39" t="n">
        <f aca="false">N81-LN(K82/K81)*(M81+M82)/2</f>
        <v>2463996.54109328</v>
      </c>
      <c r="O82" s="39" t="n">
        <f aca="false">Sheet1!C$10*10/Sheet1!C$11*1000*N82/(Sheet1!C$10*10/Sheet1!C$11*1000-N82)</f>
        <v>2472666.87355909</v>
      </c>
      <c r="Q82" s="37" t="n">
        <f aca="false">Q81-0.1</f>
        <v>0.800000000000013</v>
      </c>
      <c r="R82" s="40" t="n">
        <f aca="false">10^Q82</f>
        <v>6.30957344480213</v>
      </c>
      <c r="S82" s="39" t="n">
        <f aca="false">U82-T82*((Sheet1!H$18-Sheet1!H$19)*COS(RADIANS(38))+Sheet1!H$19)/2</f>
        <v>217.63459401712</v>
      </c>
      <c r="T82" s="37" t="n">
        <f aca="false">(X82-X$54)/(X$100-X$54)*(T$100-T$54)+T$54</f>
        <v>1.54149908782908</v>
      </c>
      <c r="U82" s="39" t="n">
        <f aca="false">(X82-X$77)/(X$90-X$77)*(U$90-U$77)+U$77</f>
        <v>221.605528820717</v>
      </c>
      <c r="V82" s="39" t="n">
        <f aca="false">8314.4621*U82/(Sheet1!H$20*Sheet1!H$12*9.80665)</f>
        <v>43983.0784101655</v>
      </c>
      <c r="W82" s="39" t="n">
        <f aca="false">W81-LN(R82/R81)*(V81+V82)/2</f>
        <v>1240609.83234549</v>
      </c>
      <c r="X82" s="39" t="n">
        <f aca="false">Sheet1!H$10*10/Sheet1!H$11*1000*W82/(Sheet1!H$10*10/Sheet1!H$11*1000-W82)</f>
        <v>1267141.82642551</v>
      </c>
      <c r="Z82" s="39"/>
      <c r="AF82" s="37" t="n">
        <f aca="false">AF81-0.1</f>
        <v>-2.7</v>
      </c>
      <c r="AG82" s="40" t="n">
        <f aca="false">10^AF82</f>
        <v>0.00199526231496886</v>
      </c>
      <c r="AH82" s="39" t="n">
        <f aca="false">AJ82-AI82*((Sheet1!M$19-Sheet1!M$20)*COS(RADIANS(38))+Sheet1!M$20)/2</f>
        <v>353.318837123396</v>
      </c>
      <c r="AI82" s="37" t="n">
        <f aca="false">(AM82-AM$62)/(AM$95-AM$62)*(AI$95-AI$62)+AI$62</f>
        <v>0.2</v>
      </c>
      <c r="AJ82" s="39" t="n">
        <f aca="false">(AM82-AM$80)/(AM$95-AM$80)*(AJ$95-AJ$80)+AJ$80</f>
        <v>354.585648952364</v>
      </c>
      <c r="AK82" s="39" t="n">
        <f aca="false">8314.4621*AJ82/(Sheet1!M$21*Sheet1!M$12*9.80665)</f>
        <v>10427.5109603854</v>
      </c>
      <c r="AL82" s="39" t="n">
        <f aca="false">AL81-LN(AG82/AG81)*(AK81+AK82)/2</f>
        <v>101320.142293777</v>
      </c>
      <c r="AM82" s="39" t="n">
        <f aca="false">Sheet1!M$10*10/Sheet1!M$11*1000*AL82/(Sheet1!M$10*10/Sheet1!M$11*1000-AL82)</f>
        <v>102965.64606518</v>
      </c>
      <c r="AN82" s="41"/>
      <c r="AO82" s="37" t="n">
        <f aca="false">AO81+(AO$86-AO$77)/9</f>
        <v>-3.74444444444444</v>
      </c>
      <c r="AP82" s="40" t="n">
        <f aca="false">10^AO82</f>
        <v>0.000180117352833415</v>
      </c>
      <c r="AQ82" s="39" t="n">
        <f aca="false">AS82-AR82*((Sheet1!R$19-Sheet1!R$20)*COS(RADIANS(38))+Sheet1!R$20)/2</f>
        <v>188.765214313316</v>
      </c>
      <c r="AR82" s="37" t="n">
        <f aca="false">(AV82-AV$51)/(AV$116-AV$51)*(AR$116-AR$51)+AR$51</f>
        <v>0.0586575367943273</v>
      </c>
      <c r="AS82" s="39" t="n">
        <f aca="false">(AV82-AV$77)/(AV$86-AV$77)*(AS$86-AS$77)+AS$77</f>
        <v>191.059331077695</v>
      </c>
      <c r="AT82" s="39" t="n">
        <f aca="false">8314.4621*AS82/(Sheet1!R$22*Sheet1!R$12*9.80665)</f>
        <v>3379.88938356944</v>
      </c>
      <c r="AU82" s="39" t="n">
        <f aca="false">AU81-LN(AP82/AP81)*(AT81+AT82)/2</f>
        <v>62545.6094822449</v>
      </c>
      <c r="AV82" s="39" t="n">
        <f aca="false">Sheet1!R$10*10/Sheet1!R$11*1000*AU82/(Sheet1!R$10*10/Sheet1!R$11*1000-AU82)</f>
        <v>63121.1121690981</v>
      </c>
    </row>
    <row r="83" customFormat="false" ht="14.4" hidden="false" customHeight="false" outlineLevel="0" collapsed="false">
      <c r="J83" s="37" t="n">
        <f aca="false">J82-0.1</f>
        <v>-3.4</v>
      </c>
      <c r="K83" s="40" t="n">
        <f aca="false">10^J83</f>
        <v>0.000398107170553495</v>
      </c>
      <c r="L83" s="39" t="n">
        <f aca="false">(O83-O$79)/(O$89-O$79)*(L$89-L$79)+L$79</f>
        <v>17837.9921690798</v>
      </c>
      <c r="M83" s="39" t="n">
        <f aca="false">8314.4621*L83/(Sheet1!C$16*Sheet1!C$12*9.80665)</f>
        <v>419381.8607786</v>
      </c>
      <c r="N83" s="39" t="n">
        <f aca="false">N82-LN(K83/K82)*(M82+M83)/2</f>
        <v>2555542.04416188</v>
      </c>
      <c r="O83" s="39" t="n">
        <f aca="false">Sheet1!C$10*10/Sheet1!C$11*1000*N83/(Sheet1!C$10*10/Sheet1!C$11*1000-N83)</f>
        <v>2564869.82654346</v>
      </c>
      <c r="Q83" s="37" t="n">
        <f aca="false">Q82-0.1</f>
        <v>0.700000000000013</v>
      </c>
      <c r="R83" s="40" t="n">
        <f aca="false">10^Q83</f>
        <v>5.01187233627288</v>
      </c>
      <c r="S83" s="39" t="n">
        <f aca="false">U83-T83*((Sheet1!H$18-Sheet1!H$19)*COS(RADIANS(38))+Sheet1!H$19)/2</f>
        <v>217.572255031686</v>
      </c>
      <c r="T83" s="37" t="n">
        <f aca="false">(X83-X$54)/(X$100-X$54)*(T$100-T$54)+T$54</f>
        <v>1.56554983315718</v>
      </c>
      <c r="U83" s="39" t="n">
        <f aca="false">(X83-X$77)/(X$90-X$77)*(U$90-U$77)+U$77</f>
        <v>221.605145072513</v>
      </c>
      <c r="V83" s="39" t="n">
        <f aca="false">8314.4621*U83/(Sheet1!H$20*Sheet1!H$12*9.80665)</f>
        <v>43983.0022458773</v>
      </c>
      <c r="W83" s="39" t="n">
        <f aca="false">W82-LN(R83/R82)*(V82+V83)/2</f>
        <v>1250737.30164587</v>
      </c>
      <c r="X83" s="39" t="n">
        <f aca="false">Sheet1!H$10*10/Sheet1!H$11*1000*W83/(Sheet1!H$10*10/Sheet1!H$11*1000-W83)</f>
        <v>1277708.94979198</v>
      </c>
      <c r="Z83" s="39"/>
      <c r="AF83" s="37" t="n">
        <f aca="false">AF82-0.1</f>
        <v>-2.8</v>
      </c>
      <c r="AG83" s="40" t="n">
        <f aca="false">10^AF83</f>
        <v>0.0015848931924611</v>
      </c>
      <c r="AH83" s="39" t="n">
        <f aca="false">AJ83-AI83*((Sheet1!M$19-Sheet1!M$20)*COS(RADIANS(38))+Sheet1!M$20)/2</f>
        <v>378.122822618324</v>
      </c>
      <c r="AI83" s="37" t="n">
        <f aca="false">(AM83-AM$62)/(AM$95-AM$62)*(AI$95-AI$62)+AI$62</f>
        <v>0.2</v>
      </c>
      <c r="AJ83" s="39" t="n">
        <f aca="false">(AM83-AM$80)/(AM$95-AM$80)*(AJ$95-AJ$80)+AJ$80</f>
        <v>379.389634447291</v>
      </c>
      <c r="AK83" s="39" t="n">
        <f aca="false">8314.4621*AJ83/(Sheet1!M$21*Sheet1!M$12*9.80665)</f>
        <v>11156.9365064383</v>
      </c>
      <c r="AL83" s="39" t="n">
        <f aca="false">AL82-LN(AG83/AG82)*(AK82+AK83)/2</f>
        <v>103805.143642658</v>
      </c>
      <c r="AM83" s="39" t="n">
        <f aca="false">Sheet1!M$10*10/Sheet1!M$11*1000*AL83/(Sheet1!M$10*10/Sheet1!M$11*1000-AL83)</f>
        <v>105533.041518667</v>
      </c>
      <c r="AN83" s="41"/>
      <c r="AO83" s="37" t="n">
        <f aca="false">AO82+(AO$86-AO$77)/9</f>
        <v>-3.83333333333333</v>
      </c>
      <c r="AP83" s="40" t="n">
        <f aca="false">10^AO83</f>
        <v>0.000146779926762208</v>
      </c>
      <c r="AQ83" s="39" t="n">
        <f aca="false">AS83-AR83*((Sheet1!R$19-Sheet1!R$20)*COS(RADIANS(38))+Sheet1!R$20)/2</f>
        <v>194.107231411716</v>
      </c>
      <c r="AR83" s="37" t="n">
        <f aca="false">(AV83-AV$51)/(AV$116-AV$51)*(AR$116-AR$51)+AR$51</f>
        <v>0.0605552116413203</v>
      </c>
      <c r="AS83" s="39" t="n">
        <f aca="false">(AV83-AV$77)/(AV$86-AV$77)*(AS$86-AS$77)+AS$77</f>
        <v>196.475566902583</v>
      </c>
      <c r="AT83" s="39" t="n">
        <f aca="false">8314.4621*AS83/(Sheet1!R$22*Sheet1!R$12*9.80665)</f>
        <v>3475.7040075409</v>
      </c>
      <c r="AU83" s="39" t="n">
        <f aca="false">AU82-LN(AP83/AP82)*(AT82+AT83)/2</f>
        <v>63247.1911331782</v>
      </c>
      <c r="AV83" s="39" t="n">
        <f aca="false">Sheet1!R$10*10/Sheet1!R$11*1000*AU83/(Sheet1!R$10*10/Sheet1!R$11*1000-AU83)</f>
        <v>63835.7379435047</v>
      </c>
    </row>
    <row r="84" customFormat="false" ht="14.4" hidden="false" customHeight="false" outlineLevel="0" collapsed="false">
      <c r="J84" s="37" t="n">
        <f aca="false">J83-0.1</f>
        <v>-3.5</v>
      </c>
      <c r="K84" s="40" t="n">
        <f aca="false">10^J84</f>
        <v>0.000316227766016836</v>
      </c>
      <c r="L84" s="39" t="n">
        <f aca="false">(O84-O$79)/(O$89-O$79)*(L$89-L$79)+L$79</f>
        <v>19908.7548228773</v>
      </c>
      <c r="M84" s="39" t="n">
        <f aca="false">8314.4621*L84/(Sheet1!C$16*Sheet1!C$12*9.80665)</f>
        <v>468066.7288259</v>
      </c>
      <c r="N84" s="39" t="n">
        <f aca="false">N83-LN(K84/K83)*(M83+M84)/2</f>
        <v>2657713.33882298</v>
      </c>
      <c r="O84" s="39" t="n">
        <f aca="false">Sheet1!C$10*10/Sheet1!C$11*1000*N84/(Sheet1!C$10*10/Sheet1!C$11*1000-N84)</f>
        <v>2667803.35813459</v>
      </c>
      <c r="Q84" s="37" t="n">
        <f aca="false">Q83-0.1</f>
        <v>0.600000000000013</v>
      </c>
      <c r="R84" s="40" t="n">
        <f aca="false">10^Q84</f>
        <v>3.9810717055351</v>
      </c>
      <c r="S84" s="39" t="n">
        <f aca="false">U84-T84*((Sheet1!H$18-Sheet1!H$19)*COS(RADIANS(38))+Sheet1!H$19)/2</f>
        <v>217.509894380108</v>
      </c>
      <c r="T84" s="37" t="n">
        <f aca="false">(X84-X$54)/(X$100-X$54)*(T$100-T$54)+T$54</f>
        <v>1.58960893741369</v>
      </c>
      <c r="U84" s="39" t="n">
        <f aca="false">(X84-X$77)/(X$90-X$77)*(U$90-U$77)+U$77</f>
        <v>221.604761190945</v>
      </c>
      <c r="V84" s="39" t="n">
        <f aca="false">8314.4621*U84/(Sheet1!H$20*Sheet1!H$12*9.80665)</f>
        <v>43982.9260551197</v>
      </c>
      <c r="W84" s="39" t="n">
        <f aca="false">W83-LN(R84/R83)*(V83+V84)/2</f>
        <v>1260864.75340573</v>
      </c>
      <c r="X84" s="39" t="n">
        <f aca="false">Sheet1!H$10*10/Sheet1!H$11*1000*W84/(Sheet1!H$10*10/Sheet1!H$11*1000-W84)</f>
        <v>1288279.74580255</v>
      </c>
      <c r="Z84" s="39"/>
      <c r="AF84" s="37" t="n">
        <f aca="false">AF83-0.1</f>
        <v>-2.9</v>
      </c>
      <c r="AG84" s="40" t="n">
        <f aca="false">10^AF84</f>
        <v>0.00125892541179416</v>
      </c>
      <c r="AH84" s="39" t="n">
        <f aca="false">AJ84-AI84*((Sheet1!M$19-Sheet1!M$20)*COS(RADIANS(38))+Sheet1!M$20)/2</f>
        <v>404.684723207365</v>
      </c>
      <c r="AI84" s="37" t="n">
        <f aca="false">(AM84-AM$62)/(AM$95-AM$62)*(AI$95-AI$62)+AI$62</f>
        <v>0.2</v>
      </c>
      <c r="AJ84" s="39" t="n">
        <f aca="false">(AM84-AM$80)/(AM$95-AM$80)*(AJ$95-AJ$80)+AJ$80</f>
        <v>405.951535036332</v>
      </c>
      <c r="AK84" s="39" t="n">
        <f aca="false">8314.4621*AJ84/(Sheet1!M$21*Sheet1!M$12*9.80665)</f>
        <v>11938.0581066476</v>
      </c>
      <c r="AL84" s="39" t="n">
        <f aca="false">AL83-LN(AG84/AG83)*(AK83+AK84)/2</f>
        <v>106464.053158602</v>
      </c>
      <c r="AM84" s="39" t="n">
        <f aca="false">Sheet1!M$10*10/Sheet1!M$11*1000*AL84/(Sheet1!M$10*10/Sheet1!M$11*1000-AL84)</f>
        <v>108282.378217063</v>
      </c>
      <c r="AN84" s="41"/>
      <c r="AO84" s="37" t="n">
        <f aca="false">AO83+(AO$86-AO$77)/9</f>
        <v>-3.92222222222222</v>
      </c>
      <c r="AP84" s="40" t="n">
        <f aca="false">10^AO84</f>
        <v>0.000119612833307876</v>
      </c>
      <c r="AQ84" s="39" t="n">
        <f aca="false">AS84-AR84*((Sheet1!R$19-Sheet1!R$20)*COS(RADIANS(38))+Sheet1!R$20)/2</f>
        <v>199.601853087421</v>
      </c>
      <c r="AR84" s="37" t="n">
        <f aca="false">(AV84-AV$51)/(AV$116-AV$51)*(AR$116-AR$51)+AR$51</f>
        <v>0.0625070970497187</v>
      </c>
      <c r="AS84" s="39" t="n">
        <f aca="false">(AV84-AV$77)/(AV$86-AV$77)*(AS$86-AS$77)+AS$77</f>
        <v>202.046527498779</v>
      </c>
      <c r="AT84" s="39" t="n">
        <f aca="false">8314.4621*AS84/(Sheet1!R$22*Sheet1!R$12*9.80665)</f>
        <v>3574.25575305973</v>
      </c>
      <c r="AU84" s="39" t="n">
        <f aca="false">AU83-LN(AP84/AP83)*(AT83+AT84)/2</f>
        <v>63968.6636776656</v>
      </c>
      <c r="AV84" s="39" t="n">
        <f aca="false">Sheet1!R$10*10/Sheet1!R$11*1000*AU84/(Sheet1!R$10*10/Sheet1!R$11*1000-AU84)</f>
        <v>64570.778313429</v>
      </c>
    </row>
    <row r="85" customFormat="false" ht="14.4" hidden="false" customHeight="false" outlineLevel="0" collapsed="false">
      <c r="J85" s="37" t="n">
        <f aca="false">J84-0.1</f>
        <v>-3.6</v>
      </c>
      <c r="K85" s="40" t="n">
        <f aca="false">10^J85</f>
        <v>0.000251188643150956</v>
      </c>
      <c r="L85" s="39" t="n">
        <f aca="false">(O85-O$79)/(O$89-O$79)*(L$89-L$79)+L$79</f>
        <v>22220.661883404</v>
      </c>
      <c r="M85" s="39" t="n">
        <f aca="false">8314.4621*L85/(Sheet1!C$16*Sheet1!C$12*9.80665)</f>
        <v>522421.046049536</v>
      </c>
      <c r="N85" s="39" t="n">
        <f aca="false">N84-LN(K85/K84)*(M84+M85)/2</f>
        <v>2771747.45808403</v>
      </c>
      <c r="O85" s="39" t="n">
        <f aca="false">Sheet1!C$10*10/Sheet1!C$11*1000*N85/(Sheet1!C$10*10/Sheet1!C$11*1000-N85)</f>
        <v>2782723.70306842</v>
      </c>
      <c r="Q85" s="37" t="n">
        <f aca="false">Q84-0.1</f>
        <v>0.500000000000013</v>
      </c>
      <c r="R85" s="40" t="n">
        <f aca="false">10^Q85</f>
        <v>3.16227766016848</v>
      </c>
      <c r="S85" s="39" t="n">
        <f aca="false">U85-T85*((Sheet1!H$18-Sheet1!H$19)*COS(RADIANS(38))+Sheet1!H$19)/2</f>
        <v>217.447512051128</v>
      </c>
      <c r="T85" s="37" t="n">
        <f aca="false">(X85-X$54)/(X$100-X$54)*(T$100-T$54)+T$54</f>
        <v>1.61367640494254</v>
      </c>
      <c r="U85" s="39" t="n">
        <f aca="false">(X85-X$77)/(X$90-X$77)*(U$90-U$77)+U$77</f>
        <v>221.604377175943</v>
      </c>
      <c r="V85" s="39" t="n">
        <f aca="false">8314.4621*U85/(Sheet1!H$20*Sheet1!H$12*9.80665)</f>
        <v>43982.8498378791</v>
      </c>
      <c r="W85" s="39" t="n">
        <f aca="false">W84-LN(R85/R84)*(V84+V85)/2</f>
        <v>1270992.18761898</v>
      </c>
      <c r="X85" s="39" t="n">
        <f aca="false">Sheet1!H$10*10/Sheet1!H$11*1000*W85/(Sheet1!H$10*10/Sheet1!H$11*1000-W85)</f>
        <v>1298854.21636578</v>
      </c>
      <c r="Z85" s="39"/>
      <c r="AF85" s="37" t="n">
        <f aca="false">AF84-0.1</f>
        <v>-3</v>
      </c>
      <c r="AG85" s="40" t="n">
        <f aca="false">10^AF85</f>
        <v>0.000999999999999992</v>
      </c>
      <c r="AH85" s="39" t="n">
        <f aca="false">AJ85-AI85*((Sheet1!M$19-Sheet1!M$20)*COS(RADIANS(38))+Sheet1!M$20)/2</f>
        <v>433.154622190782</v>
      </c>
      <c r="AI85" s="37" t="n">
        <f aca="false">(AM85-AM$62)/(AM$95-AM$62)*(AI$95-AI$62)+AI$62</f>
        <v>0.2</v>
      </c>
      <c r="AJ85" s="39" t="n">
        <f aca="false">(AM85-AM$80)/(AM$95-AM$80)*(AJ$95-AJ$80)+AJ$80</f>
        <v>434.42143401975</v>
      </c>
      <c r="AK85" s="39" t="n">
        <f aca="false">8314.4621*AJ85/(Sheet1!M$21*Sheet1!M$12*9.80665)</f>
        <v>12775.2893498402</v>
      </c>
      <c r="AL85" s="39" t="n">
        <f aca="false">AL84-LN(AG85/AG84)*(AK84+AK85)/2</f>
        <v>109309.282431166</v>
      </c>
      <c r="AM85" s="39" t="n">
        <f aca="false">Sheet1!M$10*10/Sheet1!M$11*1000*AL85/(Sheet1!M$10*10/Sheet1!M$11*1000-AL85)</f>
        <v>111226.970175147</v>
      </c>
      <c r="AN85" s="41"/>
      <c r="AO85" s="37" t="n">
        <f aca="false">AO84+(AO$86-AO$77)/9</f>
        <v>-4.01111111111111</v>
      </c>
      <c r="AP85" s="40" t="n">
        <f aca="false">10^AO85</f>
        <v>9.74740225556608E-005</v>
      </c>
      <c r="AQ85" s="39" t="n">
        <f aca="false">AS85-AR85*((Sheet1!R$19-Sheet1!R$20)*COS(RADIANS(38))+Sheet1!R$20)/2</f>
        <v>205.253506031332</v>
      </c>
      <c r="AR85" s="37" t="n">
        <f aca="false">(AV85-AV$51)/(AV$116-AV$51)*(AR$116-AR$51)+AR$51</f>
        <v>0.0645147655331898</v>
      </c>
      <c r="AS85" s="39" t="n">
        <f aca="false">(AV85-AV$77)/(AV$86-AV$77)*(AS$86-AS$77)+AS$77</f>
        <v>207.776701058744</v>
      </c>
      <c r="AT85" s="39" t="n">
        <f aca="false">8314.4621*AS85/(Sheet1!R$22*Sheet1!R$12*9.80665)</f>
        <v>3675.62401742081</v>
      </c>
      <c r="AU85" s="39" t="n">
        <f aca="false">AU84-LN(AP85/AP84)*(AT84+AT85)/2</f>
        <v>64710.5954592437</v>
      </c>
      <c r="AV85" s="39" t="n">
        <f aca="false">Sheet1!R$10*10/Sheet1!R$11*1000*AU85/(Sheet1!R$10*10/Sheet1!R$11*1000-AU85)</f>
        <v>65326.8254555544</v>
      </c>
    </row>
    <row r="86" customFormat="false" ht="14.4" hidden="false" customHeight="false" outlineLevel="0" collapsed="false">
      <c r="J86" s="37" t="n">
        <f aca="false">J85-0.1</f>
        <v>-3.7</v>
      </c>
      <c r="K86" s="40" t="n">
        <f aca="false">10^J86</f>
        <v>0.000199526231496887</v>
      </c>
      <c r="L86" s="39" t="n">
        <f aca="false">(O86-O$79)/(O$89-O$79)*(L$89-L$79)+L$79</f>
        <v>24801.9809654476</v>
      </c>
      <c r="M86" s="39" t="n">
        <f aca="false">8314.4621*L86/(Sheet1!C$16*Sheet1!C$12*9.80665)</f>
        <v>583109.400973653</v>
      </c>
      <c r="N86" s="39" t="n">
        <f aca="false">N85-LN(K86/K85)*(M85+M86)/2</f>
        <v>2899026.35444236</v>
      </c>
      <c r="O86" s="39" t="n">
        <f aca="false">Sheet1!C$10*10/Sheet1!C$11*1000*N86/(Sheet1!C$10*10/Sheet1!C$11*1000-N86)</f>
        <v>2911035.98878163</v>
      </c>
      <c r="Q86" s="37" t="n">
        <f aca="false">Q85-0.1</f>
        <v>0.400000000000013</v>
      </c>
      <c r="R86" s="40" t="n">
        <f aca="false">10^Q86</f>
        <v>2.51188643150966</v>
      </c>
      <c r="S86" s="39" t="n">
        <f aca="false">U86-T86*((Sheet1!H$18-Sheet1!H$19)*COS(RADIANS(38))+Sheet1!H$19)/2</f>
        <v>217.384107761912</v>
      </c>
      <c r="T86" s="37" t="n">
        <f aca="false">(X86-X$54)/(X$100-X$54)*(T$100-T$54)+T$54</f>
        <v>1.63775218573709</v>
      </c>
      <c r="U86" s="39" t="n">
        <f aca="false">(X86-X$77)/(X$90-X$77)*(U$90-U$77)+U$77</f>
        <v>221.602992615857</v>
      </c>
      <c r="V86" s="39" t="n">
        <f aca="false">8314.4621*U86/(Sheet1!H$20*Sheet1!H$12*9.80665)</f>
        <v>43982.575037809</v>
      </c>
      <c r="W86" s="39" t="n">
        <f aca="false">W85-LN(R86/R85)*(V85+V86)/2</f>
        <v>1281119.58141986</v>
      </c>
      <c r="X86" s="39" t="n">
        <f aca="false">Sheet1!H$10*10/Sheet1!H$11*1000*W86/(Sheet1!H$10*10/Sheet1!H$11*1000-W86)</f>
        <v>1309432.33951039</v>
      </c>
      <c r="Z86" s="39"/>
      <c r="AF86" s="37" t="n">
        <f aca="false">AF85-0.1</f>
        <v>-3.1</v>
      </c>
      <c r="AG86" s="40" t="n">
        <f aca="false">10^AF86</f>
        <v>0.000794328234724275</v>
      </c>
      <c r="AH86" s="39" t="n">
        <f aca="false">AJ86-AI86*((Sheet1!M$19-Sheet1!M$20)*COS(RADIANS(38))+Sheet1!M$20)/2</f>
        <v>463.604422020106</v>
      </c>
      <c r="AI86" s="37" t="n">
        <f aca="false">(AM86-AM$62)/(AM$95-AM$62)*(AI$95-AI$62)+AI$62</f>
        <v>0.2</v>
      </c>
      <c r="AJ86" s="39" t="n">
        <f aca="false">(AM86-AM$80)/(AM$95-AM$80)*(AJ$95-AJ$80)+AJ$80</f>
        <v>464.871233849073</v>
      </c>
      <c r="AK86" s="39" t="n">
        <f aca="false">8314.4621*AJ86/(Sheet1!M$21*Sheet1!M$12*9.80665)</f>
        <v>13670.7447141504</v>
      </c>
      <c r="AL86" s="39" t="n">
        <f aca="false">AL85-LN(AG86/AG85)*(AK85+AK86)/2</f>
        <v>112353.994621394</v>
      </c>
      <c r="AM86" s="39" t="n">
        <f aca="false">Sheet1!M$10*10/Sheet1!M$11*1000*AL86/(Sheet1!M$10*10/Sheet1!M$11*1000-AL86)</f>
        <v>114380.991675575</v>
      </c>
      <c r="AN86" s="41"/>
      <c r="AO86" s="37" t="n">
        <f aca="false">AO69+0.4*(AO116-AO69)</f>
        <v>-4.1</v>
      </c>
      <c r="AP86" s="40" t="n">
        <f aca="false">10^AO86</f>
        <v>7.94328234724282E-005</v>
      </c>
      <c r="AQ86" s="39" t="n">
        <f aca="false">AS86-AR86*((Sheet1!R$19-Sheet1!R$20)*COS(RADIANS(38))+Sheet1!R$20)/2</f>
        <v>211.066776976897</v>
      </c>
      <c r="AR86" s="37" t="n">
        <f aca="false">(AV86-AV$51)/(AV$116-AV$51)*(AR$116-AR$51)+AR$51</f>
        <v>0.0665798367353675</v>
      </c>
      <c r="AS86" s="39" t="n">
        <f aca="false">AS69+0.28*(AS116-AS69)</f>
        <v>213.670737660752</v>
      </c>
      <c r="AT86" s="39" t="n">
        <f aca="false">8314.4621*AS86/(Sheet1!R$22*Sheet1!R$12*9.80665)</f>
        <v>3779.89106172127</v>
      </c>
      <c r="AU86" s="39" t="n">
        <f aca="false">AU85-LN(AP86/AP85)*(AT85+AT86)/2</f>
        <v>65473.5713651026</v>
      </c>
      <c r="AV86" s="39" t="n">
        <f aca="false">Sheet1!R$10*10/Sheet1!R$11*1000*AU86/(Sheet1!R$10*10/Sheet1!R$11*1000-AU86)</f>
        <v>66104.4892947518</v>
      </c>
    </row>
    <row r="87" customFormat="false" ht="14.4" hidden="false" customHeight="false" outlineLevel="0" collapsed="false">
      <c r="J87" s="37" t="n">
        <f aca="false">J86-0.1</f>
        <v>-3.8</v>
      </c>
      <c r="K87" s="40" t="n">
        <f aca="false">10^J87</f>
        <v>0.00015848931924611</v>
      </c>
      <c r="L87" s="39" t="n">
        <f aca="false">(O87-O$79)/(O$89-O$79)*(L$89-L$79)+L$79</f>
        <v>27684.3390877861</v>
      </c>
      <c r="M87" s="39" t="n">
        <f aca="false">8314.4621*L87/(Sheet1!C$16*Sheet1!C$12*9.80665)</f>
        <v>650875.36371872</v>
      </c>
      <c r="N87" s="39" t="n">
        <f aca="false">N86-LN(K87/K86)*(M86+M87)/2</f>
        <v>3041094.10065048</v>
      </c>
      <c r="O87" s="39" t="n">
        <f aca="false">Sheet1!C$10*10/Sheet1!C$11*1000*N87/(Sheet1!C$10*10/Sheet1!C$11*1000-N87)</f>
        <v>3054312.33206443</v>
      </c>
      <c r="Q87" s="37" t="n">
        <f aca="false">Q86-0.1</f>
        <v>0.300000000000013</v>
      </c>
      <c r="R87" s="40" t="n">
        <f aca="false">10^Q87</f>
        <v>1.99526231496894</v>
      </c>
      <c r="S87" s="39" t="n">
        <f aca="false">U87-T87*((Sheet1!H$18-Sheet1!H$19)*COS(RADIANS(38))+Sheet1!H$19)/2</f>
        <v>217.321932302583</v>
      </c>
      <c r="T87" s="37" t="n">
        <f aca="false">(X87-X$54)/(X$100-X$54)*(T$100-T$54)+T$54</f>
        <v>1.66183629767854</v>
      </c>
      <c r="U87" s="39" t="n">
        <f aca="false">(X87-X$77)/(X$90-X$77)*(U$90-U$77)+U$77</f>
        <v>221.602858346871</v>
      </c>
      <c r="V87" s="39" t="n">
        <f aca="false">8314.4621*U87/(Sheet1!H$20*Sheet1!H$12*9.80665)</f>
        <v>43982.5483888199</v>
      </c>
      <c r="W87" s="39" t="n">
        <f aca="false">W86-LN(R87/R86)*(V86+V87)/2</f>
        <v>1291246.94051514</v>
      </c>
      <c r="X87" s="39" t="n">
        <f aca="false">Sheet1!H$10*10/Sheet1!H$11*1000*W87/(Sheet1!H$10*10/Sheet1!H$11*1000-W87)</f>
        <v>1320014.12309278</v>
      </c>
      <c r="Z87" s="39"/>
      <c r="AF87" s="37" t="n">
        <f aca="false">AF86-0.1</f>
        <v>-3.2</v>
      </c>
      <c r="AG87" s="40" t="n">
        <f aca="false">10^AF87</f>
        <v>0.000630957344480188</v>
      </c>
      <c r="AH87" s="39" t="n">
        <f aca="false">AJ87-AI87*((Sheet1!M$19-Sheet1!M$20)*COS(RADIANS(38))+Sheet1!M$20)/2</f>
        <v>496.246765602826</v>
      </c>
      <c r="AI87" s="37" t="n">
        <f aca="false">(AM87-AM$62)/(AM$95-AM$62)*(AI$95-AI$62)+AI$62</f>
        <v>0.2</v>
      </c>
      <c r="AJ87" s="39" t="n">
        <f aca="false">(AM87-AM$80)/(AM$95-AM$80)*(AJ$95-AJ$80)+AJ$80</f>
        <v>497.513577431793</v>
      </c>
      <c r="AK87" s="39" t="n">
        <f aca="false">8314.4621*AJ87/(Sheet1!M$21*Sheet1!M$12*9.80665)</f>
        <v>14630.6775159633</v>
      </c>
      <c r="AL87" s="39" t="n">
        <f aca="false">AL86-LN(AG87/AG86)*(AK86+AK87)/2</f>
        <v>115612.316268274</v>
      </c>
      <c r="AM87" s="39" t="n">
        <f aca="false">Sheet1!M$10*10/Sheet1!M$11*1000*AL87/(Sheet1!M$10*10/Sheet1!M$11*1000-AL87)</f>
        <v>117759.709450072</v>
      </c>
      <c r="AN87" s="41"/>
      <c r="AO87" s="37" t="n">
        <f aca="false">AO86+(AO$96-AO$86)/10</f>
        <v>-4.18</v>
      </c>
      <c r="AP87" s="40" t="n">
        <f aca="false">10^AO87</f>
        <v>6.60693448007596E-005</v>
      </c>
      <c r="AQ87" s="39" t="n">
        <f aca="false">AS87-AR87*((Sheet1!R$19-Sheet1!R$20)*COS(RADIANS(38))+Sheet1!R$20)/2</f>
        <v>218.693757621686</v>
      </c>
      <c r="AR87" s="37" t="n">
        <f aca="false">(AV87-AV$51)/(AV$116-AV$51)*(AR$116-AR$51)+AR$51</f>
        <v>0.0684987744853816</v>
      </c>
      <c r="AS87" s="39" t="n">
        <f aca="false">(AV87-AV$86)/(AV$96-AV$86)*(AS$96-AS$86)+AS$86</f>
        <v>221.372768631598</v>
      </c>
      <c r="AT87" s="39" t="n">
        <f aca="false">8314.4621*AS87/(Sheet1!R$22*Sheet1!R$12*9.80665)</f>
        <v>3916.14199782291</v>
      </c>
      <c r="AU87" s="39" t="n">
        <f aca="false">AU86-LN(AP87/AP86)*(AT86+AT87)/2</f>
        <v>66182.4022050265</v>
      </c>
      <c r="AV87" s="39" t="n">
        <f aca="false">Sheet1!R$10*10/Sheet1!R$11*1000*AU87/(Sheet1!R$10*10/Sheet1!R$11*1000-AU87)</f>
        <v>66827.1222462371</v>
      </c>
    </row>
    <row r="88" customFormat="false" ht="14.4" hidden="false" customHeight="false" outlineLevel="0" collapsed="false">
      <c r="J88" s="37" t="n">
        <f aca="false">J87-0.1</f>
        <v>-3.9</v>
      </c>
      <c r="K88" s="40" t="n">
        <f aca="false">10^J88</f>
        <v>0.000125892541179416</v>
      </c>
      <c r="L88" s="39" t="n">
        <f aca="false">(O88-O$79)/(O$89-O$79)*(L$89-L$79)+L$79</f>
        <v>30903.1332025146</v>
      </c>
      <c r="M88" s="39" t="n">
        <f aca="false">8314.4621*L88/(Sheet1!C$16*Sheet1!C$12*9.80665)</f>
        <v>726551.137791428</v>
      </c>
      <c r="N88" s="39" t="n">
        <f aca="false">N87-LN(K88/K87)*(M87+M88)/2</f>
        <v>3199676.18710409</v>
      </c>
      <c r="O88" s="39" t="n">
        <f aca="false">Sheet1!C$10*10/Sheet1!C$11*1000*N88/(Sheet1!C$10*10/Sheet1!C$11*1000-N88)</f>
        <v>3214312.24566446</v>
      </c>
      <c r="Q88" s="37" t="n">
        <f aca="false">Q87-0.1</f>
        <v>0.200000000000013</v>
      </c>
      <c r="R88" s="40" t="n">
        <f aca="false">10^Q88</f>
        <v>1.58489319246116</v>
      </c>
      <c r="S88" s="39" t="n">
        <f aca="false">U88-T88*((Sheet1!H$18-Sheet1!H$19)*COS(RADIANS(38))+Sheet1!H$19)/2</f>
        <v>217.259735148939</v>
      </c>
      <c r="T88" s="37" t="n">
        <f aca="false">(X88-X$54)/(X$100-X$54)*(T$100-T$54)+T$54</f>
        <v>1.68592881306633</v>
      </c>
      <c r="U88" s="39" t="n">
        <f aca="false">(X88-X$77)/(X$90-X$77)*(U$90-U$77)+U$77</f>
        <v>221.602724031029</v>
      </c>
      <c r="V88" s="39" t="n">
        <f aca="false">8314.4621*U88/(Sheet1!H$20*Sheet1!H$12*9.80665)</f>
        <v>43982.521730531</v>
      </c>
      <c r="W88" s="39" t="n">
        <f aca="false">W87-LN(R88/R87)*(V87+V88)/2</f>
        <v>1301374.29347319</v>
      </c>
      <c r="X88" s="39" t="n">
        <f aca="false">Sheet1!H$10*10/Sheet1!H$11*1000*W88/(Sheet1!H$10*10/Sheet1!H$11*1000-W88)</f>
        <v>1330599.59887901</v>
      </c>
      <c r="Z88" s="39"/>
      <c r="AF88" s="37" t="n">
        <f aca="false">AF87-0.1</f>
        <v>-3.3</v>
      </c>
      <c r="AG88" s="40" t="n">
        <f aca="false">10^AF88</f>
        <v>0.000501187233627268</v>
      </c>
      <c r="AH88" s="39" t="n">
        <f aca="false">AJ88-AI88*((Sheet1!M$19-Sheet1!M$20)*COS(RADIANS(38))+Sheet1!M$20)/2</f>
        <v>531.220402351111</v>
      </c>
      <c r="AI88" s="37" t="n">
        <f aca="false">(AM88-AM$62)/(AM$95-AM$62)*(AI$95-AI$62)+AI$62</f>
        <v>0.2</v>
      </c>
      <c r="AJ88" s="39" t="n">
        <f aca="false">(AM88-AM$80)/(AM$95-AM$80)*(AJ$95-AJ$80)+AJ$80</f>
        <v>532.487214180079</v>
      </c>
      <c r="AK88" s="39" t="n">
        <f aca="false">8314.4621*AJ88/(Sheet1!M$21*Sheet1!M$12*9.80665)</f>
        <v>15659.1680417214</v>
      </c>
      <c r="AL88" s="39" t="n">
        <f aca="false">AL87-LN(AG88/AG87)*(AK87+AK88)/2</f>
        <v>119099.563610785</v>
      </c>
      <c r="AM88" s="39" t="n">
        <f aca="false">Sheet1!M$10*10/Sheet1!M$11*1000*AL88/(Sheet1!M$10*10/Sheet1!M$11*1000-AL88)</f>
        <v>121379.732888098</v>
      </c>
      <c r="AN88" s="41"/>
      <c r="AO88" s="37" t="n">
        <f aca="false">AO87+(AO$96-AO$86)/10</f>
        <v>-4.26</v>
      </c>
      <c r="AP88" s="40" t="n">
        <f aca="false">10^AO88</f>
        <v>5.49540873857625E-005</v>
      </c>
      <c r="AQ88" s="39" t="n">
        <f aca="false">AS88-AR88*((Sheet1!R$19-Sheet1!R$20)*COS(RADIANS(38))+Sheet1!R$20)/2</f>
        <v>226.597371573403</v>
      </c>
      <c r="AR88" s="37" t="n">
        <f aca="false">(AV88-AV$51)/(AV$116-AV$51)*(AR$116-AR$51)+AR$51</f>
        <v>0.0704873127601725</v>
      </c>
      <c r="AS88" s="39" t="n">
        <f aca="false">(AV88-AV$86)/(AV$96-AV$86)*(AS$96-AS$86)+AS$86</f>
        <v>229.354155010221</v>
      </c>
      <c r="AT88" s="39" t="n">
        <f aca="false">8314.4621*AS88/(Sheet1!R$22*Sheet1!R$12*9.80665)</f>
        <v>4057.33480392722</v>
      </c>
      <c r="AU88" s="39" t="n">
        <f aca="false">AU87-LN(AP88/AP87)*(AT87+AT88)/2</f>
        <v>66916.7865579482</v>
      </c>
      <c r="AV88" s="39" t="n">
        <f aca="false">Sheet1!R$10*10/Sheet1!R$11*1000*AU88/(Sheet1!R$10*10/Sheet1!R$11*1000-AU88)</f>
        <v>67575.9653406225</v>
      </c>
    </row>
    <row r="89" customFormat="false" ht="14.4" hidden="false" customHeight="false" outlineLevel="0" collapsed="false">
      <c r="J89" s="37" t="n">
        <f aca="false">J88-0.1</f>
        <v>-4</v>
      </c>
      <c r="K89" s="40" t="n">
        <f aca="false">10^J89</f>
        <v>9.99999999999994E-005</v>
      </c>
      <c r="L89" s="39" t="n">
        <f aca="false">6*Sheet1!C14</f>
        <v>34497.9936677244</v>
      </c>
      <c r="M89" s="39" t="n">
        <f aca="false">8314.4621*L89/(Sheet1!C$16*Sheet1!C$12*9.80665)</f>
        <v>811068.456604496</v>
      </c>
      <c r="N89" s="39" t="n">
        <f aca="false">N88-LN(K89/K88)*(M88+M89)/2</f>
        <v>3376701.18494167</v>
      </c>
      <c r="O89" s="39" t="n">
        <f aca="false">Sheet1!C$10*10/Sheet1!C$11*1000*N89/(Sheet1!C$10*10/Sheet1!C$11*1000-N89)</f>
        <v>3393005.67660054</v>
      </c>
      <c r="Q89" s="37" t="n">
        <f aca="false">Q88-0.1</f>
        <v>0.100000000000013</v>
      </c>
      <c r="R89" s="40" t="n">
        <f aca="false">10^Q89</f>
        <v>1.25892541179421</v>
      </c>
      <c r="S89" s="39" t="n">
        <f aca="false">U89-T89*((Sheet1!H$18-Sheet1!H$19)*COS(RADIANS(38))+Sheet1!H$19)/2</f>
        <v>217.197516289638</v>
      </c>
      <c r="T89" s="37" t="n">
        <f aca="false">(X89-X$54)/(X$100-X$54)*(T$100-T$54)+T$54</f>
        <v>1.71002973629431</v>
      </c>
      <c r="U89" s="39" t="n">
        <f aca="false">(X89-X$77)/(X$90-X$77)*(U$90-U$77)+U$77</f>
        <v>221.602589668306</v>
      </c>
      <c r="V89" s="39" t="n">
        <f aca="false">8314.4621*U89/(Sheet1!H$20*Sheet1!H$12*9.80665)</f>
        <v>43982.4950629375</v>
      </c>
      <c r="W89" s="39" t="n">
        <f aca="false">W88-LN(R89/R88)*(V88+V89)/2</f>
        <v>1311501.64029187</v>
      </c>
      <c r="X89" s="39" t="n">
        <f aca="false">Sheet1!H$10*10/Sheet1!H$11*1000*W89/(Sheet1!H$10*10/Sheet1!H$11*1000-W89)</f>
        <v>1341188.7687996</v>
      </c>
      <c r="Z89" s="39"/>
      <c r="AF89" s="37" t="n">
        <f aca="false">AF88-0.1</f>
        <v>-3.4</v>
      </c>
      <c r="AG89" s="40" t="n">
        <f aca="false">10^AF89</f>
        <v>0.000398107170553494</v>
      </c>
      <c r="AH89" s="39" t="n">
        <f aca="false">AJ89-AI89*((Sheet1!M$19-Sheet1!M$20)*COS(RADIANS(38))+Sheet1!M$20)/2</f>
        <v>568.697573686459</v>
      </c>
      <c r="AI89" s="37" t="n">
        <f aca="false">(AM89-AM$62)/(AM$95-AM$62)*(AI$95-AI$62)+AI$62</f>
        <v>0.2</v>
      </c>
      <c r="AJ89" s="39" t="n">
        <f aca="false">(AM89-AM$80)/(AM$95-AM$80)*(AJ$95-AJ$80)+AJ$80</f>
        <v>569.964385515426</v>
      </c>
      <c r="AK89" s="39" t="n">
        <f aca="false">8314.4621*AJ89/(Sheet1!M$21*Sheet1!M$12*9.80665)</f>
        <v>16761.2814972946</v>
      </c>
      <c r="AL89" s="39" t="n">
        <f aca="false">AL88-LN(AG89/AG88)*(AK88+AK89)/2</f>
        <v>122832.10580162</v>
      </c>
      <c r="AM89" s="39" t="n">
        <f aca="false">Sheet1!M$10*10/Sheet1!M$11*1000*AL89/(Sheet1!M$10*10/Sheet1!M$11*1000-AL89)</f>
        <v>125258.890227007</v>
      </c>
      <c r="AN89" s="41"/>
      <c r="AO89" s="37" t="n">
        <f aca="false">AO88+(AO$96-AO$86)/10</f>
        <v>-4.34</v>
      </c>
      <c r="AP89" s="40" t="n">
        <f aca="false">10^AO89</f>
        <v>4.57088189614875E-005</v>
      </c>
      <c r="AQ89" s="39" t="n">
        <f aca="false">AS89-AR89*((Sheet1!R$19-Sheet1!R$20)*COS(RADIANS(38))+Sheet1!R$20)/2</f>
        <v>234.787778170918</v>
      </c>
      <c r="AR89" s="37" t="n">
        <f aca="false">(AV89-AV$51)/(AV$116-AV$51)*(AR$116-AR$51)+AR$51</f>
        <v>0.0725480076213484</v>
      </c>
      <c r="AS89" s="39" t="n">
        <f aca="false">(AV89-AV$86)/(AV$96-AV$86)*(AS$96-AS$86)+AS$86</f>
        <v>237.625156103953</v>
      </c>
      <c r="AT89" s="39" t="n">
        <f aca="false">8314.4621*AS89/(Sheet1!R$22*Sheet1!R$12*9.80665)</f>
        <v>4203.65096985594</v>
      </c>
      <c r="AU89" s="39" t="n">
        <f aca="false">AU88-LN(AP89/AP88)*(AT88+AT89)/2</f>
        <v>67677.6514657941</v>
      </c>
      <c r="AV89" s="39" t="n">
        <f aca="false">Sheet1!R$10*10/Sheet1!R$11*1000*AU89/(Sheet1!R$10*10/Sheet1!R$11*1000-AU89)</f>
        <v>68351.9811387541</v>
      </c>
    </row>
    <row r="90" customFormat="false" ht="14.4" hidden="false" customHeight="false" outlineLevel="0" collapsed="false">
      <c r="K90" s="40"/>
      <c r="Q90" s="37" t="n">
        <f aca="false">Q89-0.1</f>
        <v>1.346145417358E-014</v>
      </c>
      <c r="R90" s="40" t="n">
        <f aca="false">10^Q90</f>
        <v>1.00000000000003</v>
      </c>
      <c r="S90" s="39" t="n">
        <f aca="false">U90-T90*((Sheet1!H$18-Sheet1!H$19)*COS(RADIANS(38))+Sheet1!H$19)/2</f>
        <v>217.135275626098</v>
      </c>
      <c r="T90" s="37" t="n">
        <f aca="false">(X90-X$54)/(X$100-X$54)*(T$100-T$54)+T$54</f>
        <v>1.73413907175466</v>
      </c>
      <c r="U90" s="39" t="n">
        <f aca="false">70/610*(U$170-U$54)+U$54</f>
        <v>221.602455171437</v>
      </c>
      <c r="V90" s="39" t="n">
        <f aca="false">8314.4621*U90/(Sheet1!H$20*Sheet1!H$12*9.80665)</f>
        <v>43982.4683687193</v>
      </c>
      <c r="W90" s="39" t="n">
        <f aca="false">W89-LN(R90/R89)*(V89+V90)/2</f>
        <v>1321628.98096704</v>
      </c>
      <c r="X90" s="39" t="n">
        <f aca="false">Sheet1!H$10*10/Sheet1!H$11*1000*W90/(Sheet1!H$10*10/Sheet1!H$11*1000-W90)</f>
        <v>1351781.63478432</v>
      </c>
      <c r="Y90" s="37" t="n">
        <f aca="false">IF(Q90&lt;LOG(Sheet1!H$17*101325),Q90,IF(Q100&lt;LOG(Sheet1!H$17*101325),LOG(Sheet1!H$17*101325),0))</f>
        <v>1.346145417358E-014</v>
      </c>
      <c r="Z90" s="39" t="n">
        <f aca="false">IF(Y90=LOG(Sheet1!H$17*101325),(LOG(Sheet1!H$17*101325)-Q100)/(Q90-Q100)*(S90-S100)+S100,IF(Y90=0,0,S90))</f>
        <v>217.135275626098</v>
      </c>
      <c r="AA90" s="39" t="n">
        <f aca="false">IF(Y90=LOG(Sheet1!H$17*101325),(LOG(Sheet1!H$17*101325)-Q100)/(Q90-Q100)*(X90-X100)+X100,IF(Y90=0,0,X90))</f>
        <v>1351781.63478432</v>
      </c>
      <c r="AB90" s="32" t="n">
        <f aca="false">IF(Y90=0,0,AB77+1)</f>
        <v>7</v>
      </c>
      <c r="AF90" s="37" t="n">
        <f aca="false">AF89-0.1</f>
        <v>-3.5</v>
      </c>
      <c r="AG90" s="40" t="n">
        <f aca="false">10^AF90</f>
        <v>0.000316227766016835</v>
      </c>
      <c r="AH90" s="39" t="n">
        <f aca="false">AJ90-AI90*((Sheet1!M$19-Sheet1!M$20)*COS(RADIANS(38))+Sheet1!M$20)/2</f>
        <v>608.864091800686</v>
      </c>
      <c r="AI90" s="37" t="n">
        <f aca="false">(AM90-AM$62)/(AM$95-AM$62)*(AI$95-AI$62)+AI$62</f>
        <v>0.2</v>
      </c>
      <c r="AJ90" s="39" t="n">
        <f aca="false">(AM90-AM$80)/(AM$95-AM$80)*(AJ$95-AJ$80)+AJ$80</f>
        <v>610.130903629653</v>
      </c>
      <c r="AK90" s="39" t="n">
        <f aca="false">8314.4621*AJ90/(Sheet1!M$21*Sheet1!M$12*9.80665)</f>
        <v>17942.482172263</v>
      </c>
      <c r="AL90" s="39" t="n">
        <f aca="false">AL89-LN(AG90/AG89)*(AK89+AK90)/2</f>
        <v>126827.524246435</v>
      </c>
      <c r="AM90" s="39" t="n">
        <f aca="false">Sheet1!M$10*10/Sheet1!M$11*1000*AL90/(Sheet1!M$10*10/Sheet1!M$11*1000-AL90)</f>
        <v>129416.414377725</v>
      </c>
      <c r="AN90" s="41"/>
      <c r="AO90" s="37" t="n">
        <f aca="false">AO89+(AO$96-AO$86)/10</f>
        <v>-4.42</v>
      </c>
      <c r="AP90" s="40" t="n">
        <f aca="false">10^AO90</f>
        <v>3.80189396320561E-005</v>
      </c>
      <c r="AQ90" s="39" t="n">
        <f aca="false">AS90-AR90*((Sheet1!R$19-Sheet1!R$20)*COS(RADIANS(38))+Sheet1!R$20)/2</f>
        <v>243.27551911221</v>
      </c>
      <c r="AR90" s="37" t="n">
        <f aca="false">(AV90-AV$51)/(AV$116-AV$51)*(AR$116-AR$51)+AR$51</f>
        <v>0.0746835113307658</v>
      </c>
      <c r="AS90" s="39" t="n">
        <f aca="false">(AV90-AV$86)/(AV$96-AV$86)*(AS$96-AS$86)+AS$86</f>
        <v>246.196417341662</v>
      </c>
      <c r="AT90" s="39" t="n">
        <f aca="false">8314.4621*AS90/(Sheet1!R$22*Sheet1!R$12*9.80665)</f>
        <v>4355.27881602146</v>
      </c>
      <c r="AU90" s="39" t="n">
        <f aca="false">AU89-LN(AP90/AP89)*(AT89+AT90)/2</f>
        <v>68465.9580312719</v>
      </c>
      <c r="AV90" s="39" t="n">
        <f aca="false">Sheet1!R$10*10/Sheet1!R$11*1000*AU90/(Sheet1!R$10*10/Sheet1!R$11*1000-AU90)</f>
        <v>69156.168428536</v>
      </c>
    </row>
    <row r="91" customFormat="false" ht="14.4" hidden="false" customHeight="false" outlineLevel="0" collapsed="false">
      <c r="Q91" s="37" t="n">
        <f aca="false">Q90-0.1</f>
        <v>-0.0999999999999865</v>
      </c>
      <c r="R91" s="40" t="n">
        <f aca="false">10^Q91</f>
        <v>0.794328234724306</v>
      </c>
      <c r="S91" s="39" t="n">
        <f aca="false">U91-T91*((Sheet1!H$18-Sheet1!H$19)*COS(RADIANS(38))+Sheet1!H$19)/2</f>
        <v>221.281703113201</v>
      </c>
      <c r="T91" s="37" t="n">
        <f aca="false">(X91-X$54)/(X$100-X$54)*(T$100-T$54)+T$54</f>
        <v>1.75848591950556</v>
      </c>
      <c r="U91" s="39" t="n">
        <f aca="false">(X91-X$90)/(X$100-X$90)*(U$100-U$90)+U$90</f>
        <v>225.811600661979</v>
      </c>
      <c r="V91" s="39" t="n">
        <f aca="false">8314.4621*U91/(Sheet1!H$20*Sheet1!H$12*9.80665)</f>
        <v>44817.8770209108</v>
      </c>
      <c r="W91" s="39" t="n">
        <f aca="false">W90-LN(R91/R90)*(V90+V91)/2</f>
        <v>1331852.49854439</v>
      </c>
      <c r="X91" s="39" t="n">
        <f aca="false">Sheet1!H$10*10/Sheet1!H$11*1000*W91/(Sheet1!H$10*10/Sheet1!H$11*1000-W91)</f>
        <v>1362478.85602461</v>
      </c>
      <c r="Y91" s="37"/>
      <c r="Z91" s="39"/>
      <c r="AF91" s="37" t="n">
        <f aca="false">AF90-0.1</f>
        <v>-3.6</v>
      </c>
      <c r="AG91" s="40" t="n">
        <f aca="false">10^AF91</f>
        <v>0.000251188643150956</v>
      </c>
      <c r="AH91" s="39" t="n">
        <f aca="false">AJ91-AI91*((Sheet1!M$19-Sheet1!M$20)*COS(RADIANS(38))+Sheet1!M$20)/2</f>
        <v>651.923654320286</v>
      </c>
      <c r="AI91" s="37" t="n">
        <f aca="false">(AM91-AM$62)/(AM$95-AM$62)*(AI$95-AI$62)+AI$62</f>
        <v>0.2</v>
      </c>
      <c r="AJ91" s="39" t="n">
        <f aca="false">(AM91-AM$80)/(AM$95-AM$80)*(AJ$95-AJ$80)+AJ$80</f>
        <v>653.190466149253</v>
      </c>
      <c r="AK91" s="39" t="n">
        <f aca="false">8314.4621*AJ91/(Sheet1!M$21*Sheet1!M$12*9.80665)</f>
        <v>19208.7603238157</v>
      </c>
      <c r="AL91" s="39" t="n">
        <f aca="false">AL90-LN(AG91/AG90)*(AK90+AK91)/2</f>
        <v>131104.719104319</v>
      </c>
      <c r="AM91" s="39" t="n">
        <f aca="false">Sheet1!M$10*10/Sheet1!M$11*1000*AL91/(Sheet1!M$10*10/Sheet1!M$11*1000-AL91)</f>
        <v>133873.077498817</v>
      </c>
      <c r="AN91" s="41"/>
      <c r="AO91" s="37" t="n">
        <f aca="false">AO90+(AO$96-AO$86)/10</f>
        <v>-4.5</v>
      </c>
      <c r="AP91" s="40" t="n">
        <f aca="false">10^AO91</f>
        <v>3.16227766016838E-005</v>
      </c>
      <c r="AQ91" s="39" t="n">
        <f aca="false">AS91-AR91*((Sheet1!R$19-Sheet1!R$20)*COS(RADIANS(38))+Sheet1!R$20)/2</f>
        <v>252.071533525917</v>
      </c>
      <c r="AR91" s="37" t="n">
        <f aca="false">(AV91-AV$51)/(AV$116-AV$51)*(AR$116-AR$51)+AR$51</f>
        <v>0.0768965761425054</v>
      </c>
      <c r="AS91" s="39" t="n">
        <f aca="false">(AV91-AV$86)/(AV$96-AV$86)*(AS$96-AS$86)+AS$86</f>
        <v>255.078985493605</v>
      </c>
      <c r="AT91" s="39" t="n">
        <f aca="false">8314.4621*AS91/(Sheet1!R$22*Sheet1!R$12*9.80665)</f>
        <v>4512.41376266991</v>
      </c>
      <c r="AU91" s="39" t="n">
        <f aca="false">AU90-LN(AP91/AP90)*(AT90+AT91)/2</f>
        <v>69282.7027009099</v>
      </c>
      <c r="AV91" s="39" t="n">
        <f aca="false">Sheet1!R$10*10/Sheet1!R$11*1000*AU91/(Sheet1!R$10*10/Sheet1!R$11*1000-AU91)</f>
        <v>69989.5636529115</v>
      </c>
    </row>
    <row r="92" customFormat="false" ht="14.4" hidden="false" customHeight="false" outlineLevel="0" collapsed="false">
      <c r="L92" s="39"/>
      <c r="Q92" s="37" t="n">
        <f aca="false">Q91-0.1</f>
        <v>-0.199999999999987</v>
      </c>
      <c r="R92" s="40" t="n">
        <f aca="false">10^Q92</f>
        <v>0.630957344480213</v>
      </c>
      <c r="S92" s="39" t="n">
        <f aca="false">U92-T92*((Sheet1!H$18-Sheet1!H$19)*COS(RADIANS(38))+Sheet1!H$19)/2</f>
        <v>225.508438048312</v>
      </c>
      <c r="T92" s="37" t="n">
        <f aca="false">(X92-X$54)/(X$100-X$54)*(T$100-T$54)+T$54</f>
        <v>1.78330414326723</v>
      </c>
      <c r="U92" s="39" t="n">
        <f aca="false">(X92-X$90)/(X$100-X$90)*(U$100-U$90)+U$90</f>
        <v>230.102267875271</v>
      </c>
      <c r="V92" s="39" t="n">
        <f aca="false">8314.4621*U92/(Sheet1!H$20*Sheet1!H$12*9.80665)</f>
        <v>45669.465667992</v>
      </c>
      <c r="W92" s="39" t="n">
        <f aca="false">W91-LN(R92/R91)*(V91+V92)/2</f>
        <v>1342270.23886339</v>
      </c>
      <c r="X92" s="39" t="n">
        <f aca="false">Sheet1!H$10*10/Sheet1!H$11*1000*W92/(Sheet1!H$10*10/Sheet1!H$11*1000-W92)</f>
        <v>1373383.18471166</v>
      </c>
      <c r="Y92" s="37"/>
      <c r="Z92" s="39"/>
      <c r="AF92" s="37" t="n">
        <f aca="false">AF91-0.1</f>
        <v>-3.7</v>
      </c>
      <c r="AG92" s="40" t="n">
        <f aca="false">10^AF92</f>
        <v>0.000199526231496886</v>
      </c>
      <c r="AH92" s="39" t="n">
        <f aca="false">AJ92-AI92*((Sheet1!M$19-Sheet1!M$20)*COS(RADIANS(38))+Sheet1!M$20)/2</f>
        <v>698.083778224617</v>
      </c>
      <c r="AI92" s="37" t="n">
        <f aca="false">(AM92-AM$62)/(AM$95-AM$62)*(AI$95-AI$62)+AI$62</f>
        <v>0.2</v>
      </c>
      <c r="AJ92" s="39" t="n">
        <f aca="false">(AM92-AM$80)/(AM$95-AM$80)*(AJ$95-AJ$80)+AJ$80</f>
        <v>699.350590053585</v>
      </c>
      <c r="AK92" s="39" t="n">
        <f aca="false">8314.4621*AJ92/(Sheet1!M$21*Sheet1!M$12*9.80665)</f>
        <v>20566.2185271223</v>
      </c>
      <c r="AL92" s="39" t="n">
        <f aca="false">AL91-LN(AG92/AG91)*(AK91+AK92)/2</f>
        <v>135683.982773135</v>
      </c>
      <c r="AM92" s="39" t="n">
        <f aca="false">Sheet1!M$10*10/Sheet1!M$11*1000*AL92/(Sheet1!M$10*10/Sheet1!M$11*1000-AL92)</f>
        <v>138651.295065105</v>
      </c>
      <c r="AN92" s="41"/>
      <c r="AO92" s="37" t="n">
        <f aca="false">AO91+(AO$96-AO$86)/10</f>
        <v>-4.58</v>
      </c>
      <c r="AP92" s="40" t="n">
        <f aca="false">10^AO92</f>
        <v>2.63026799189538E-005</v>
      </c>
      <c r="AQ92" s="39" t="n">
        <f aca="false">AS92-AR92*((Sheet1!R$19-Sheet1!R$20)*COS(RADIANS(38))+Sheet1!R$20)/2</f>
        <v>261.187173686716</v>
      </c>
      <c r="AR92" s="37" t="n">
        <f aca="false">(AV92-AV$51)/(AV$116-AV$51)*(AR$116-AR$51)+AR$51</f>
        <v>0.0791900582568395</v>
      </c>
      <c r="AS92" s="39" t="n">
        <f aca="false">(AV92-AV$86)/(AV$96-AV$86)*(AS$96-AS$86)+AS$86</f>
        <v>264.28432454145</v>
      </c>
      <c r="AT92" s="39" t="n">
        <f aca="false">8314.4621*AS92/(Sheet1!R$22*Sheet1!R$12*9.80665)</f>
        <v>4675.25861062615</v>
      </c>
      <c r="AU92" s="39" t="n">
        <f aca="false">AU91-LN(AP92/AP91)*(AT91+AT92)/2</f>
        <v>70128.9185987524</v>
      </c>
      <c r="AV92" s="39" t="n">
        <f aca="false">Sheet1!R$10*10/Sheet1!R$11*1000*AU92/(Sheet1!R$10*10/Sheet1!R$11*1000-AU92)</f>
        <v>70853.2423988467</v>
      </c>
    </row>
    <row r="93" customFormat="false" ht="14.4" hidden="false" customHeight="false" outlineLevel="0" collapsed="false">
      <c r="Q93" s="37" t="n">
        <f aca="false">Q92-0.1</f>
        <v>-0.299999999999987</v>
      </c>
      <c r="R93" s="40" t="n">
        <f aca="false">10^Q93</f>
        <v>0.501187233627288</v>
      </c>
      <c r="S93" s="39" t="n">
        <f aca="false">U93-T93*((Sheet1!H$18-Sheet1!H$19)*COS(RADIANS(38))+Sheet1!H$19)/2</f>
        <v>229.817050084596</v>
      </c>
      <c r="T93" s="37" t="n">
        <f aca="false">(X93-X$54)/(X$100-X$54)*(T$100-T$54)+T$54</f>
        <v>1.80860321439653</v>
      </c>
      <c r="U93" s="39" t="n">
        <f aca="false">(X93-X$90)/(X$100-X$90)*(U$100-U$90)+U$90</f>
        <v>234.476050862897</v>
      </c>
      <c r="V93" s="39" t="n">
        <f aca="false">8314.4621*U93/(Sheet1!H$20*Sheet1!H$12*9.80665)</f>
        <v>46537.5506887832</v>
      </c>
      <c r="W93" s="39" t="n">
        <f aca="false">W92-LN(R93/R92)*(V92+V93)/2</f>
        <v>1352885.96393002</v>
      </c>
      <c r="X93" s="39" t="n">
        <f aca="false">Sheet1!H$10*10/Sheet1!H$11*1000*W93/(Sheet1!H$10*10/Sheet1!H$11*1000-W93)</f>
        <v>1384498.78225484</v>
      </c>
      <c r="Y93" s="37"/>
      <c r="Z93" s="39"/>
      <c r="AF93" s="37" t="n">
        <f aca="false">AF92-0.1</f>
        <v>-3.8</v>
      </c>
      <c r="AG93" s="40" t="n">
        <f aca="false">10^AF93</f>
        <v>0.00015848931924611</v>
      </c>
      <c r="AH93" s="39" t="n">
        <f aca="false">AJ93-AI93*((Sheet1!M$19-Sheet1!M$20)*COS(RADIANS(38))+Sheet1!M$20)/2</f>
        <v>747.586641249972</v>
      </c>
      <c r="AI93" s="37" t="n">
        <f aca="false">(AM93-AM$62)/(AM$95-AM$62)*(AI$95-AI$62)+AI$62</f>
        <v>0.2</v>
      </c>
      <c r="AJ93" s="39" t="n">
        <f aca="false">(AM93-AM$80)/(AM$95-AM$80)*(AJ$95-AJ$80)+AJ$80</f>
        <v>748.853453078939</v>
      </c>
      <c r="AK93" s="39" t="n">
        <f aca="false">8314.4621*AJ93/(Sheet1!M$21*Sheet1!M$12*9.80665)</f>
        <v>22021.9786468351</v>
      </c>
      <c r="AL93" s="39" t="n">
        <f aca="false">AL92-LN(AG93/AG92)*(AK92+AK93)/2</f>
        <v>140587.130170648</v>
      </c>
      <c r="AM93" s="39" t="n">
        <f aca="false">Sheet1!M$10*10/Sheet1!M$11*1000*AL93/(Sheet1!M$10*10/Sheet1!M$11*1000-AL93)</f>
        <v>143775.293563637</v>
      </c>
      <c r="AN93" s="41"/>
      <c r="AO93" s="37" t="n">
        <f aca="false">AO92+(AO$96-AO$86)/10</f>
        <v>-4.66</v>
      </c>
      <c r="AP93" s="40" t="n">
        <f aca="false">10^AO93</f>
        <v>2.18776162394955E-005</v>
      </c>
      <c r="AQ93" s="39" t="n">
        <f aca="false">AS93-AR93*((Sheet1!R$19-Sheet1!R$20)*COS(RADIANS(38))+Sheet1!R$20)/2</f>
        <v>270.634221405643</v>
      </c>
      <c r="AR93" s="37" t="n">
        <f aca="false">(AV93-AV$51)/(AV$116-AV$51)*(AR$116-AR$51)+AR$51</f>
        <v>0.0815669219440122</v>
      </c>
      <c r="AS93" s="39" t="n">
        <f aca="false">(AV93-AV$86)/(AV$96-AV$86)*(AS$96-AS$86)+AS$86</f>
        <v>273.824332229878</v>
      </c>
      <c r="AT93" s="39" t="n">
        <f aca="false">8314.4621*AS93/(Sheet1!R$22*Sheet1!R$12*9.80665)</f>
        <v>4844.0238340958</v>
      </c>
      <c r="AU93" s="39" t="n">
        <f aca="false">AU92-LN(AP93/AP92)*(AT92+AT93)/2</f>
        <v>71005.6769128811</v>
      </c>
      <c r="AV93" s="39" t="n">
        <f aca="false">Sheet1!R$10*10/Sheet1!R$11*1000*AU93/(Sheet1!R$10*10/Sheet1!R$11*1000-AU93)</f>
        <v>71748.3209502625</v>
      </c>
    </row>
    <row r="94" customFormat="false" ht="14.4" hidden="false" customHeight="false" outlineLevel="0" collapsed="false">
      <c r="Q94" s="37" t="n">
        <f aca="false">Q93-0.1</f>
        <v>-0.399999999999987</v>
      </c>
      <c r="R94" s="40" t="n">
        <f aca="false">10^Q94</f>
        <v>0.39810717055351</v>
      </c>
      <c r="S94" s="39" t="n">
        <f aca="false">U94-T94*((Sheet1!H$18-Sheet1!H$19)*COS(RADIANS(38))+Sheet1!H$19)/2</f>
        <v>234.20920118121</v>
      </c>
      <c r="T94" s="37" t="n">
        <f aca="false">(X94-X$54)/(X$100-X$54)*(T$100-T$54)+T$54</f>
        <v>1.83439280628208</v>
      </c>
      <c r="U94" s="39" t="n">
        <f aca="false">(X94-X$90)/(X$100-X$90)*(U$100-U$90)+U$90</f>
        <v>238.93463650287</v>
      </c>
      <c r="V94" s="39" t="n">
        <f aca="false">8314.4621*U94/(Sheet1!H$20*Sheet1!H$12*9.80665)</f>
        <v>47422.4668857976</v>
      </c>
      <c r="W94" s="39" t="n">
        <f aca="false">W93-LN(R94/R93)*(V93+V94)/2</f>
        <v>1363703.51072025</v>
      </c>
      <c r="X94" s="39" t="n">
        <f aca="false">Sheet1!H$10*10/Sheet1!H$11*1000*W94/(Sheet1!H$10*10/Sheet1!H$11*1000-W94)</f>
        <v>1395829.89882972</v>
      </c>
      <c r="Y94" s="37"/>
      <c r="Z94" s="39"/>
      <c r="AF94" s="37" t="n">
        <f aca="false">AF93-0.1</f>
        <v>-3.9</v>
      </c>
      <c r="AG94" s="40" t="n">
        <f aca="false">10^AF94</f>
        <v>0.000125892541179415</v>
      </c>
      <c r="AH94" s="39" t="n">
        <f aca="false">AJ94-AI94*((Sheet1!M$19-Sheet1!M$20)*COS(RADIANS(38))+Sheet1!M$20)/2</f>
        <v>800.684428939626</v>
      </c>
      <c r="AI94" s="37" t="n">
        <f aca="false">(AM94-AM$62)/(AM$95-AM$62)*(AI$95-AI$62)+AI$62</f>
        <v>0.2</v>
      </c>
      <c r="AJ94" s="39" t="n">
        <f aca="false">(AM94-AM$80)/(AM$95-AM$80)*(AJ$95-AJ$80)+AJ$80</f>
        <v>801.951240768593</v>
      </c>
      <c r="AK94" s="39" t="n">
        <f aca="false">8314.4621*AJ94/(Sheet1!M$21*Sheet1!M$12*9.80665)</f>
        <v>23583.4568531357</v>
      </c>
      <c r="AL94" s="39" t="n">
        <f aca="false">AL93-LN(AG94/AG93)*(AK93+AK94)/2</f>
        <v>145837.649967734</v>
      </c>
      <c r="AM94" s="39" t="n">
        <f aca="false">Sheet1!M$10*10/Sheet1!M$11*1000*AL94/(Sheet1!M$10*10/Sheet1!M$11*1000-AL94)</f>
        <v>149271.305552819</v>
      </c>
      <c r="AN94" s="41"/>
      <c r="AO94" s="37" t="n">
        <f aca="false">AO93+(AO$96-AO$86)/10</f>
        <v>-4.74</v>
      </c>
      <c r="AP94" s="40" t="n">
        <f aca="false">10^AO94</f>
        <v>1.81970085860998E-005</v>
      </c>
      <c r="AQ94" s="39" t="n">
        <f aca="false">AS94-AR94*((Sheet1!R$19-Sheet1!R$20)*COS(RADIANS(38))+Sheet1!R$20)/2</f>
        <v>280.425055253306</v>
      </c>
      <c r="AR94" s="37" t="n">
        <f aca="false">(AV94-AV$51)/(AV$116-AV$51)*(AR$116-AR$51)+AR$51</f>
        <v>0.0840302838852394</v>
      </c>
      <c r="AS94" s="39" t="n">
        <f aca="false">(AV94-AV$86)/(AV$96-AV$86)*(AS$96-AS$86)+AS$86</f>
        <v>283.711509023988</v>
      </c>
      <c r="AT94" s="39" t="n">
        <f aca="false">8314.4621*AS94/(Sheet1!R$22*Sheet1!R$12*9.80665)</f>
        <v>5018.93056956583</v>
      </c>
      <c r="AU94" s="39" t="n">
        <f aca="false">AU93-LN(AP94/AP93)*(AT93+AT94)/2</f>
        <v>71914.103100496</v>
      </c>
      <c r="AV94" s="39" t="n">
        <f aca="false">Sheet1!R$10*10/Sheet1!R$11*1000*AU94/(Sheet1!R$10*10/Sheet1!R$11*1000-AU94)</f>
        <v>72675.9729859538</v>
      </c>
    </row>
    <row r="95" customFormat="false" ht="14.4" hidden="false" customHeight="false" outlineLevel="0" collapsed="false">
      <c r="Q95" s="37" t="n">
        <f aca="false">Q94-0.1</f>
        <v>-0.499999999999987</v>
      </c>
      <c r="R95" s="40" t="n">
        <f aca="false">10^Q95</f>
        <v>0.316227766016848</v>
      </c>
      <c r="S95" s="39" t="n">
        <f aca="false">U95-T95*((Sheet1!H$18-Sheet1!H$19)*COS(RADIANS(38))+Sheet1!H$19)/2</f>
        <v>238.686574430879</v>
      </c>
      <c r="T95" s="37" t="n">
        <f aca="false">(X95-X$54)/(X$100-X$54)*(T$100-T$54)+T$54</f>
        <v>1.86068280159071</v>
      </c>
      <c r="U95" s="39" t="n">
        <f aca="false">(X95-X$90)/(X$100-X$90)*(U$100-U$90)+U$90</f>
        <v>243.479733345879</v>
      </c>
      <c r="V95" s="39" t="n">
        <f aca="false">8314.4621*U95/(Sheet1!H$20*Sheet1!H$12*9.80665)</f>
        <v>48324.5533630243</v>
      </c>
      <c r="W95" s="39" t="n">
        <f aca="false">W94-LN(R95/R94)*(V94+V95)/2</f>
        <v>1374726.79379643</v>
      </c>
      <c r="X95" s="39" t="n">
        <f aca="false">Sheet1!H$10*10/Sheet1!H$11*1000*W95/(Sheet1!H$10*10/Sheet1!H$11*1000-W95)</f>
        <v>1407380.87656203</v>
      </c>
      <c r="Y95" s="37"/>
      <c r="Z95" s="39"/>
      <c r="AF95" s="37" t="n">
        <f aca="false">AF94-0.1</f>
        <v>-4</v>
      </c>
      <c r="AG95" s="40" t="n">
        <f aca="false">10^AF95</f>
        <v>9.9999999999999E-005</v>
      </c>
      <c r="AH95" s="39" t="n">
        <f aca="false">AJ95-AI95*((Sheet1!M$19-Sheet1!M$20)*COS(RADIANS(38))+Sheet1!M$20)/2</f>
        <v>857.651609944749</v>
      </c>
      <c r="AI95" s="37" t="n">
        <v>0.2</v>
      </c>
      <c r="AJ95" s="39" t="n">
        <f aca="false">0.82*(320*LOG(Sheet1!M15)-AJ62)+AJ62</f>
        <v>858.918421773716</v>
      </c>
      <c r="AK95" s="39" t="n">
        <f aca="false">8314.4621*AJ95/(Sheet1!M$21*Sheet1!M$12*9.80665)</f>
        <v>25258.7246088057</v>
      </c>
      <c r="AL95" s="39" t="n">
        <f aca="false">AL94-LN(AG95/AG94)*(AK94+AK95)/2</f>
        <v>151460.813914913</v>
      </c>
      <c r="AM95" s="39" t="n">
        <f aca="false">Sheet1!M$10*10/Sheet1!M$11*1000*AL95/(Sheet1!M$10*10/Sheet1!M$11*1000-AL95)</f>
        <v>155167.727204458</v>
      </c>
      <c r="AN95" s="41"/>
      <c r="AO95" s="37" t="n">
        <f aca="false">AO94+(AO$96-AO$86)/10</f>
        <v>-4.82</v>
      </c>
      <c r="AP95" s="40" t="n">
        <f aca="false">10^AO95</f>
        <v>1.51356124843621E-005</v>
      </c>
      <c r="AQ95" s="39" t="n">
        <f aca="false">AS95-AR95*((Sheet1!R$19-Sheet1!R$20)*COS(RADIANS(38))+Sheet1!R$20)/2</f>
        <v>290.572070835264</v>
      </c>
      <c r="AR95" s="37" t="n">
        <f aca="false">(AV95-AV$51)/(AV$116-AV$51)*(AR$116-AR$51)+AR$51</f>
        <v>0.0865832588700366</v>
      </c>
      <c r="AS95" s="39" t="n">
        <f aca="false">(AV95-AV$86)/(AV$96-AV$86)*(AS$96-AS$86)+AS$86</f>
        <v>293.958372349846</v>
      </c>
      <c r="AT95" s="39" t="n">
        <f aca="false">8314.4621*AS95/(Sheet1!R$22*Sheet1!R$12*9.80665)</f>
        <v>5200.20025356714</v>
      </c>
      <c r="AU95" s="39" t="n">
        <f aca="false">AU94-LN(AP95/AP94)*(AT94+AT95)/2</f>
        <v>72855.319832364</v>
      </c>
      <c r="AV95" s="39" t="n">
        <f aca="false">Sheet1!R$10*10/Sheet1!R$11*1000*AU95/(Sheet1!R$10*10/Sheet1!R$11*1000-AU95)</f>
        <v>73637.3714723395</v>
      </c>
    </row>
    <row r="96" customFormat="false" ht="14.4" hidden="false" customHeight="false" outlineLevel="0" collapsed="false">
      <c r="Q96" s="37" t="n">
        <f aca="false">Q95-0.1</f>
        <v>-0.599999999999987</v>
      </c>
      <c r="R96" s="40" t="n">
        <f aca="false">10^Q96</f>
        <v>0.251188643150966</v>
      </c>
      <c r="S96" s="39" t="n">
        <f aca="false">U96-T96*((Sheet1!H$18-Sheet1!H$19)*COS(RADIANS(38))+Sheet1!H$19)/2</f>
        <v>243.250889291476</v>
      </c>
      <c r="T96" s="37" t="n">
        <f aca="false">(X96-X$54)/(X$100-X$54)*(T$100-T$54)+T$54</f>
        <v>1.88748329651399</v>
      </c>
      <c r="U96" s="39" t="n">
        <f aca="false">(X96-X$90)/(X$100-X$90)*(U$100-U$90)+U$90</f>
        <v>248.113086857802</v>
      </c>
      <c r="V96" s="39" t="n">
        <f aca="false">8314.4621*U96/(Sheet1!H$20*Sheet1!H$12*9.80665)</f>
        <v>49244.1565511822</v>
      </c>
      <c r="W96" s="39" t="n">
        <f aca="false">W95-LN(R96/R95)*(V95+V96)/2</f>
        <v>1385959.80664599</v>
      </c>
      <c r="X96" s="39" t="n">
        <f aca="false">Sheet1!H$10*10/Sheet1!H$11*1000*W96/(Sheet1!H$10*10/Sheet1!H$11*1000-W96)</f>
        <v>1419156.15139337</v>
      </c>
      <c r="Y96" s="37"/>
      <c r="Z96" s="39"/>
      <c r="AJ96" s="39"/>
      <c r="AO96" s="37" t="n">
        <f aca="false">AO69+0.6*(AO116-AO69)</f>
        <v>-4.9</v>
      </c>
      <c r="AP96" s="40" t="n">
        <f aca="false">10^AO96</f>
        <v>1.25892541179417E-005</v>
      </c>
      <c r="AQ96" s="39" t="n">
        <f aca="false">AS96-AR96*((Sheet1!R$19-Sheet1!R$20)*COS(RADIANS(38))+Sheet1!R$20)/2</f>
        <v>301.088618803098</v>
      </c>
      <c r="AR96" s="37" t="n">
        <f aca="false">(AV96-AV$51)/(AV$116-AV$51)*(AR$116-AR$51)+AR$51</f>
        <v>0.0892292007689416</v>
      </c>
      <c r="AS96" s="39" t="n">
        <f aca="false">AS69+0.72*(AS116-AS69)</f>
        <v>304.578404030083</v>
      </c>
      <c r="AT96" s="39" t="n">
        <f aca="false">8314.4621*AS96/(Sheet1!R$22*Sheet1!R$12*9.80665)</f>
        <v>5388.0713830573</v>
      </c>
      <c r="AU96" s="39" t="n">
        <f aca="false">AU95-LN(AP96/AP95)*(AT95+AT96)/2</f>
        <v>73830.5356896065</v>
      </c>
      <c r="AV96" s="39" t="n">
        <f aca="false">Sheet1!R$10*10/Sheet1!R$11*1000*AU96/(Sheet1!R$10*10/Sheet1!R$11*1000-AU96)</f>
        <v>74633.779408892</v>
      </c>
    </row>
    <row r="97" customFormat="false" ht="14.4" hidden="false" customHeight="false" outlineLevel="0" collapsed="false">
      <c r="Q97" s="37" t="n">
        <f aca="false">Q96-0.1</f>
        <v>-0.699999999999987</v>
      </c>
      <c r="R97" s="40" t="n">
        <f aca="false">10^Q97</f>
        <v>0.199526231496894</v>
      </c>
      <c r="S97" s="39" t="n">
        <f aca="false">U97-T97*((Sheet1!H$18-Sheet1!H$19)*COS(RADIANS(38))+Sheet1!H$19)/2</f>
        <v>247.903902466609</v>
      </c>
      <c r="T97" s="37" t="n">
        <f aca="false">(X97-X$54)/(X$100-X$54)*(T$100-T$54)+T$54</f>
        <v>1.91480460593878</v>
      </c>
      <c r="U97" s="39" t="n">
        <f aca="false">(X97-X$90)/(X$100-X$90)*(U$100-U$90)+U$90</f>
        <v>252.836480313618</v>
      </c>
      <c r="V97" s="39" t="n">
        <f aca="false">8314.4621*U97/(Sheet1!H$20*Sheet1!H$12*9.80665)</f>
        <v>50181.6303851374</v>
      </c>
      <c r="W97" s="39" t="n">
        <f aca="false">W96-LN(R97/R96)*(V96+V97)/2</f>
        <v>1397406.62338893</v>
      </c>
      <c r="X97" s="39" t="n">
        <f aca="false">Sheet1!H$10*10/Sheet1!H$11*1000*W97/(Sheet1!H$10*10/Sheet1!H$11*1000-W97)</f>
        <v>1431160.255353</v>
      </c>
      <c r="Y97" s="37"/>
      <c r="Z97" s="39"/>
      <c r="AO97" s="37" t="n">
        <f aca="false">AO96+(AO$106-AO$96)/10</f>
        <v>-4.98</v>
      </c>
      <c r="AP97" s="40" t="n">
        <f aca="false">10^AO97</f>
        <v>1.0471285480509E-005</v>
      </c>
      <c r="AQ97" s="39" t="n">
        <f aca="false">AS97-AR97*((Sheet1!R$19-Sheet1!R$20)*COS(RADIANS(38))+Sheet1!R$20)/2</f>
        <v>305.42437002934</v>
      </c>
      <c r="AR97" s="37" t="n">
        <f aca="false">(AV97-AV$51)/(AV$116-AV$51)*(AR$116-AR$51)+AR$51</f>
        <v>0.0919425161142066</v>
      </c>
      <c r="AS97" s="39" t="n">
        <f aca="false">(AV97-AV$96)/(AV$106-AV$96)*(AS$106-AS$96)+AS$96</f>
        <v>309.020273967761</v>
      </c>
      <c r="AT97" s="39" t="n">
        <f aca="false">8314.4621*AS97/(Sheet1!R$22*Sheet1!R$12*9.80665)</f>
        <v>5466.64922042788</v>
      </c>
      <c r="AU97" s="39" t="n">
        <f aca="false">AU96-LN(AP97/AP96)*(AT96+AT97)/2</f>
        <v>74830.2924036146</v>
      </c>
      <c r="AV97" s="39" t="n">
        <f aca="false">Sheet1!R$10*10/Sheet1!R$11*1000*AU97/(Sheet1!R$10*10/Sheet1!R$11*1000-AU97)</f>
        <v>75655.5588158815</v>
      </c>
    </row>
    <row r="98" customFormat="false" ht="14.4" hidden="false" customHeight="false" outlineLevel="0" collapsed="false">
      <c r="Q98" s="37" t="n">
        <f aca="false">Q97-0.1</f>
        <v>-0.799999999999987</v>
      </c>
      <c r="R98" s="40" t="n">
        <f aca="false">10^Q98</f>
        <v>0.158489319246116</v>
      </c>
      <c r="S98" s="39" t="n">
        <f aca="false">U98-T98*((Sheet1!H$18-Sheet1!H$19)*COS(RADIANS(38))+Sheet1!H$19)/2</f>
        <v>252.647528431514</v>
      </c>
      <c r="T98" s="37" t="n">
        <f aca="false">(X98-X$54)/(X$100-X$54)*(T$100-T$54)+T$54</f>
        <v>1.94265727529298</v>
      </c>
      <c r="U98" s="39" t="n">
        <f aca="false">(X98-X$90)/(X$100-X$90)*(U$100-U$90)+U$90</f>
        <v>257.651855353814</v>
      </c>
      <c r="V98" s="39" t="n">
        <f aca="false">8314.4621*U98/(Sheet1!H$20*Sheet1!H$12*9.80665)</f>
        <v>51137.360231294</v>
      </c>
      <c r="W98" s="39" t="n">
        <f aca="false">W97-LN(R98/R97)*(V97+V98)/2</f>
        <v>1409071.40326046</v>
      </c>
      <c r="X98" s="39" t="n">
        <f aca="false">Sheet1!H$10*10/Sheet1!H$11*1000*W98/(Sheet1!H$10*10/Sheet1!H$11*1000-W98)</f>
        <v>1443397.82176254</v>
      </c>
      <c r="Y98" s="37"/>
      <c r="Z98" s="39"/>
      <c r="AO98" s="37" t="n">
        <f aca="false">AO97+(AO$106-AO$96)/10</f>
        <v>-5.06</v>
      </c>
      <c r="AP98" s="40" t="n">
        <f aca="false">10^AO98</f>
        <v>8.70963589956081E-006</v>
      </c>
      <c r="AQ98" s="39" t="n">
        <f aca="false">AS98-AR98*((Sheet1!R$19-Sheet1!R$20)*COS(RADIANS(38))+Sheet1!R$20)/2</f>
        <v>309.824474928961</v>
      </c>
      <c r="AR98" s="37" t="n">
        <f aca="false">(AV98-AV$51)/(AV$116-AV$51)*(AR$116-AR$51)+AR$51</f>
        <v>0.0946962239365761</v>
      </c>
      <c r="AS98" s="39" t="n">
        <f aca="false">(AV98-AV$96)/(AV$106-AV$96)*(AS$106-AS$96)+AS$96</f>
        <v>313.528077342714</v>
      </c>
      <c r="AT98" s="39" t="n">
        <f aca="false">8314.4621*AS98/(Sheet1!R$22*Sheet1!R$12*9.80665)</f>
        <v>5546.39343749534</v>
      </c>
      <c r="AU98" s="39" t="n">
        <f aca="false">AU97-LN(AP98/AP97)*(AT97+AT98)/2</f>
        <v>75844.6311177202</v>
      </c>
      <c r="AV98" s="39" t="n">
        <f aca="false">Sheet1!R$10*10/Sheet1!R$11*1000*AU98/(Sheet1!R$10*10/Sheet1!R$11*1000-AU98)</f>
        <v>76692.5492087133</v>
      </c>
    </row>
    <row r="99" customFormat="false" ht="14.4" hidden="false" customHeight="false" outlineLevel="0" collapsed="false">
      <c r="Q99" s="37" t="n">
        <f aca="false">Q98-0.1</f>
        <v>-0.899999999999987</v>
      </c>
      <c r="R99" s="40" t="n">
        <f aca="false">10^Q99</f>
        <v>0.125892541179421</v>
      </c>
      <c r="S99" s="39" t="n">
        <f aca="false">U99-T99*((Sheet1!H$18-Sheet1!H$19)*COS(RADIANS(38))+Sheet1!H$19)/2</f>
        <v>257.4833810174</v>
      </c>
      <c r="T99" s="37" t="n">
        <f aca="false">(X99-X$54)/(X$100-X$54)*(T$100-T$54)+T$54</f>
        <v>1.97105207401091</v>
      </c>
      <c r="U99" s="39" t="n">
        <f aca="false">(X99-X$90)/(X$100-X$90)*(U$100-U$90)+U$90</f>
        <v>262.56085355189</v>
      </c>
      <c r="V99" s="39" t="n">
        <f aca="false">8314.4621*U99/(Sheet1!H$20*Sheet1!H$12*9.80665)</f>
        <v>52111.671900368</v>
      </c>
      <c r="W99" s="39" t="n">
        <f aca="false">W98-LN(R99/R98)*(V98+V99)/2</f>
        <v>1420958.38737308</v>
      </c>
      <c r="X99" s="39" t="n">
        <f aca="false">Sheet1!H$10*10/Sheet1!H$11*1000*W99/(Sheet1!H$10*10/Sheet1!H$11*1000-W99)</f>
        <v>1455873.58236477</v>
      </c>
      <c r="Y99" s="37"/>
      <c r="Z99" s="39"/>
      <c r="AO99" s="37" t="n">
        <f aca="false">AO98+(AO$106-AO$96)/10</f>
        <v>-5.14</v>
      </c>
      <c r="AP99" s="40" t="n">
        <f aca="false">10^AO99</f>
        <v>7.24435960074991E-006</v>
      </c>
      <c r="AQ99" s="39" t="n">
        <f aca="false">AS99-AR99*((Sheet1!R$19-Sheet1!R$20)*COS(RADIANS(38))+Sheet1!R$20)/2</f>
        <v>314.290217881234</v>
      </c>
      <c r="AR99" s="37" t="n">
        <f aca="false">(AV99-AV$51)/(AV$116-AV$51)*(AR$116-AR$51)+AR$51</f>
        <v>0.0974909494568076</v>
      </c>
      <c r="AS99" s="39" t="n">
        <f aca="false">(AV99-AV$96)/(AV$106-AV$96)*(AS$106-AS$96)+AS$96</f>
        <v>318.103122986818</v>
      </c>
      <c r="AT99" s="39" t="n">
        <f aca="false">8314.4621*AS99/(Sheet1!R$22*Sheet1!R$12*9.80665)</f>
        <v>5627.32718783681</v>
      </c>
      <c r="AU99" s="39" t="n">
        <f aca="false">AU98-LN(AP99/AP98)*(AT98+AT99)/2</f>
        <v>76873.768819527</v>
      </c>
      <c r="AV99" s="39" t="n">
        <f aca="false">Sheet1!R$10*10/Sheet1!R$11*1000*AU99/(Sheet1!R$10*10/Sheet1!R$11*1000-AU99)</f>
        <v>77744.9860328162</v>
      </c>
    </row>
    <row r="100" customFormat="false" ht="14.4" hidden="false" customHeight="false" outlineLevel="0" collapsed="false">
      <c r="Q100" s="37" t="n">
        <f aca="false">Q99-0.1</f>
        <v>-0.999999999999986</v>
      </c>
      <c r="R100" s="40" t="n">
        <f aca="false">10^Q100</f>
        <v>0.100000000000003</v>
      </c>
      <c r="S100" s="39" t="n">
        <f aca="false">U100-T100*((Sheet1!H$18-Sheet1!H$19)*COS(RADIANS(38))+Sheet1!H$19)/2</f>
        <v>262.413432850684</v>
      </c>
      <c r="T100" s="37" t="n">
        <v>2</v>
      </c>
      <c r="U100" s="39" t="n">
        <f aca="false">110/610*(U$170-U$54)+U$54</f>
        <v>267.565475865111</v>
      </c>
      <c r="V100" s="39" t="n">
        <f aca="false">8314.4621*U100/(Sheet1!H$20*Sheet1!H$12*9.80665)</f>
        <v>53104.9625316399</v>
      </c>
      <c r="W100" s="39" t="n">
        <f aca="false">W99-LN(R100/R99)*(V99+V100)/2</f>
        <v>1433071.90007198</v>
      </c>
      <c r="X100" s="39" t="n">
        <f aca="false">Sheet1!H$10*10/Sheet1!H$11*1000*W100/(Sheet1!H$10*10/Sheet1!H$11*1000-W100)</f>
        <v>1468592.36928622</v>
      </c>
      <c r="Y100" s="37" t="n">
        <f aca="false">IF(Q100&lt;LOG(Sheet1!H$17*101325),Q100,IF(Q125&lt;LOG(Sheet1!H$17*101325),LOG(Sheet1!H$17*101325),0))</f>
        <v>-0.999999999999986</v>
      </c>
      <c r="Z100" s="39" t="n">
        <f aca="false">IF(Y100=LOG(Sheet1!H$17*101325),(LOG(Sheet1!H$17*101325)-Q125)/(Q100-Q125)*(S100-S125)+S125,IF(Y100=0,0,S100))</f>
        <v>262.413432850684</v>
      </c>
      <c r="AA100" s="39" t="n">
        <f aca="false">IF(Y100=LOG(Sheet1!H$17*101325),(LOG(Sheet1!H$17*101325)-Q110)/(Q100-Q110)*(X100-X110)+X110,IF(Y100=0,0,X100))</f>
        <v>1468592.36928622</v>
      </c>
      <c r="AB100" s="32" t="n">
        <f aca="false">IF(Y100=0,0,AB90+1)</f>
        <v>8</v>
      </c>
      <c r="AJ100" s="39"/>
      <c r="AO100" s="37" t="n">
        <f aca="false">AO99+(AO$106-AO$96)/10</f>
        <v>-5.22</v>
      </c>
      <c r="AP100" s="40" t="n">
        <f aca="false">10^AO100</f>
        <v>6.02559586074358E-006</v>
      </c>
      <c r="AQ100" s="39" t="n">
        <f aca="false">AS100-AR100*((Sheet1!R$19-Sheet1!R$20)*COS(RADIANS(38))+Sheet1!R$20)/2</f>
        <v>318.822520818071</v>
      </c>
      <c r="AR100" s="37" t="n">
        <f aca="false">(AV100-AV$51)/(AV$116-AV$51)*(AR$116-AR$51)+AR$51</f>
        <v>0.100327329149523</v>
      </c>
      <c r="AS100" s="39" t="n">
        <f aca="false">(AV100-AV$96)/(AV$106-AV$96)*(AS$106-AS$96)+AS$96</f>
        <v>322.74635772473</v>
      </c>
      <c r="AT100" s="39" t="n">
        <f aca="false">8314.4621*AS100/(Sheet1!R$22*Sheet1!R$12*9.80665)</f>
        <v>5709.46722102738</v>
      </c>
      <c r="AU100" s="39" t="n">
        <f aca="false">AU99-LN(AP100/AP99)*(AT99+AT100)/2</f>
        <v>77917.9261718546</v>
      </c>
      <c r="AV100" s="39" t="n">
        <f aca="false">Sheet1!R$10*10/Sheet1!R$11*1000*AU100/(Sheet1!R$10*10/Sheet1!R$11*1000-AU100)</f>
        <v>78813.1089715955</v>
      </c>
    </row>
    <row r="101" customFormat="false" ht="14.4" hidden="false" customHeight="false" outlineLevel="0" collapsed="false">
      <c r="Q101" s="37" t="n">
        <f aca="false">Q100-0.1</f>
        <v>-1.09999999999999</v>
      </c>
      <c r="R101" s="40" t="n">
        <f aca="false">10^Q101</f>
        <v>0.0794328234724306</v>
      </c>
      <c r="S101" s="39" t="n">
        <f aca="false">U101-T101*((Sheet1!H$18-Sheet1!H$19)*COS(RADIANS(38))+Sheet1!H$19)/2</f>
        <v>272.500322094976</v>
      </c>
      <c r="T101" s="37" t="n">
        <f aca="false">(X101-X$100)/(X$170-X$100)*(T$170-T$100)+T$100</f>
        <v>2.01117303155622</v>
      </c>
      <c r="U101" s="39" t="n">
        <f aca="false">(X101-X$100)/(X$125-X$100)*(U$125-U$100)+U$100</f>
        <v>277.681147078993</v>
      </c>
      <c r="V101" s="39" t="n">
        <f aca="false">8314.4621*U101/(Sheet1!H$20*Sheet1!H$12*9.80665)</f>
        <v>55112.6667732229</v>
      </c>
      <c r="W101" s="39" t="n">
        <f aca="false">W100-LN(R101/R100)*(V100+V101)/2</f>
        <v>1445530.91507381</v>
      </c>
      <c r="X101" s="39" t="n">
        <f aca="false">Sheet1!H$10*10/Sheet1!H$11*1000*W101/(Sheet1!H$10*10/Sheet1!H$11*1000-W101)</f>
        <v>1481679.48308148</v>
      </c>
      <c r="Y101" s="37"/>
      <c r="Z101" s="39"/>
      <c r="AJ101" s="39"/>
      <c r="AO101" s="37" t="n">
        <f aca="false">AO100+(AO$106-AO$96)/10</f>
        <v>-5.3</v>
      </c>
      <c r="AP101" s="40" t="n">
        <f aca="false">10^AO101</f>
        <v>5.01187233627273E-006</v>
      </c>
      <c r="AQ101" s="39" t="n">
        <f aca="false">AS101-AR101*((Sheet1!R$19-Sheet1!R$20)*COS(RADIANS(38))+Sheet1!R$20)/2</f>
        <v>323.422417061313</v>
      </c>
      <c r="AR101" s="37" t="n">
        <f aca="false">(AV101-AV$51)/(AV$116-AV$51)*(AR$116-AR$51)+AR$51</f>
        <v>0.103206009678792</v>
      </c>
      <c r="AS101" s="39" t="n">
        <f aca="false">(AV101-AV$96)/(AV$106-AV$96)*(AS$106-AS$96)+AS$96</f>
        <v>327.458840169548</v>
      </c>
      <c r="AT101" s="39" t="n">
        <f aca="false">8314.4621*AS101/(Sheet1!R$22*Sheet1!R$12*9.80665)</f>
        <v>5792.83226420877</v>
      </c>
      <c r="AU101" s="39" t="n">
        <f aca="false">AU100-LN(AP101/AP100)*(AT100+AT101)/2</f>
        <v>78977.3271050489</v>
      </c>
      <c r="AV101" s="39" t="n">
        <f aca="false">Sheet1!R$10*10/Sheet1!R$11*1000*AU101/(Sheet1!R$10*10/Sheet1!R$11*1000-AU101)</f>
        <v>79897.1615455957</v>
      </c>
    </row>
    <row r="102" customFormat="false" ht="14.4" hidden="false" customHeight="false" outlineLevel="0" collapsed="false">
      <c r="Q102" s="37" t="n">
        <f aca="false">Q101-0.1</f>
        <v>-1.19999999999999</v>
      </c>
      <c r="R102" s="40" t="n">
        <f aca="false">10^Q102</f>
        <v>0.0630957344480213</v>
      </c>
      <c r="S102" s="39" t="n">
        <f aca="false">U102-T102*((Sheet1!H$18-Sheet1!H$19)*COS(RADIANS(38))+Sheet1!H$19)/2</f>
        <v>282.973208185912</v>
      </c>
      <c r="T102" s="37" t="n">
        <f aca="false">(X102-X$100)/(X$170-X$100)*(T$170-T$100)+T$100</f>
        <v>2.02277366422898</v>
      </c>
      <c r="U102" s="39" t="n">
        <f aca="false">(X102-X$100)/(X$125-X$100)*(U$125-U$100)+U$100</f>
        <v>288.183916649191</v>
      </c>
      <c r="V102" s="39" t="n">
        <f aca="false">8314.4621*U102/(Sheet1!H$20*Sheet1!H$12*9.80665)</f>
        <v>57197.2002232148</v>
      </c>
      <c r="W102" s="39" t="n">
        <f aca="false">W101-LN(R102/R101)*(V101+V102)/2</f>
        <v>1458461.06635092</v>
      </c>
      <c r="X102" s="39" t="n">
        <f aca="false">Sheet1!H$10*10/Sheet1!H$11*1000*W102/(Sheet1!H$10*10/Sheet1!H$11*1000-W102)</f>
        <v>1495267.45149647</v>
      </c>
      <c r="Y102" s="37"/>
      <c r="Z102" s="39"/>
      <c r="AO102" s="37" t="n">
        <f aca="false">AO101+(AO$106-AO$96)/10</f>
        <v>-5.38</v>
      </c>
      <c r="AP102" s="40" t="n">
        <f aca="false">10^AO102</f>
        <v>4.16869383470335E-006</v>
      </c>
      <c r="AQ102" s="39" t="n">
        <f aca="false">AS102-AR102*((Sheet1!R$19-Sheet1!R$20)*COS(RADIANS(38))+Sheet1!R$20)/2</f>
        <v>328.090957199947</v>
      </c>
      <c r="AR102" s="37" t="n">
        <f aca="false">(AV102-AV$51)/(AV$116-AV$51)*(AR$116-AR$51)+AR$51</f>
        <v>0.106127648514631</v>
      </c>
      <c r="AS102" s="39" t="n">
        <f aca="false">(AV102-AV$96)/(AV$106-AV$96)*(AS$106-AS$96)+AS$96</f>
        <v>332.241646624141</v>
      </c>
      <c r="AT102" s="39" t="n">
        <f aca="false">8314.4621*AS102/(Sheet1!R$22*Sheet1!R$12*9.80665)</f>
        <v>5877.44135745936</v>
      </c>
      <c r="AU102" s="39" t="n">
        <f aca="false">AU101-LN(AP102/AP101)*(AT101+AT102)/2</f>
        <v>80052.1990279455</v>
      </c>
      <c r="AV102" s="39" t="n">
        <f aca="false">Sheet1!R$10*10/Sheet1!R$11*1000*AU102/(Sheet1!R$10*10/Sheet1!R$11*1000-AU102)</f>
        <v>80997.3913446608</v>
      </c>
    </row>
    <row r="103" customFormat="false" ht="14.4" hidden="false" customHeight="false" outlineLevel="0" collapsed="false">
      <c r="Q103" s="37" t="n">
        <f aca="false">Q102-0.1</f>
        <v>-1.29999999999999</v>
      </c>
      <c r="R103" s="40" t="n">
        <f aca="false">10^Q103</f>
        <v>0.0501187233627288</v>
      </c>
      <c r="S103" s="39" t="n">
        <f aca="false">U103-T103*((Sheet1!H$18-Sheet1!H$19)*COS(RADIANS(38))+Sheet1!H$19)/2</f>
        <v>293.847281949609</v>
      </c>
      <c r="T103" s="37" t="n">
        <f aca="false">(X103-X$100)/(X$170-X$100)*(T$170-T$100)+T$100</f>
        <v>2.03481866389859</v>
      </c>
      <c r="U103" s="39" t="n">
        <f aca="false">(X103-X$100)/(X$125-X$100)*(U$125-U$100)+U$100</f>
        <v>299.089018591091</v>
      </c>
      <c r="V103" s="39" t="n">
        <f aca="false">8314.4621*U103/(Sheet1!H$20*Sheet1!H$12*9.80665)</f>
        <v>59361.5864473938</v>
      </c>
      <c r="W103" s="39" t="n">
        <f aca="false">W102-LN(R103/R102)*(V102+V103)/2</f>
        <v>1471880.39258318</v>
      </c>
      <c r="X103" s="39" t="n">
        <f aca="false">Sheet1!H$10*10/Sheet1!H$11*1000*W103/(Sheet1!H$10*10/Sheet1!H$11*1000-W103)</f>
        <v>1509375.91261974</v>
      </c>
      <c r="Y103" s="37"/>
      <c r="Z103" s="39"/>
      <c r="AJ103" s="39"/>
      <c r="AO103" s="37" t="n">
        <f aca="false">AO102+(AO$106-AO$96)/10</f>
        <v>-5.46</v>
      </c>
      <c r="AP103" s="40" t="n">
        <f aca="false">10^AO103</f>
        <v>3.46736850452532E-006</v>
      </c>
      <c r="AQ103" s="39" t="n">
        <f aca="false">AS103-AR103*((Sheet1!R$19-Sheet1!R$20)*COS(RADIANS(38))+Sheet1!R$20)/2</f>
        <v>332.829209414908</v>
      </c>
      <c r="AR103" s="37" t="n">
        <f aca="false">(AV103-AV$51)/(AV$116-AV$51)*(AR$116-AR$51)+AR$51</f>
        <v>0.109092914136267</v>
      </c>
      <c r="AS103" s="39" t="n">
        <f aca="false">(AV103-AV$96)/(AV$106-AV$96)*(AS$106-AS$96)+AS$96</f>
        <v>337.095871413902</v>
      </c>
      <c r="AT103" s="39" t="n">
        <f aca="false">8314.4621*AS103/(Sheet1!R$22*Sheet1!R$12*9.80665)</f>
        <v>5963.31385968067</v>
      </c>
      <c r="AU103" s="39" t="n">
        <f aca="false">AU102-LN(AP103/AP102)*(AT102+AT103)/2</f>
        <v>81142.7728860566</v>
      </c>
      <c r="AV103" s="39" t="n">
        <f aca="false">Sheet1!R$10*10/Sheet1!R$11*1000*AU103/(Sheet1!R$10*10/Sheet1!R$11*1000-AU103)</f>
        <v>82114.0501044796</v>
      </c>
    </row>
    <row r="104" customFormat="false" ht="14.4" hidden="false" customHeight="false" outlineLevel="0" collapsed="false">
      <c r="Q104" s="37" t="n">
        <f aca="false">Q103-0.1</f>
        <v>-1.39999999999999</v>
      </c>
      <c r="R104" s="40" t="n">
        <f aca="false">10^Q104</f>
        <v>0.0398107170553509</v>
      </c>
      <c r="S104" s="39" t="n">
        <f aca="false">U104-T104*((Sheet1!H$18-Sheet1!H$19)*COS(RADIANS(38))+Sheet1!H$19)/2</f>
        <v>305.138283394752</v>
      </c>
      <c r="T104" s="37" t="n">
        <f aca="false">(X104-X$100)/(X$170-X$100)*(T$170-T$100)+T$100</f>
        <v>2.04732548575387</v>
      </c>
      <c r="U104" s="39" t="n">
        <f aca="false">(X104-X$100)/(X$125-X$100)*(U$125-U$100)+U$100</f>
        <v>310.41223787832</v>
      </c>
      <c r="V104" s="39" t="n">
        <f aca="false">8314.4621*U104/(Sheet1!H$20*Sheet1!H$12*9.80665)</f>
        <v>61608.9583627785</v>
      </c>
      <c r="W104" s="39" t="n">
        <f aca="false">W103-LN(R104/R103)*(V103+V104)/2</f>
        <v>1485807.64124174</v>
      </c>
      <c r="X104" s="39" t="n">
        <f aca="false">Sheet1!H$10*10/Sheet1!H$11*1000*W104/(Sheet1!H$10*10/Sheet1!H$11*1000-W104)</f>
        <v>1524025.31193573</v>
      </c>
      <c r="Y104" s="37"/>
      <c r="Z104" s="39"/>
      <c r="AJ104" s="39"/>
      <c r="AO104" s="37" t="n">
        <f aca="false">AO103+(AO$106-AO$96)/10</f>
        <v>-5.54</v>
      </c>
      <c r="AP104" s="40" t="n">
        <f aca="false">10^AO104</f>
        <v>2.88403150312661E-006</v>
      </c>
      <c r="AQ104" s="39" t="n">
        <f aca="false">AS104-AR104*((Sheet1!R$19-Sheet1!R$20)*COS(RADIANS(38))+Sheet1!R$20)/2</f>
        <v>337.638259811052</v>
      </c>
      <c r="AR104" s="37" t="n">
        <f aca="false">(AV104-AV$51)/(AV$116-AV$51)*(AR$116-AR$51)+AR$51</f>
        <v>0.112102486239886</v>
      </c>
      <c r="AS104" s="39" t="n">
        <f aca="false">(AV104-AV$96)/(AV$106-AV$96)*(AS$106-AS$96)+AS$96</f>
        <v>342.02262722684</v>
      </c>
      <c r="AT104" s="39" t="n">
        <f aca="false">8314.4621*AS104/(Sheet1!R$22*Sheet1!R$12*9.80665)</f>
        <v>6050.46945461373</v>
      </c>
      <c r="AU104" s="39" t="n">
        <f aca="false">AU103-LN(AP104/AP103)*(AT103+AT104)/2</f>
        <v>82249.2832208548</v>
      </c>
      <c r="AV104" s="39" t="n">
        <f aca="false">Sheet1!R$10*10/Sheet1!R$11*1000*AU104/(Sheet1!R$10*10/Sheet1!R$11*1000-AU104)</f>
        <v>83247.3937848206</v>
      </c>
    </row>
    <row r="105" customFormat="false" ht="14.4" hidden="false" customHeight="false" outlineLevel="0" collapsed="false">
      <c r="Q105" s="37" t="n">
        <f aca="false">Q104-0.1</f>
        <v>-1.49999999999999</v>
      </c>
      <c r="R105" s="40" t="n">
        <f aca="false">10^Q105</f>
        <v>0.0316227766016847</v>
      </c>
      <c r="S105" s="39" t="n">
        <f aca="false">U105-T105*((Sheet1!H$18-Sheet1!H$19)*COS(RADIANS(38))+Sheet1!H$19)/2</f>
        <v>316.862709770931</v>
      </c>
      <c r="T105" s="37" t="n">
        <f aca="false">(X105-X$100)/(X$170-X$100)*(T$170-T$100)+T$100</f>
        <v>2.0603123057142</v>
      </c>
      <c r="U105" s="39" t="n">
        <f aca="false">(X105-X$100)/(X$125-X$100)*(U$125-U$100)+U$100</f>
        <v>322.170118582027</v>
      </c>
      <c r="V105" s="39" t="n">
        <f aca="false">8314.4621*U105/(Sheet1!H$20*Sheet1!H$12*9.80665)</f>
        <v>63942.5995479987</v>
      </c>
      <c r="W105" s="39" t="n">
        <f aca="false">W104-LN(R105/R104)*(V104+V105)/2</f>
        <v>1500262.29852412</v>
      </c>
      <c r="X105" s="39" t="n">
        <f aca="false">Sheet1!H$10*10/Sheet1!H$11*1000*W105/(Sheet1!H$10*10/Sheet1!H$11*1000-W105)</f>
        <v>1539236.93912968</v>
      </c>
      <c r="Y105" s="37"/>
      <c r="Z105" s="39"/>
      <c r="AJ105" s="39"/>
      <c r="AO105" s="37" t="n">
        <f aca="false">AO104+(AO$106-AO$96)/10</f>
        <v>-5.62</v>
      </c>
      <c r="AP105" s="40" t="n">
        <f aca="false">10^AO105</f>
        <v>2.39883291901949E-006</v>
      </c>
      <c r="AQ105" s="39" t="n">
        <f aca="false">AS105-AR105*((Sheet1!R$19-Sheet1!R$20)*COS(RADIANS(38))+Sheet1!R$20)/2</f>
        <v>342.519212772438</v>
      </c>
      <c r="AR105" s="37" t="n">
        <f aca="false">(AV105-AV$51)/(AV$116-AV$51)*(AR$116-AR$51)+AR$51</f>
        <v>0.115157055951062</v>
      </c>
      <c r="AS105" s="39" t="n">
        <f aca="false">(AV105-AV$96)/(AV$106-AV$96)*(AS$106-AS$96)+AS$96</f>
        <v>347.023045477179</v>
      </c>
      <c r="AT105" s="39" t="n">
        <f aca="false">8314.4621*AS105/(Sheet1!R$22*Sheet1!R$12*9.80665)</f>
        <v>6138.92815727114</v>
      </c>
      <c r="AU105" s="39" t="n">
        <f aca="false">AU104-LN(AP105/AP104)*(AT104+AT105)/2</f>
        <v>83371.9682302029</v>
      </c>
      <c r="AV105" s="39" t="n">
        <f aca="false">Sheet1!R$10*10/Sheet1!R$11*1000*AU105/(Sheet1!R$10*10/Sheet1!R$11*1000-AU105)</f>
        <v>84397.6826495264</v>
      </c>
    </row>
    <row r="106" customFormat="false" ht="14.4" hidden="false" customHeight="false" outlineLevel="0" collapsed="false">
      <c r="Q106" s="37" t="n">
        <f aca="false">Q105-0.1</f>
        <v>-1.59999999999999</v>
      </c>
      <c r="R106" s="40" t="n">
        <f aca="false">10^Q106</f>
        <v>0.0251188643150966</v>
      </c>
      <c r="S106" s="39" t="n">
        <f aca="false">U106-T106*((Sheet1!H$18-Sheet1!H$19)*COS(RADIANS(38))+Sheet1!H$19)/2</f>
        <v>329.03751042096</v>
      </c>
      <c r="T106" s="37" t="n">
        <f aca="false">(X106-X$100)/(X$170-X$100)*(T$170-T$100)+T$100</f>
        <v>2.0737980502448</v>
      </c>
      <c r="U106" s="39" t="n">
        <f aca="false">(X106-X$100)/(X$125-X$100)*(U$125-U$100)+U$100</f>
        <v>334.379658800008</v>
      </c>
      <c r="V106" s="39" t="n">
        <f aca="false">8314.4621*U106/(Sheet1!H$20*Sheet1!H$12*9.80665)</f>
        <v>66365.8836944605</v>
      </c>
      <c r="W106" s="39" t="n">
        <f aca="false">W105-LN(R106/R105)*(V105+V106)/2</f>
        <v>1515264.61707436</v>
      </c>
      <c r="X106" s="39" t="n">
        <f aca="false">Sheet1!H$10*10/Sheet1!H$11*1000*W106/(Sheet1!H$10*10/Sheet1!H$11*1000-W106)</f>
        <v>1555032.96301074</v>
      </c>
      <c r="Y106" s="37"/>
      <c r="Z106" s="39"/>
      <c r="AJ106" s="39"/>
      <c r="AO106" s="37" t="n">
        <f aca="false">AO69+0.8*(AO116-AO69)</f>
        <v>-5.7</v>
      </c>
      <c r="AP106" s="40" t="n">
        <f aca="false">10^AO106</f>
        <v>1.99526231496888E-006</v>
      </c>
      <c r="AQ106" s="39" t="n">
        <f aca="false">AS106-AR106*((Sheet1!R$19-Sheet1!R$20)*COS(RADIANS(38))+Sheet1!R$20)/2</f>
        <v>347.473235182195</v>
      </c>
      <c r="AR106" s="37" t="n">
        <f aca="false">(AV106-AV$51)/(AV$116-AV$51)*(AR$116-AR$51)+AR$51</f>
        <v>0.118257326236596</v>
      </c>
      <c r="AS106" s="39" t="n">
        <f aca="false">AS69+0.95*(AS116-AS69)</f>
        <v>352.098320541324</v>
      </c>
      <c r="AT106" s="39" t="n">
        <f aca="false">8314.4621*AS106/(Sheet1!R$22*Sheet1!R$12*9.80665)</f>
        <v>6228.71109648295</v>
      </c>
      <c r="AU106" s="39" t="n">
        <f aca="false">AU105-LN(AP106/AP105)*(AT105+AT106)/2</f>
        <v>84511.0699014518</v>
      </c>
      <c r="AV106" s="39" t="n">
        <f aca="false">Sheet1!R$10*10/Sheet1!R$11*1000*AU106/(Sheet1!R$10*10/Sheet1!R$11*1000-AU106)</f>
        <v>85565.1814216051</v>
      </c>
    </row>
    <row r="107" customFormat="false" ht="14.4" hidden="false" customHeight="false" outlineLevel="0" collapsed="false">
      <c r="Q107" s="37" t="n">
        <f aca="false">Q106-0.1</f>
        <v>-1.69999999999999</v>
      </c>
      <c r="R107" s="40" t="n">
        <f aca="false">10^Q107</f>
        <v>0.0199526231496894</v>
      </c>
      <c r="S107" s="39" t="n">
        <f aca="false">U107-T107*((Sheet1!H$18-Sheet1!H$19)*COS(RADIANS(38))+Sheet1!H$19)/2</f>
        <v>341.6805108891</v>
      </c>
      <c r="T107" s="37" t="n">
        <f aca="false">(X107-X$100)/(X$170-X$100)*(T$170-T$100)+T$100</f>
        <v>2.087802429028</v>
      </c>
      <c r="U107" s="39" t="n">
        <f aca="false">(X107-X$100)/(X$125-X$100)*(U$125-U$100)+U$100</f>
        <v>347.058734849089</v>
      </c>
      <c r="V107" s="39" t="n">
        <f aca="false">8314.4621*U107/(Sheet1!H$20*Sheet1!H$12*9.80665)</f>
        <v>68882.3587977794</v>
      </c>
      <c r="W107" s="39" t="n">
        <f aca="false">W106-LN(R107/R106)*(V106+V107)/2</f>
        <v>1530835.64642517</v>
      </c>
      <c r="X107" s="39" t="n">
        <f aca="false">Sheet1!H$10*10/Sheet1!H$11*1000*W107/(Sheet1!H$10*10/Sheet1!H$11*1000-W107)</f>
        <v>1571436.46978019</v>
      </c>
      <c r="Y107" s="37"/>
      <c r="Z107" s="39"/>
      <c r="AJ107" s="39"/>
      <c r="AO107" s="37" t="n">
        <f aca="false">AO106+(AO$116-AO$106)/10</f>
        <v>-5.78</v>
      </c>
      <c r="AP107" s="40" t="n">
        <f aca="false">10^AO107</f>
        <v>1.65958690743756E-006</v>
      </c>
      <c r="AQ107" s="39" t="n">
        <f aca="false">AS107-AR107*((Sheet1!R$19-Sheet1!R$20)*COS(RADIANS(38))+Sheet1!R$20)/2</f>
        <v>348.368983158225</v>
      </c>
      <c r="AR107" s="37" t="n">
        <f aca="false">(AV107-AV$51)/(AV$116-AV$51)*(AR$116-AR$51)+AR$51</f>
        <v>0.121385674020915</v>
      </c>
      <c r="AS107" s="39" t="n">
        <f aca="false">(AV107-AV$106)/(AV$116-AV$106)*(AS$116-AS$106)+AS$106</f>
        <v>353.116419292532</v>
      </c>
      <c r="AT107" s="39" t="n">
        <f aca="false">8314.4621*AS107/(Sheet1!R$22*Sheet1!R$12*9.80665)</f>
        <v>6246.72152885086</v>
      </c>
      <c r="AU107" s="39" t="n">
        <f aca="false">AU106-LN(AP107/AP106)*(AT106+AT107)/2</f>
        <v>85660.0997091216</v>
      </c>
      <c r="AV107" s="39" t="n">
        <f aca="false">Sheet1!R$10*10/Sheet1!R$11*1000*AU107/(Sheet1!R$10*10/Sheet1!R$11*1000-AU107)</f>
        <v>86743.253609011</v>
      </c>
    </row>
    <row r="108" customFormat="false" ht="14.4" hidden="false" customHeight="false" outlineLevel="0" collapsed="false">
      <c r="Q108" s="37" t="n">
        <f aca="false">Q107-0.1</f>
        <v>-1.79999999999999</v>
      </c>
      <c r="R108" s="40" t="n">
        <f aca="false">10^Q108</f>
        <v>0.0158489319246116</v>
      </c>
      <c r="S108" s="39" t="n">
        <f aca="false">U108-T108*((Sheet1!H$18-Sheet1!H$19)*COS(RADIANS(38))+Sheet1!H$19)/2</f>
        <v>354.810264376032</v>
      </c>
      <c r="T108" s="37" t="n">
        <f aca="false">(X108-X$100)/(X$170-X$100)*(T$170-T$100)+T$100</f>
        <v>2.10234597375159</v>
      </c>
      <c r="U108" s="39" t="n">
        <f aca="false">(X108-X$100)/(X$125-X$100)*(U$125-U$100)+U$100</f>
        <v>360.22595282002</v>
      </c>
      <c r="V108" s="39" t="n">
        <f aca="false">8314.4621*U108/(Sheet1!H$20*Sheet1!H$12*9.80665)</f>
        <v>71495.7176951909</v>
      </c>
      <c r="W108" s="39" t="n">
        <f aca="false">W107-LN(R108/R107)*(V107+V108)/2</f>
        <v>1546997.26974097</v>
      </c>
      <c r="X108" s="39" t="n">
        <f aca="false">Sheet1!H$10*10/Sheet1!H$11*1000*W108/(Sheet1!H$10*10/Sheet1!H$11*1000-W108)</f>
        <v>1588471.50846476</v>
      </c>
      <c r="Y108" s="37"/>
      <c r="Z108" s="39"/>
      <c r="AJ108" s="39"/>
      <c r="AO108" s="37" t="n">
        <f aca="false">AO107+(AO$116-AO$106)/10</f>
        <v>-5.86</v>
      </c>
      <c r="AP108" s="40" t="n">
        <f aca="false">10^AO108</f>
        <v>1.38038426460288E-006</v>
      </c>
      <c r="AQ108" s="39" t="n">
        <f aca="false">AS108-AR108*((Sheet1!R$19-Sheet1!R$20)*COS(RADIANS(38))+Sheet1!R$20)/2</f>
        <v>349.267626853901</v>
      </c>
      <c r="AR108" s="37" t="n">
        <f aca="false">(AV108-AV$51)/(AV$116-AV$51)*(AR$116-AR$51)+AR$51</f>
        <v>0.12452413504026</v>
      </c>
      <c r="AS108" s="39" t="n">
        <f aca="false">(AV108-AV$106)/(AV$116-AV$106)*(AS$116-AS$106)+AS$106</f>
        <v>354.137809295542</v>
      </c>
      <c r="AT108" s="39" t="n">
        <f aca="false">8314.4621*AS108/(Sheet1!R$22*Sheet1!R$12*9.80665)</f>
        <v>6264.79018432132</v>
      </c>
      <c r="AU108" s="39" t="n">
        <f aca="false">AU107-LN(AP108/AP107)*(AT107+AT108)/2</f>
        <v>86812.4525235844</v>
      </c>
      <c r="AV108" s="39" t="n">
        <f aca="false">Sheet1!R$10*10/Sheet1!R$11*1000*AU108/(Sheet1!R$10*10/Sheet1!R$11*1000-AU108)</f>
        <v>87925.1342351617</v>
      </c>
    </row>
    <row r="109" customFormat="false" ht="14.4" hidden="false" customHeight="false" outlineLevel="0" collapsed="false">
      <c r="Q109" s="37" t="n">
        <f aca="false">Q108-0.1</f>
        <v>-1.89999999999999</v>
      </c>
      <c r="R109" s="40" t="n">
        <f aca="false">10^Q109</f>
        <v>0.012589254117942</v>
      </c>
      <c r="S109" s="39" t="n">
        <f aca="false">U109-T109*((Sheet1!H$18-Sheet1!H$19)*COS(RADIANS(38))+Sheet1!H$19)/2</f>
        <v>368.446082024797</v>
      </c>
      <c r="T109" s="37" t="n">
        <f aca="false">(X109-X$100)/(X$170-X$100)*(T$170-T$100)+T$100</f>
        <v>2.11745007496563</v>
      </c>
      <c r="U109" s="39" t="n">
        <f aca="false">(X109-X$100)/(X$125-X$100)*(U$125-U$100)+U$100</f>
        <v>373.900678958359</v>
      </c>
      <c r="V109" s="39" t="n">
        <f aca="false">8314.4621*U109/(Sheet1!H$20*Sheet1!H$12*9.80665)</f>
        <v>74209.8040953851</v>
      </c>
      <c r="W109" s="39" t="n">
        <f aca="false">W108-LN(R109/R108)*(V108+V109)/2</f>
        <v>1563772.23786306</v>
      </c>
      <c r="X109" s="39" t="n">
        <f aca="false">Sheet1!H$10*10/Sheet1!H$11*1000*W109/(Sheet1!H$10*10/Sheet1!H$11*1000-W109)</f>
        <v>1606163.13408747</v>
      </c>
      <c r="Y109" s="37"/>
      <c r="Z109" s="39"/>
      <c r="AJ109" s="39"/>
      <c r="AO109" s="37" t="n">
        <f aca="false">AO108+(AO$116-AO$106)/10</f>
        <v>-5.94</v>
      </c>
      <c r="AP109" s="40" t="n">
        <f aca="false">10^AO109</f>
        <v>1.14815362149688E-006</v>
      </c>
      <c r="AQ109" s="39" t="n">
        <f aca="false">AS109-AR109*((Sheet1!R$19-Sheet1!R$20)*COS(RADIANS(38))+Sheet1!R$20)/2</f>
        <v>350.169177454026</v>
      </c>
      <c r="AR109" s="37" t="n">
        <f aca="false">(AV109-AV$51)/(AV$116-AV$51)*(AR$116-AR$51)+AR$51</f>
        <v>0.127672748358862</v>
      </c>
      <c r="AS109" s="39" t="n">
        <f aca="false">(AV109-AV$106)/(AV$116-AV$106)*(AS$116-AS$106)+AS$106</f>
        <v>355.162503262974</v>
      </c>
      <c r="AT109" s="39" t="n">
        <f aca="false">8314.4621*AS109/(Sheet1!R$22*Sheet1!R$12*9.80665)</f>
        <v>6282.91728778386</v>
      </c>
      <c r="AU109" s="39" t="n">
        <f aca="false">AU108-LN(AP109/AP108)*(AT108+AT109)/2</f>
        <v>87968.1390906452</v>
      </c>
      <c r="AV109" s="39" t="n">
        <f aca="false">Sheet1!R$10*10/Sheet1!R$11*1000*AU109/(Sheet1!R$10*10/Sheet1!R$11*1000-AU109)</f>
        <v>89110.8380108526</v>
      </c>
    </row>
    <row r="110" customFormat="false" ht="14.4" hidden="false" customHeight="false" outlineLevel="0" collapsed="false">
      <c r="Q110" s="37" t="n">
        <f aca="false">Q109-0.1</f>
        <v>-1.99999999999999</v>
      </c>
      <c r="R110" s="40" t="n">
        <f aca="false">10^Q110</f>
        <v>0.0100000000000003</v>
      </c>
      <c r="S110" s="39" t="n">
        <f aca="false">U110-T110*((Sheet1!H$18-Sheet1!H$19)*COS(RADIANS(38))+Sheet1!H$19)/2</f>
        <v>382.608085646617</v>
      </c>
      <c r="T110" s="37" t="n">
        <f aca="false">(X110-X$100)/(X$170-X$100)*(T$170-T$100)+T$100</f>
        <v>2.13313702118049</v>
      </c>
      <c r="U110" s="39" t="n">
        <f aca="false">(X110-X$100)/(X$125-X$100)*(U$125-U$100)+U$100</f>
        <v>388.103092491012</v>
      </c>
      <c r="V110" s="39" t="n">
        <f aca="false">8314.4621*U110/(Sheet1!H$20*Sheet1!H$12*9.80665)</f>
        <v>77028.6230632349</v>
      </c>
      <c r="W110" s="39" t="n">
        <f aca="false">W109-LN(R110/R109)*(V109+V110)/2</f>
        <v>1581184.20525622</v>
      </c>
      <c r="X110" s="39" t="n">
        <f aca="false">Sheet1!H$10*10/Sheet1!H$11*1000*W110/(Sheet1!H$10*10/Sheet1!H$11*1000-W110)</f>
        <v>1624537.45346364</v>
      </c>
      <c r="Y110" s="37"/>
      <c r="Z110" s="39"/>
      <c r="AJ110" s="39"/>
      <c r="AO110" s="37" t="n">
        <f aca="false">AO109+(AO$116-AO$106)/10</f>
        <v>-6.02</v>
      </c>
      <c r="AP110" s="40" t="n">
        <f aca="false">10^AO110</f>
        <v>9.54992586021437E-007</v>
      </c>
      <c r="AQ110" s="39" t="n">
        <f aca="false">AS110-AR110*((Sheet1!R$19-Sheet1!R$20)*COS(RADIANS(38))+Sheet1!R$20)/2</f>
        <v>351.073646197738</v>
      </c>
      <c r="AR110" s="37" t="n">
        <f aca="false">(AV110-AV$51)/(AV$116-AV$51)*(AR$116-AR$51)+AR$51</f>
        <v>0.13083155323073</v>
      </c>
      <c r="AS110" s="39" t="n">
        <f aca="false">(AV110-AV$106)/(AV$116-AV$106)*(AS$116-AS$106)+AS$106</f>
        <v>356.190513969201</v>
      </c>
      <c r="AT110" s="39" t="n">
        <f aca="false">8314.4621*AS110/(Sheet1!R$22*Sheet1!R$12*9.80665)</f>
        <v>6301.10306522052</v>
      </c>
      <c r="AU110" s="39" t="n">
        <f aca="false">AU109-LN(AP110/AP109)*(AT109+AT110)/2</f>
        <v>89127.1701976357</v>
      </c>
      <c r="AV110" s="39" t="n">
        <f aca="false">Sheet1!R$10*10/Sheet1!R$11*1000*AU110/(Sheet1!R$10*10/Sheet1!R$11*1000-AU110)</f>
        <v>90300.3797183453</v>
      </c>
    </row>
    <row r="111" customFormat="false" ht="14.4" hidden="false" customHeight="false" outlineLevel="0" collapsed="false">
      <c r="Q111" s="37" t="n">
        <f aca="false">Q110-0.1</f>
        <v>-2.09999999999999</v>
      </c>
      <c r="R111" s="40" t="n">
        <f aca="false">10^Q111</f>
        <v>0.00794328234724305</v>
      </c>
      <c r="S111" s="39" t="n">
        <f aca="false">U111-T111*((Sheet1!H$18-Sheet1!H$19)*COS(RADIANS(38))+Sheet1!H$19)/2</f>
        <v>397.317245218372</v>
      </c>
      <c r="T111" s="37" t="n">
        <f aca="false">(X111-X$100)/(X$170-X$100)*(T$170-T$100)+T$100</f>
        <v>2.14943004040195</v>
      </c>
      <c r="U111" s="39" t="n">
        <f aca="false">(X111-X$100)/(X$125-X$100)*(U$125-U$100)+U$100</f>
        <v>402.854223230698</v>
      </c>
      <c r="V111" s="39" t="n">
        <f aca="false">8314.4621*U111/(Sheet1!H$20*Sheet1!H$12*9.80665)</f>
        <v>79956.3484833308</v>
      </c>
      <c r="W111" s="39" t="n">
        <f aca="false">W110-LN(R111/R110)*(V110+V111)/2</f>
        <v>1599257.76802159</v>
      </c>
      <c r="X111" s="39" t="n">
        <f aca="false">Sheet1!H$10*10/Sheet1!H$11*1000*W111/(Sheet1!H$10*10/Sheet1!H$11*1000-W111)</f>
        <v>1643621.67385153</v>
      </c>
      <c r="Y111" s="37"/>
      <c r="Z111" s="39"/>
      <c r="AJ111" s="39"/>
      <c r="AO111" s="37" t="n">
        <f aca="false">AO110+(AO$116-AO$106)/10</f>
        <v>-6.1</v>
      </c>
      <c r="AP111" s="40" t="n">
        <f aca="false">10^AO111</f>
        <v>7.94328234724282E-007</v>
      </c>
      <c r="AQ111" s="39" t="n">
        <f aca="false">AS111-AR111*((Sheet1!R$19-Sheet1!R$20)*COS(RADIANS(38))+Sheet1!R$20)/2</f>
        <v>351.981042693287</v>
      </c>
      <c r="AR111" s="37" t="n">
        <f aca="false">(AV111-AV$51)/(AV$116-AV$51)*(AR$116-AR$51)+AR$51</f>
        <v>0.134000589093323</v>
      </c>
      <c r="AS111" s="39" t="n">
        <f aca="false">(AV111-AV$106)/(AV$116-AV$106)*(AS$116-AS$106)+AS$106</f>
        <v>357.22185256489</v>
      </c>
      <c r="AT111" s="39" t="n">
        <f aca="false">8314.4621*AS111/(Sheet1!R$22*Sheet1!R$12*9.80665)</f>
        <v>6319.34771388945</v>
      </c>
      <c r="AU111" s="39" t="n">
        <f aca="false">AU110-LN(AP111/AP110)*(AT110+AT111)/2</f>
        <v>90289.5566708694</v>
      </c>
      <c r="AV111" s="39" t="n">
        <f aca="false">Sheet1!R$10*10/Sheet1!R$11*1000*AU111/(Sheet1!R$10*10/Sheet1!R$11*1000-AU111)</f>
        <v>91493.7742089852</v>
      </c>
    </row>
    <row r="112" customFormat="false" ht="14.4" hidden="false" customHeight="false" outlineLevel="0" collapsed="false">
      <c r="Q112" s="37" t="n">
        <f aca="false">Q111-0.1</f>
        <v>-2.19999999999999</v>
      </c>
      <c r="R112" s="40" t="n">
        <f aca="false">10^Q112</f>
        <v>0.00630957344480212</v>
      </c>
      <c r="S112" s="39" t="n">
        <f aca="false">U112-T112*((Sheet1!H$18-Sheet1!H$19)*COS(RADIANS(38))+Sheet1!H$19)/2</f>
        <v>412.595418381175</v>
      </c>
      <c r="T112" s="37" t="n">
        <f aca="false">(X112-X$100)/(X$170-X$100)*(T$170-T$100)+T$100</f>
        <v>2.16635334388298</v>
      </c>
      <c r="U112" s="39" t="n">
        <f aca="false">(X112-X$100)/(X$125-X$100)*(U$125-U$100)+U$100</f>
        <v>418.175991187242</v>
      </c>
      <c r="V112" s="39" t="n">
        <f aca="false">8314.4621*U112/(Sheet1!H$20*Sheet1!H$12*9.80665)</f>
        <v>82997.3309218161</v>
      </c>
      <c r="W112" s="39" t="n">
        <f aca="false">W111-LN(R112/R111)*(V111+V112)/2</f>
        <v>1618018.50367393</v>
      </c>
      <c r="X112" s="39" t="n">
        <f aca="false">Sheet1!H$10*10/Sheet1!H$11*1000*W112/(Sheet1!H$10*10/Sheet1!H$11*1000-W112)</f>
        <v>1663444.15419929</v>
      </c>
      <c r="Y112" s="37"/>
      <c r="Z112" s="39"/>
      <c r="AJ112" s="39"/>
      <c r="AO112" s="37" t="n">
        <f aca="false">AO111+(AO$116-AO$106)/10</f>
        <v>-6.18</v>
      </c>
      <c r="AP112" s="40" t="n">
        <f aca="false">10^AO112</f>
        <v>6.60693448007596E-007</v>
      </c>
      <c r="AQ112" s="39" t="n">
        <f aca="false">AS112-AR112*((Sheet1!R$19-Sheet1!R$20)*COS(RADIANS(38))+Sheet1!R$20)/2</f>
        <v>352.891381410181</v>
      </c>
      <c r="AR112" s="37" t="n">
        <f aca="false">(AV112-AV$51)/(AV$116-AV$51)*(AR$116-AR$51)+AR$51</f>
        <v>0.137179895582579</v>
      </c>
      <c r="AS112" s="39" t="n">
        <f aca="false">(AV112-AV$106)/(AV$116-AV$106)*(AS$116-AS$106)+AS$106</f>
        <v>358.256535069722</v>
      </c>
      <c r="AT112" s="39" t="n">
        <f aca="false">8314.4621*AS112/(Sheet1!R$22*Sheet1!R$12*9.80665)</f>
        <v>6337.65151718302</v>
      </c>
      <c r="AU112" s="39" t="n">
        <f aca="false">AU111-LN(AP112/AP111)*(AT111+AT112)/2</f>
        <v>91455.3093809296</v>
      </c>
      <c r="AV112" s="39" t="n">
        <f aca="false">Sheet1!R$10*10/Sheet1!R$11*1000*AU112/(Sheet1!R$10*10/Sheet1!R$11*1000-AU112)</f>
        <v>92691.0364088613</v>
      </c>
    </row>
    <row r="113" customFormat="false" ht="14.4" hidden="false" customHeight="false" outlineLevel="0" collapsed="false">
      <c r="Q113" s="37" t="n">
        <f aca="false">Q112-0.1</f>
        <v>-2.29999999999999</v>
      </c>
      <c r="R113" s="40" t="n">
        <f aca="false">10^Q113</f>
        <v>0.00501187233627287</v>
      </c>
      <c r="S113" s="39" t="n">
        <f aca="false">U113-T113*((Sheet1!H$18-Sheet1!H$19)*COS(RADIANS(38))+Sheet1!H$19)/2</f>
        <v>428.465392066873</v>
      </c>
      <c r="T113" s="37" t="n">
        <f aca="false">(X113-X$100)/(X$170-X$100)*(T$170-T$100)+T$100</f>
        <v>2.18393217223252</v>
      </c>
      <c r="U113" s="39" t="n">
        <f aca="false">(X113-X$100)/(X$125-X$100)*(U$125-U$100)+U$100</f>
        <v>434.091248312839</v>
      </c>
      <c r="V113" s="39" t="n">
        <f aca="false">8314.4621*U113/(Sheet1!H$20*Sheet1!H$12*9.80665)</f>
        <v>86156.1059117642</v>
      </c>
      <c r="W113" s="39" t="n">
        <f aca="false">W112-LN(R113/R112)*(V112+V113)/2</f>
        <v>1637493.01277801</v>
      </c>
      <c r="X113" s="39" t="n">
        <f aca="false">Sheet1!H$10*10/Sheet1!H$11*1000*W113/(Sheet1!H$10*10/Sheet1!H$11*1000-W113)</f>
        <v>1684034.4591528</v>
      </c>
      <c r="Y113" s="37"/>
      <c r="Z113" s="39"/>
      <c r="AJ113" s="39"/>
      <c r="AO113" s="37" t="n">
        <f aca="false">AO112+(AO$116-AO$106)/10</f>
        <v>-6.26</v>
      </c>
      <c r="AP113" s="40" t="n">
        <f aca="false">10^AO113</f>
        <v>5.49540873857625E-007</v>
      </c>
      <c r="AQ113" s="39" t="n">
        <f aca="false">AS113-AR113*((Sheet1!R$19-Sheet1!R$20)*COS(RADIANS(38))+Sheet1!R$20)/2</f>
        <v>353.804672347997</v>
      </c>
      <c r="AR113" s="37" t="n">
        <f aca="false">(AV113-AV$51)/(AV$116-AV$51)*(AR$116-AR$51)+AR$51</f>
        <v>0.140369512535364</v>
      </c>
      <c r="AS113" s="39" t="n">
        <f aca="false">(AV113-AV$106)/(AV$116-AV$106)*(AS$116-AS$106)+AS$106</f>
        <v>359.294573041308</v>
      </c>
      <c r="AT113" s="39" t="n">
        <f aca="false">8314.4621*AS113/(Sheet1!R$22*Sheet1!R$12*9.80665)</f>
        <v>6356.01467955836</v>
      </c>
      <c r="AU113" s="39" t="n">
        <f aca="false">AU112-LN(AP113/AP112)*(AT112+AT113)/2</f>
        <v>92624.439243332</v>
      </c>
      <c r="AV113" s="39" t="n">
        <f aca="false">Sheet1!R$10*10/Sheet1!R$11*1000*AU113/(Sheet1!R$10*10/Sheet1!R$11*1000-AU113)</f>
        <v>93892.1813197274</v>
      </c>
    </row>
    <row r="114" customFormat="false" ht="14.4" hidden="false" customHeight="false" outlineLevel="0" collapsed="false">
      <c r="Q114" s="37" t="n">
        <f aca="false">Q113-0.1</f>
        <v>-2.39999999999999</v>
      </c>
      <c r="R114" s="40" t="n">
        <f aca="false">10^Q114</f>
        <v>0.00398107170553509</v>
      </c>
      <c r="S114" s="39" t="n">
        <f aca="false">U114-T114*((Sheet1!H$18-Sheet1!H$19)*COS(RADIANS(38))+Sheet1!H$19)/2</f>
        <v>444.950926388744</v>
      </c>
      <c r="T114" s="37" t="n">
        <f aca="false">(X114-X$100)/(X$170-X$100)*(T$170-T$100)+T$100</f>
        <v>2.20219284403226</v>
      </c>
      <c r="U114" s="39" t="n">
        <f aca="false">(X114-X$100)/(X$125-X$100)*(U$125-U$100)+U$100</f>
        <v>450.623822518003</v>
      </c>
      <c r="V114" s="39" t="n">
        <f aca="false">8314.4621*U114/(Sheet1!H$20*Sheet1!H$12*9.80665)</f>
        <v>89437.402689228</v>
      </c>
      <c r="W114" s="39" t="n">
        <f aca="false">W113-LN(R114/R113)*(V113+V114)/2</f>
        <v>1657708.96254457</v>
      </c>
      <c r="X114" s="39" t="n">
        <f aca="false">Sheet1!H$10*10/Sheet1!H$11*1000*W114/(Sheet1!H$10*10/Sheet1!H$11*1000-W114)</f>
        <v>1705423.41600115</v>
      </c>
      <c r="Y114" s="37"/>
      <c r="Z114" s="39"/>
      <c r="AJ114" s="39"/>
      <c r="AO114" s="37" t="n">
        <f aca="false">AO113+(AO$116-AO$106)/10</f>
        <v>-6.34</v>
      </c>
      <c r="AP114" s="40" t="n">
        <f aca="false">10^AO114</f>
        <v>4.57088189614875E-007</v>
      </c>
      <c r="AQ114" s="39" t="n">
        <f aca="false">AS114-AR114*((Sheet1!R$19-Sheet1!R$20)*COS(RADIANS(38))+Sheet1!R$20)/2</f>
        <v>354.720741089765</v>
      </c>
      <c r="AR114" s="37" t="n">
        <f aca="false">(AV114-AV$51)/(AV$116-AV$51)*(AR$116-AR$51)+AR$51</f>
        <v>0.143568856761564</v>
      </c>
      <c r="AS114" s="39" t="n">
        <f aca="false">(AV114-AV$106)/(AV$116-AV$106)*(AS$116-AS$106)+AS$106</f>
        <v>360.335769253908</v>
      </c>
      <c r="AT114" s="39" t="n">
        <f aca="false">8314.4621*AS114/(Sheet1!R$22*Sheet1!R$12*9.80665)</f>
        <v>6374.43371204073</v>
      </c>
      <c r="AU114" s="39" t="n">
        <f aca="false">AU113-LN(AP114/AP113)*(AT113+AT114)/2</f>
        <v>93796.7288974246</v>
      </c>
      <c r="AV114" s="39" t="n">
        <f aca="false">Sheet1!R$10*10/Sheet1!R$11*1000*AU114/(Sheet1!R$10*10/Sheet1!R$11*1000-AU114)</f>
        <v>95096.989324041</v>
      </c>
    </row>
    <row r="115" customFormat="false" ht="14.4" hidden="false" customHeight="false" outlineLevel="0" collapsed="false">
      <c r="Q115" s="37" t="n">
        <f aca="false">Q114-0.1</f>
        <v>-2.49999999999999</v>
      </c>
      <c r="R115" s="40" t="n">
        <f aca="false">10^Q115</f>
        <v>0.00316227766016847</v>
      </c>
      <c r="S115" s="39" t="n">
        <f aca="false">U115-T115*((Sheet1!H$18-Sheet1!H$19)*COS(RADIANS(38))+Sheet1!H$19)/2</f>
        <v>462.076734627419</v>
      </c>
      <c r="T115" s="37" t="n">
        <f aca="false">(X115-X$100)/(X$170-X$100)*(T$170-T$100)+T$100</f>
        <v>2.22116280575363</v>
      </c>
      <c r="U115" s="39" t="n">
        <f aca="false">(X115-X$100)/(X$125-X$100)*(U$125-U$100)+U$100</f>
        <v>467.798497786063</v>
      </c>
      <c r="V115" s="39" t="n">
        <f aca="false">8314.4621*U115/(Sheet1!H$20*Sheet1!H$12*9.80665)</f>
        <v>92846.1402464726</v>
      </c>
      <c r="W115" s="39" t="n">
        <f aca="false">W114-LN(R115/R114)*(V114+V115)/2</f>
        <v>1678695.13097766</v>
      </c>
      <c r="X115" s="39" t="n">
        <f aca="false">Sheet1!H$10*10/Sheet1!H$11*1000*W115/(Sheet1!H$10*10/Sheet1!H$11*1000-W115)</f>
        <v>1727643.17314497</v>
      </c>
      <c r="Y115" s="37"/>
      <c r="Z115" s="39"/>
      <c r="AJ115" s="39"/>
      <c r="AO115" s="37" t="n">
        <f aca="false">AO114+(AO$116-AO$106)/10</f>
        <v>-6.42</v>
      </c>
      <c r="AP115" s="40" t="n">
        <f aca="false">10^AO115</f>
        <v>3.80189396320561E-007</v>
      </c>
      <c r="AQ115" s="39" t="n">
        <f aca="false">AS115-AR115*((Sheet1!R$19-Sheet1!R$20)*COS(RADIANS(38))+Sheet1!R$20)/2</f>
        <v>355.639970926561</v>
      </c>
      <c r="AR115" s="37" t="n">
        <f aca="false">(AV115-AV$51)/(AV$116-AV$51)*(AR$116-AR$51)+AR$51</f>
        <v>0.146779212824688</v>
      </c>
      <c r="AS115" s="39" t="n">
        <f aca="false">(AV115-AV$106)/(AV$116-AV$106)*(AS$116-AS$106)+AS$106</f>
        <v>361.380557238327</v>
      </c>
      <c r="AT115" s="39" t="n">
        <f aca="false">8314.4621*AS115/(Sheet1!R$22*Sheet1!R$12*9.80665)</f>
        <v>6392.91628390309</v>
      </c>
      <c r="AU115" s="39" t="n">
        <f aca="false">AU114-LN(AP115/AP114)*(AT114+AT115)/2</f>
        <v>94972.6452885325</v>
      </c>
      <c r="AV115" s="39" t="n">
        <f aca="false">Sheet1!R$10*10/Sheet1!R$11*1000*AU115/(Sheet1!R$10*10/Sheet1!R$11*1000-AU115)</f>
        <v>96305.9441623087</v>
      </c>
    </row>
    <row r="116" customFormat="false" ht="14.4" hidden="false" customHeight="false" outlineLevel="0" collapsed="false">
      <c r="Q116" s="37" t="n">
        <f aca="false">Q115-0.1</f>
        <v>-2.59999999999999</v>
      </c>
      <c r="R116" s="40" t="n">
        <f aca="false">10^Q116</f>
        <v>0.00251188643150965</v>
      </c>
      <c r="S116" s="39" t="n">
        <f aca="false">U116-T116*((Sheet1!H$18-Sheet1!H$19)*COS(RADIANS(38))+Sheet1!H$19)/2</f>
        <v>479.868791491139</v>
      </c>
      <c r="T116" s="37" t="n">
        <f aca="false">(X116-X$100)/(X$170-X$100)*(T$170-T$100)+T$100</f>
        <v>2.24087068850624</v>
      </c>
      <c r="U116" s="39" t="n">
        <f aca="false">(X116-X$100)/(X$125-X$100)*(U$125-U$100)+U$100</f>
        <v>485.641322579615</v>
      </c>
      <c r="V116" s="39" t="n">
        <f aca="false">8314.4621*U116/(Sheet1!H$20*Sheet1!H$12*9.80665)</f>
        <v>96387.4885428345</v>
      </c>
      <c r="W116" s="39" t="n">
        <f aca="false">W115-LN(R116/R115)*(V115+V116)/2</f>
        <v>1700481.45761484</v>
      </c>
      <c r="X116" s="39" t="n">
        <f aca="false">Sheet1!H$10*10/Sheet1!H$11*1000*W116/(Sheet1!H$10*10/Sheet1!H$11*1000-W116)</f>
        <v>1750727.26656664</v>
      </c>
      <c r="Y116" s="37"/>
      <c r="Z116" s="39"/>
      <c r="AJ116" s="39"/>
      <c r="AO116" s="37" t="n">
        <f aca="false">IF(Sheet1!R24="Y",-6,-6.5)</f>
        <v>-6.5</v>
      </c>
      <c r="AP116" s="40" t="n">
        <f aca="false">10^AO116</f>
        <v>3.16227766016838E-007</v>
      </c>
      <c r="AQ116" s="39" t="n">
        <f aca="false">AS116-AR116*((Sheet1!R$19-Sheet1!R$20)*COS(RADIANS(38))+Sheet1!R$20)/2</f>
        <v>356.562184750369</v>
      </c>
      <c r="AR116" s="37" t="n">
        <f aca="false">ROUND((5.7*LOG(Sheet1!R15)+4.8)/(Sheet1!R21+Sheet1!R19)/0.05,0)*0.05</f>
        <v>0.15</v>
      </c>
      <c r="AS116" s="39" t="n">
        <f aca="false">IF(LOG(Sheet1!R15)&gt;2.7683486,154.6*LOG(Sheet1!R15)-177.9,IF(Sheet1!R15&gt;1,67.4*LOG(Sheet1!R15)+63.5,IF(67.4*LOG(Sheet1!R15)+63.5&gt;1.5*Sheet1!R16,67.4*LOG(Sheet1!R15)+63.5,1.5*Sheet1!R16)))*IF(Sheet1!R24="Y",1.26,1)</f>
        <v>362.428737174202</v>
      </c>
      <c r="AT116" s="39" t="n">
        <f aca="false">8314.4621*AS116/(Sheet1!R$22*Sheet1!R$12*9.80665)</f>
        <v>6411.45886027114</v>
      </c>
      <c r="AU116" s="39" t="n">
        <f aca="false">AU115-LN(AP116/AP115)*(AT115+AT116)/2</f>
        <v>96151.9718218157</v>
      </c>
      <c r="AV116" s="39" t="n">
        <f aca="false">Sheet1!R$10*10/Sheet1!R$11*1000*AU116/(Sheet1!R$10*10/Sheet1!R$11*1000-AU116)</f>
        <v>97518.8271453989</v>
      </c>
    </row>
    <row r="117" customFormat="false" ht="14.4" hidden="false" customHeight="false" outlineLevel="0" collapsed="false">
      <c r="Q117" s="37" t="n">
        <f aca="false">Q116-0.1</f>
        <v>-2.69999999999999</v>
      </c>
      <c r="R117" s="40" t="n">
        <f aca="false">10^Q117</f>
        <v>0.00199526231496894</v>
      </c>
      <c r="S117" s="39" t="n">
        <f aca="false">U117-T117*((Sheet1!H$18-Sheet1!H$19)*COS(RADIANS(38))+Sheet1!H$19)/2</f>
        <v>498.354004343582</v>
      </c>
      <c r="T117" s="37" t="n">
        <f aca="false">(X117-X$100)/(X$170-X$100)*(T$170-T$100)+T$100</f>
        <v>2.26134636532815</v>
      </c>
      <c r="U117" s="39" t="n">
        <f aca="false">(X117-X$100)/(X$125-X$100)*(U$125-U$100)+U$100</f>
        <v>504.179281215927</v>
      </c>
      <c r="V117" s="39" t="n">
        <f aca="false">8314.4621*U117/(Sheet1!H$20*Sheet1!H$12*9.80665)</f>
        <v>100066.803281074</v>
      </c>
      <c r="W117" s="39" t="n">
        <f aca="false">W116-LN(R117/R116)*(V116+V117)/2</f>
        <v>1723099.09380526</v>
      </c>
      <c r="X117" s="39" t="n">
        <f aca="false">Sheet1!H$10*10/Sheet1!H$11*1000*W117/(Sheet1!H$10*10/Sheet1!H$11*1000-W117)</f>
        <v>1774710.68693516</v>
      </c>
      <c r="Y117" s="37"/>
      <c r="Z117" s="39"/>
      <c r="AJ117" s="39"/>
      <c r="AR117" s="37"/>
      <c r="AS117" s="39"/>
    </row>
    <row r="118" customFormat="false" ht="14.4" hidden="false" customHeight="false" outlineLevel="0" collapsed="false">
      <c r="Q118" s="37" t="n">
        <f aca="false">Q117-0.1</f>
        <v>-2.79999999999999</v>
      </c>
      <c r="R118" s="40" t="n">
        <f aca="false">10^Q118</f>
        <v>0.00158489319246116</v>
      </c>
      <c r="S118" s="39" t="n">
        <f aca="false">U118-T118*((Sheet1!H$18-Sheet1!H$19)*COS(RADIANS(38))+Sheet1!H$19)/2</f>
        <v>517.560515596034</v>
      </c>
      <c r="T118" s="37" t="n">
        <f aca="false">(X118-X$100)/(X$170-X$100)*(T$170-T$100)+T$100</f>
        <v>2.2826210089693</v>
      </c>
      <c r="U118" s="39" t="n">
        <f aca="false">(X118-X$100)/(X$125-X$100)*(U$125-U$100)+U$100</f>
        <v>523.440596407956</v>
      </c>
      <c r="V118" s="39" t="n">
        <f aca="false">8314.4621*U118/(Sheet1!H$20*Sheet1!H$12*9.80665)</f>
        <v>103889.685954093</v>
      </c>
      <c r="W118" s="39" t="n">
        <f aca="false">W117-LN(R118/R117)*(V117+V118)/2</f>
        <v>1746580.45239187</v>
      </c>
      <c r="X118" s="39" t="n">
        <f aca="false">Sheet1!H$10*10/Sheet1!H$11*1000*W118/(Sheet1!H$10*10/Sheet1!H$11*1000-W118)</f>
        <v>1799629.94728849</v>
      </c>
      <c r="Y118" s="37"/>
      <c r="Z118" s="39"/>
      <c r="AJ118" s="39"/>
    </row>
    <row r="119" customFormat="false" ht="14.4" hidden="false" customHeight="false" outlineLevel="0" collapsed="false">
      <c r="Q119" s="37" t="n">
        <f aca="false">Q118-0.1</f>
        <v>-2.89999999999999</v>
      </c>
      <c r="R119" s="40" t="n">
        <f aca="false">10^Q119</f>
        <v>0.0012589254117942</v>
      </c>
      <c r="S119" s="39" t="n">
        <f aca="false">U119-T119*((Sheet1!H$18-Sheet1!H$19)*COS(RADIANS(38))+Sheet1!H$19)/2</f>
        <v>537.517699804949</v>
      </c>
      <c r="T119" s="37" t="n">
        <f aca="false">(X119-X$100)/(X$170-X$100)*(T$170-T$100)+T$100</f>
        <v>2.3047271570008</v>
      </c>
      <c r="U119" s="39" t="n">
        <f aca="false">(X119-X$100)/(X$125-X$100)*(U$125-U$100)+U$100</f>
        <v>543.454726529642</v>
      </c>
      <c r="V119" s="39" t="n">
        <f aca="false">8314.4621*U119/(Sheet1!H$20*Sheet1!H$12*9.80665)</f>
        <v>107861.983302168</v>
      </c>
      <c r="W119" s="39" t="n">
        <f aca="false">W118-LN(R119/R118)*(V118+V119)/2</f>
        <v>1770959.26424418</v>
      </c>
      <c r="X119" s="39" t="n">
        <f aca="false">Sheet1!H$10*10/Sheet1!H$11*1000*W119/(Sheet1!H$10*10/Sheet1!H$11*1000-W119)</f>
        <v>1825523.15929702</v>
      </c>
      <c r="Y119" s="37"/>
      <c r="Z119" s="39"/>
      <c r="AJ119" s="39"/>
      <c r="AS119" s="39"/>
    </row>
    <row r="120" customFormat="false" ht="14.4" hidden="false" customHeight="false" outlineLevel="0" collapsed="false">
      <c r="Q120" s="37" t="n">
        <f aca="false">Q119-0.1</f>
        <v>-2.99999999999999</v>
      </c>
      <c r="R120" s="40" t="n">
        <f aca="false">10^Q120</f>
        <v>0.00100000000000003</v>
      </c>
      <c r="S120" s="39" t="n">
        <f aca="false">U120-T120*((Sheet1!H$18-Sheet1!H$19)*COS(RADIANS(38))+Sheet1!H$19)/2</f>
        <v>558.256224657029</v>
      </c>
      <c r="T120" s="37" t="n">
        <f aca="false">(X120-X$100)/(X$170-X$100)*(T$170-T$100)+T$100</f>
        <v>2.32769877936681</v>
      </c>
      <c r="U120" s="39" t="n">
        <f aca="false">(X120-X$100)/(X$125-X$100)*(U$125-U$100)+U$100</f>
        <v>564.252426774992</v>
      </c>
      <c r="V120" s="39" t="n">
        <f aca="false">8314.4621*U120/(Sheet1!H$20*Sheet1!H$12*9.80665)</f>
        <v>111989.799451477</v>
      </c>
      <c r="W120" s="39" t="n">
        <f aca="false">W119-LN(R120/R119)*(V119+V120)/2</f>
        <v>1796270.63612601</v>
      </c>
      <c r="X120" s="39" t="n">
        <f aca="false">Sheet1!H$10*10/Sheet1!H$11*1000*W120/(Sheet1!H$10*10/Sheet1!H$11*1000-W120)</f>
        <v>1852430.11238787</v>
      </c>
      <c r="Y120" s="37"/>
      <c r="Z120" s="39"/>
      <c r="AJ120" s="39"/>
      <c r="AS120" s="39"/>
    </row>
    <row r="121" customFormat="false" ht="14.4" hidden="false" customHeight="false" outlineLevel="0" collapsed="false">
      <c r="Q121" s="37" t="n">
        <f aca="false">Q120-0.1</f>
        <v>-3.09999999999999</v>
      </c>
      <c r="R121" s="40" t="n">
        <f aca="false">10^Q121</f>
        <v>0.000794328234724303</v>
      </c>
      <c r="S121" s="39" t="n">
        <f aca="false">U121-T121*((Sheet1!H$18-Sheet1!H$19)*COS(RADIANS(38))+Sheet1!H$19)/2</f>
        <v>579.808084417145</v>
      </c>
      <c r="T121" s="37" t="n">
        <f aca="false">(X121-X$100)/(X$170-X$100)*(T$170-T$100)+T$100</f>
        <v>2.35157134923918</v>
      </c>
      <c r="U121" s="39" t="n">
        <f aca="false">(X121-X$100)/(X$125-X$100)*(U$125-U$100)+U$100</f>
        <v>585.865782788532</v>
      </c>
      <c r="V121" s="39" t="n">
        <f aca="false">8314.4621*U121/(Sheet1!H$20*Sheet1!H$12*9.80665)</f>
        <v>116279.50258889</v>
      </c>
      <c r="W121" s="39" t="n">
        <f aca="false">W120-LN(R121/R120)*(V120+V121)/2</f>
        <v>1822551.11072933</v>
      </c>
      <c r="X121" s="39" t="n">
        <f aca="false">Sheet1!H$10*10/Sheet1!H$11*1000*W121/(Sheet1!H$10*10/Sheet1!H$11*1000-W121)</f>
        <v>1880392.35673786</v>
      </c>
      <c r="Y121" s="37"/>
      <c r="Z121" s="39"/>
      <c r="AJ121" s="39"/>
      <c r="AS121" s="39"/>
    </row>
    <row r="122" customFormat="false" ht="14.4" hidden="false" customHeight="false" outlineLevel="0" collapsed="false">
      <c r="Q122" s="37" t="n">
        <f aca="false">Q121-0.1</f>
        <v>-3.19999999999999</v>
      </c>
      <c r="R122" s="40" t="n">
        <f aca="false">10^Q122</f>
        <v>0.00063095734448021</v>
      </c>
      <c r="S122" s="39" t="n">
        <f aca="false">U122-T122*((Sheet1!H$18-Sheet1!H$19)*COS(RADIANS(38))+Sheet1!H$19)/2</f>
        <v>602.20678863748</v>
      </c>
      <c r="T122" s="37" t="n">
        <f aca="false">(X122-X$100)/(X$170-X$100)*(T$170-T$100)+T$100</f>
        <v>2.37638191994889</v>
      </c>
      <c r="U122" s="39" t="n">
        <f aca="false">(X122-X$100)/(X$125-X$100)*(U$125-U$100)+U$100</f>
        <v>608.328399572621</v>
      </c>
      <c r="V122" s="39" t="n">
        <f aca="false">8314.4621*U122/(Sheet1!H$20*Sheet1!H$12*9.80665)</f>
        <v>120737.762455283</v>
      </c>
      <c r="W122" s="39" t="n">
        <f aca="false">W121-LN(R122/R121)*(V121+V122)/2</f>
        <v>1849838.73179297</v>
      </c>
      <c r="X122" s="39" t="n">
        <f aca="false">Sheet1!H$10*10/Sheet1!H$11*1000*W122/(Sheet1!H$10*10/Sheet1!H$11*1000-W122)</f>
        <v>1909453.29338425</v>
      </c>
      <c r="Y122" s="37"/>
      <c r="Z122" s="39"/>
      <c r="AJ122" s="39"/>
      <c r="AS122" s="39"/>
    </row>
    <row r="123" customFormat="false" ht="14.4" hidden="false" customHeight="false" outlineLevel="0" collapsed="false">
      <c r="Q123" s="37" t="n">
        <f aca="false">Q122-0.1</f>
        <v>-3.29999999999999</v>
      </c>
      <c r="R123" s="40" t="n">
        <f aca="false">10^Q123</f>
        <v>0.000501187233627286</v>
      </c>
      <c r="S123" s="39" t="n">
        <f aca="false">U123-T123*((Sheet1!H$18-Sheet1!H$19)*COS(RADIANS(38))+Sheet1!H$19)/2</f>
        <v>625.48725992592</v>
      </c>
      <c r="T123" s="37" t="n">
        <f aca="false">(X123-X$100)/(X$170-X$100)*(T$170-T$100)+T$100</f>
        <v>2.40216920531894</v>
      </c>
      <c r="U123" s="39" t="n">
        <f aca="false">(X123-X$100)/(X$125-X$100)*(U$125-U$100)+U$100</f>
        <v>631.675299462787</v>
      </c>
      <c r="V123" s="39" t="n">
        <f aca="false">8314.4621*U123/(Sheet1!H$20*Sheet1!H$12*9.80665)</f>
        <v>125371.530096226</v>
      </c>
      <c r="W123" s="39" t="n">
        <f aca="false">W122-LN(R123/R122)*(V122+V123)/2</f>
        <v>1878173.11120679</v>
      </c>
      <c r="X123" s="39" t="n">
        <f aca="false">Sheet1!H$10*10/Sheet1!H$11*1000*W123/(Sheet1!H$10*10/Sheet1!H$11*1000-W123)</f>
        <v>1939658.26831972</v>
      </c>
      <c r="Y123" s="37"/>
      <c r="Z123" s="39"/>
      <c r="AJ123" s="39"/>
      <c r="AS123" s="39"/>
    </row>
    <row r="124" customFormat="false" ht="14.4" hidden="false" customHeight="false" outlineLevel="0" collapsed="false">
      <c r="Q124" s="37" t="n">
        <f aca="false">Q123-0.1</f>
        <v>-3.39999999999999</v>
      </c>
      <c r="R124" s="40" t="n">
        <f aca="false">10^Q124</f>
        <v>0.000398107170553508</v>
      </c>
      <c r="S124" s="39" t="n">
        <f aca="false">U124-T124*((Sheet1!H$18-Sheet1!H$19)*COS(RADIANS(38))+Sheet1!H$19)/2</f>
        <v>649.6860235023</v>
      </c>
      <c r="T124" s="37" t="n">
        <f aca="false">(X124-X$100)/(X$170-X$100)*(T$170-T$100)+T$100</f>
        <v>2.42897366355768</v>
      </c>
      <c r="U124" s="39" t="n">
        <f aca="false">(X124-X$100)/(X$125-X$100)*(U$125-U$100)+U$100</f>
        <v>655.943111900079</v>
      </c>
      <c r="V124" s="39" t="n">
        <f aca="false">8314.4621*U124/(Sheet1!H$20*Sheet1!H$12*9.80665)</f>
        <v>130188.075526986</v>
      </c>
      <c r="W124" s="39" t="n">
        <f aca="false">W123-LN(R124/R123)*(V123+V124)/2</f>
        <v>1907595.49812077</v>
      </c>
      <c r="X124" s="39" t="n">
        <f aca="false">Sheet1!H$10*10/Sheet1!H$11*1000*W124/(Sheet1!H$10*10/Sheet1!H$11*1000-W124)</f>
        <v>1971054.67075765</v>
      </c>
      <c r="Y124" s="37"/>
      <c r="Z124" s="39"/>
      <c r="AJ124" s="39"/>
      <c r="AS124" s="39"/>
    </row>
    <row r="125" customFormat="false" ht="14.4" hidden="false" customHeight="false" outlineLevel="0" collapsed="false">
      <c r="Q125" s="37" t="n">
        <f aca="false">Q124-0.1</f>
        <v>-3.49999999999999</v>
      </c>
      <c r="R125" s="40" t="n">
        <f aca="false">10^Q125</f>
        <v>0.000316227766016846</v>
      </c>
      <c r="S125" s="39" t="n">
        <f aca="false">U125-T125*((Sheet1!H$18-Sheet1!H$19)*COS(RADIANS(38))+Sheet1!H$19)/2</f>
        <v>674.841281443299</v>
      </c>
      <c r="T125" s="37" t="n">
        <f aca="false">(X125-X$100)/(X$170-X$100)*(T$170-T$100)+T$100</f>
        <v>2.4568375885456</v>
      </c>
      <c r="U125" s="39" t="n">
        <f aca="false">470/610*(U$170-U$54)+U$54</f>
        <v>681.170147911123</v>
      </c>
      <c r="V125" s="39" t="n">
        <f aca="false">8314.4621*U125/(Sheet1!H$20*Sheet1!H$12*9.80665)</f>
        <v>135195.002514929</v>
      </c>
      <c r="W125" s="39" t="n">
        <f aca="false">W124-LN(R125/R124)*(V124+V125)/2</f>
        <v>1938148.85409238</v>
      </c>
      <c r="X125" s="39" t="n">
        <f aca="false">Sheet1!H$10*10/Sheet1!H$11*1000*W125/(Sheet1!H$10*10/Sheet1!H$11*1000-W125)</f>
        <v>2003692.04005754</v>
      </c>
      <c r="Y125" s="37" t="n">
        <f aca="false">IF(Q125&lt;LOG(Sheet1!H$17*101325),Q125,IF(Q140&lt;LOG(Sheet1!H$17*101325),LOG(Sheet1!H$17*101325),0))</f>
        <v>-3.49999999999999</v>
      </c>
      <c r="Z125" s="39" t="n">
        <f aca="false">IF(Y125=LOG(Sheet1!H$17*101325),(LOG(Sheet1!H$17*101325)-Q140)/(Q125-Q140)*(S125-S140)+S140,IF(Y125=0,0,S125))</f>
        <v>674.841281443299</v>
      </c>
      <c r="AA125" s="39" t="n">
        <f aca="false">IF(Y125=LOG(Sheet1!H$17*101325),(LOG(Sheet1!H$17*101325)-Q135)/(Q125-Q135)*(X125-X135)+X135,IF(Y125=0,0,X125))</f>
        <v>2003692.04005754</v>
      </c>
      <c r="AB125" s="32" t="n">
        <f aca="false">IF(Y125=0,0,AB100+1)</f>
        <v>9</v>
      </c>
      <c r="AJ125" s="39"/>
      <c r="AS125" s="39"/>
    </row>
    <row r="126" customFormat="false" ht="14.4" hidden="false" customHeight="false" outlineLevel="0" collapsed="false">
      <c r="Q126" s="37" t="n">
        <f aca="false">Q125-0.1</f>
        <v>-3.59999999999999</v>
      </c>
      <c r="R126" s="40" t="n">
        <f aca="false">10^Q126</f>
        <v>0.000251188643150965</v>
      </c>
      <c r="S126" s="39" t="n">
        <f aca="false">U126-T126*((Sheet1!H$18-Sheet1!H$19)*COS(RADIANS(38))+Sheet1!H$19)/2</f>
        <v>681.82510062183</v>
      </c>
      <c r="T126" s="37" t="n">
        <f aca="false">(X126-X$100)/(X$170-X$100)*(T$170-T$100)+T$100</f>
        <v>2.4854050950054</v>
      </c>
      <c r="U126" s="39" t="n">
        <f aca="false">(X126-X$125)/(X$140-X$125)*(U$140-U$125)+U$125</f>
        <v>688.227557600702</v>
      </c>
      <c r="V126" s="39" t="n">
        <f aca="false">8314.4621*U126/(Sheet1!H$20*Sheet1!H$12*9.80665)</f>
        <v>136595.719389644</v>
      </c>
      <c r="W126" s="39" t="n">
        <f aca="false">W125-LN(R126/R125)*(V125+V126)/2</f>
        <v>1969439.91732595</v>
      </c>
      <c r="X126" s="39" t="n">
        <f aca="false">Sheet1!H$10*10/Sheet1!H$11*1000*W126/(Sheet1!H$10*10/Sheet1!H$11*1000-W126)</f>
        <v>2037153.52327319</v>
      </c>
      <c r="Y126" s="37"/>
      <c r="Z126" s="39"/>
      <c r="AJ126" s="39"/>
      <c r="AS126" s="39"/>
    </row>
    <row r="127" customFormat="false" ht="14.4" hidden="false" customHeight="false" outlineLevel="0" collapsed="false">
      <c r="Q127" s="37" t="n">
        <f aca="false">Q126-0.1</f>
        <v>-3.69999999999999</v>
      </c>
      <c r="R127" s="40" t="n">
        <f aca="false">10^Q127</f>
        <v>0.000199526231496893</v>
      </c>
      <c r="S127" s="39" t="n">
        <f aca="false">U127-T127*((Sheet1!H$18-Sheet1!H$19)*COS(RADIANS(38))+Sheet1!H$19)/2</f>
        <v>688.889014881049</v>
      </c>
      <c r="T127" s="37" t="n">
        <f aca="false">(X127-X$100)/(X$170-X$100)*(T$170-T$100)+T$100</f>
        <v>2.51430046028587</v>
      </c>
      <c r="U127" s="39" t="n">
        <f aca="false">(X127-X$125)/(X$140-X$125)*(U$140-U$125)+U$125</f>
        <v>695.365906942342</v>
      </c>
      <c r="V127" s="39" t="n">
        <f aca="false">8314.4621*U127/(Sheet1!H$20*Sheet1!H$12*9.80665)</f>
        <v>138012.500732976</v>
      </c>
      <c r="W127" s="39" t="n">
        <f aca="false">W126-LN(R127/R126)*(V126+V127)/2</f>
        <v>2001055.35702935</v>
      </c>
      <c r="X127" s="39" t="n">
        <f aca="false">Sheet1!H$10*10/Sheet1!H$11*1000*W127/(Sheet1!H$10*10/Sheet1!H$11*1000-W127)</f>
        <v>2070999.03169035</v>
      </c>
      <c r="Y127" s="37"/>
      <c r="Z127" s="39"/>
      <c r="AJ127" s="39"/>
      <c r="AS127" s="39"/>
    </row>
    <row r="128" customFormat="false" ht="14.4" hidden="false" customHeight="false" outlineLevel="0" collapsed="false">
      <c r="Q128" s="37" t="n">
        <f aca="false">Q127-0.1</f>
        <v>-3.79999999999999</v>
      </c>
      <c r="R128" s="40" t="n">
        <f aca="false">10^Q128</f>
        <v>0.000158489319246115</v>
      </c>
      <c r="S128" s="39" t="n">
        <f aca="false">U128-T128*((Sheet1!H$18-Sheet1!H$19)*COS(RADIANS(38))+Sheet1!H$19)/2</f>
        <v>696.034194425372</v>
      </c>
      <c r="T128" s="37" t="n">
        <f aca="false">(X128-X$100)/(X$170-X$100)*(T$170-T$100)+T$100</f>
        <v>2.54352813040161</v>
      </c>
      <c r="U128" s="39" t="n">
        <f aca="false">(X128-X$125)/(X$140-X$125)*(U$140-U$125)+U$125</f>
        <v>702.586377593489</v>
      </c>
      <c r="V128" s="39" t="n">
        <f aca="false">8314.4621*U128/(Sheet1!H$20*Sheet1!H$12*9.80665)</f>
        <v>139445.581073967</v>
      </c>
      <c r="W128" s="39" t="n">
        <f aca="false">W127-LN(R128/R127)*(V127+V128)/2</f>
        <v>2032998.89918432</v>
      </c>
      <c r="X128" s="39" t="n">
        <f aca="false">Sheet1!H$10*10/Sheet1!H$11*1000*W128/(Sheet1!H$10*10/Sheet1!H$11*1000-W128)</f>
        <v>2105233.77298241</v>
      </c>
      <c r="Y128" s="37"/>
      <c r="Z128" s="39"/>
      <c r="AJ128" s="39"/>
      <c r="AS128" s="39"/>
    </row>
    <row r="129" customFormat="false" ht="14.4" hidden="false" customHeight="false" outlineLevel="0" collapsed="false">
      <c r="Q129" s="37" t="n">
        <f aca="false">Q128-0.1</f>
        <v>-3.89999999999999</v>
      </c>
      <c r="R129" s="40" t="n">
        <f aca="false">10^Q129</f>
        <v>0.00012589254117942</v>
      </c>
      <c r="S129" s="39" t="n">
        <f aca="false">U129-T129*((Sheet1!H$18-Sheet1!H$19)*COS(RADIANS(38))+Sheet1!H$19)/2</f>
        <v>703.261769052791</v>
      </c>
      <c r="T129" s="37" t="n">
        <f aca="false">(X129-X$100)/(X$170-X$100)*(T$170-T$100)+T$100</f>
        <v>2.57309262891722</v>
      </c>
      <c r="U129" s="39" t="n">
        <f aca="false">(X129-X$125)/(X$140-X$125)*(U$140-U$125)+U$125</f>
        <v>709.890111004934</v>
      </c>
      <c r="V129" s="39" t="n">
        <f aca="false">8314.4621*U129/(Sheet1!H$20*Sheet1!H$12*9.80665)</f>
        <v>140895.186961654</v>
      </c>
      <c r="W129" s="39" t="n">
        <f aca="false">W128-LN(R129/R128)*(V128+V129)/2</f>
        <v>2065274.32285619</v>
      </c>
      <c r="X129" s="39" t="n">
        <f aca="false">Sheet1!H$10*10/Sheet1!H$11*1000*W129/(Sheet1!H$10*10/Sheet1!H$11*1000-W129)</f>
        <v>2139863.04565804</v>
      </c>
      <c r="Y129" s="37"/>
      <c r="Z129" s="39"/>
      <c r="AJ129" s="39"/>
      <c r="AS129" s="39"/>
    </row>
    <row r="130" customFormat="false" ht="14.4" hidden="false" customHeight="false" outlineLevel="0" collapsed="false">
      <c r="Q130" s="37" t="n">
        <f aca="false">Q129-0.1</f>
        <v>-3.99999999999999</v>
      </c>
      <c r="R130" s="40" t="n">
        <f aca="false">10^Q130</f>
        <v>0.000100000000000003</v>
      </c>
      <c r="S130" s="39" t="n">
        <f aca="false">U130-T130*((Sheet1!H$18-Sheet1!H$19)*COS(RADIANS(38))+Sheet1!H$19)/2</f>
        <v>710.57277221877</v>
      </c>
      <c r="T130" s="37" t="n">
        <f aca="false">(X130-X$100)/(X$170-X$100)*(T$170-T$100)+T$100</f>
        <v>2.60299855492328</v>
      </c>
      <c r="U130" s="39" t="n">
        <f aca="false">(X130-X$125)/(X$140-X$125)*(U$140-U$125)+U$125</f>
        <v>717.278152479498</v>
      </c>
      <c r="V130" s="39" t="n">
        <f aca="false">8314.4621*U130/(Sheet1!H$20*Sheet1!H$12*9.80665)</f>
        <v>142361.525862143</v>
      </c>
      <c r="W130" s="39" t="n">
        <f aca="false">W129-LN(R130/R129)*(V129+V130)/2</f>
        <v>2097885.45707812</v>
      </c>
      <c r="X130" s="39" t="n">
        <f aca="false">Sheet1!H$10*10/Sheet1!H$11*1000*W130/(Sheet1!H$10*10/Sheet1!H$11*1000-W130)</f>
        <v>2174892.23669045</v>
      </c>
      <c r="Y130" s="37"/>
      <c r="Z130" s="39"/>
      <c r="AJ130" s="39"/>
      <c r="AS130" s="39"/>
    </row>
    <row r="131" customFormat="false" ht="14.4" hidden="false" customHeight="false" outlineLevel="0" collapsed="false">
      <c r="Q131" s="37" t="n">
        <f aca="false">Q130-0.1</f>
        <v>-4.09999999999999</v>
      </c>
      <c r="R131" s="40" t="n">
        <f aca="false">10^Q131</f>
        <v>7.94328234724302E-005</v>
      </c>
      <c r="S131" s="39" t="n">
        <f aca="false">U131-T131*((Sheet1!H$18-Sheet1!H$19)*COS(RADIANS(38))+Sheet1!H$19)/2</f>
        <v>717.968386236894</v>
      </c>
      <c r="T131" s="37" t="n">
        <f aca="false">(X131-X$100)/(X$170-X$100)*(T$170-T$100)+T$100</f>
        <v>2.63325058498583</v>
      </c>
      <c r="U131" s="39" t="n">
        <f aca="false">(X131-X$125)/(X$140-X$125)*(U$140-U$125)+U$125</f>
        <v>724.7516963777</v>
      </c>
      <c r="V131" s="39" t="n">
        <f aca="false">8314.4621*U131/(Sheet1!H$20*Sheet1!H$12*9.80665)</f>
        <v>143844.834825713</v>
      </c>
      <c r="W131" s="39" t="n">
        <f aca="false">W130-LN(R131/R130)*(V130+V131)/2</f>
        <v>2130836.18206011</v>
      </c>
      <c r="X131" s="39" t="n">
        <f aca="false">Sheet1!H$10*10/Sheet1!H$11*1000*W131/(Sheet1!H$10*10/Sheet1!H$11*1000-W131)</f>
        <v>2210326.82380088</v>
      </c>
      <c r="Y131" s="37"/>
      <c r="Z131" s="39"/>
      <c r="AJ131" s="39"/>
      <c r="AS131" s="39"/>
    </row>
    <row r="132" customFormat="false" ht="14.4" hidden="false" customHeight="false" outlineLevel="0" collapsed="false">
      <c r="Q132" s="37" t="n">
        <f aca="false">Q131-0.1</f>
        <v>-4.19999999999999</v>
      </c>
      <c r="R132" s="40" t="n">
        <f aca="false">10^Q132</f>
        <v>6.3095734448021E-005</v>
      </c>
      <c r="S132" s="39" t="n">
        <f aca="false">U132-T132*((Sheet1!H$18-Sheet1!H$19)*COS(RADIANS(38))+Sheet1!H$19)/2</f>
        <v>725.449774191196</v>
      </c>
      <c r="T132" s="37" t="n">
        <f aca="false">(X132-X$100)/(X$170-X$100)*(T$170-T$100)+T$100</f>
        <v>2.6638534767448</v>
      </c>
      <c r="U132" s="39" t="n">
        <f aca="false">(X132-X$125)/(X$140-X$125)*(U$140-U$125)+U$125</f>
        <v>732.311918039355</v>
      </c>
      <c r="V132" s="39" t="n">
        <f aca="false">8314.4621*U132/(Sheet1!H$20*Sheet1!H$12*9.80665)</f>
        <v>145345.347127515</v>
      </c>
      <c r="W132" s="39" t="n">
        <f aca="false">W131-LN(R132/R131)*(V131+V132)/2</f>
        <v>2164130.4321604</v>
      </c>
      <c r="X132" s="39" t="n">
        <f aca="false">Sheet1!H$10*10/Sheet1!H$11*1000*W132/(Sheet1!H$10*10/Sheet1!H$11*1000-W132)</f>
        <v>2246172.3796734</v>
      </c>
      <c r="Y132" s="37"/>
      <c r="Z132" s="39"/>
      <c r="AJ132" s="39"/>
      <c r="AS132" s="39"/>
    </row>
    <row r="133" customFormat="false" ht="14.4" hidden="false" customHeight="false" outlineLevel="0" collapsed="false">
      <c r="Q133" s="37" t="n">
        <f aca="false">Q132-0.1</f>
        <v>-4.29999999999999</v>
      </c>
      <c r="R133" s="40" t="n">
        <f aca="false">10^Q133</f>
        <v>5.01187233627286E-005</v>
      </c>
      <c r="S133" s="39" t="n">
        <f aca="false">U133-T133*((Sheet1!H$18-Sheet1!H$19)*COS(RADIANS(38))+Sheet1!H$19)/2</f>
        <v>733.01816624568</v>
      </c>
      <c r="T133" s="37" t="n">
        <f aca="false">(X133-X$100)/(X$170-X$100)*(T$170-T$100)+T$100</f>
        <v>2.69481207083257</v>
      </c>
      <c r="U133" s="39" t="n">
        <f aca="false">(X133-X$125)/(X$140-X$125)*(U$140-U$125)+U$125</f>
        <v>739.960060098043</v>
      </c>
      <c r="V133" s="39" t="n">
        <f aca="false">8314.4621*U133/(Sheet1!H$20*Sheet1!H$12*9.80665)</f>
        <v>146863.309398806</v>
      </c>
      <c r="W133" s="39" t="n">
        <f aca="false">W132-LN(R133/R132)*(V132+V133)/2</f>
        <v>2197772.19698847</v>
      </c>
      <c r="X133" s="39" t="n">
        <f aca="false">Sheet1!H$10*10/Sheet1!H$11*1000*W133/(Sheet1!H$10*10/Sheet1!H$11*1000-W133)</f>
        <v>2282434.5742022</v>
      </c>
      <c r="Y133" s="37"/>
      <c r="Z133" s="39"/>
      <c r="AJ133" s="39"/>
      <c r="AS133" s="39"/>
    </row>
    <row r="134" customFormat="false" ht="14.4" hidden="false" customHeight="false" outlineLevel="0" collapsed="false">
      <c r="Q134" s="37" t="n">
        <f aca="false">Q133-0.1</f>
        <v>-4.39999999999999</v>
      </c>
      <c r="R134" s="40" t="n">
        <f aca="false">10^Q134</f>
        <v>3.98107170553508E-005</v>
      </c>
      <c r="S134" s="39" t="n">
        <f aca="false">U134-T134*((Sheet1!H$18-Sheet1!H$19)*COS(RADIANS(38))+Sheet1!H$19)/2</f>
        <v>740.674678730833</v>
      </c>
      <c r="T134" s="37" t="n">
        <f aca="false">(X134-X$100)/(X$170-X$100)*(T$170-T$100)+T$100</f>
        <v>2.72613129082923</v>
      </c>
      <c r="U134" s="39" t="n">
        <f aca="false">(X134-X$125)/(X$140-X$125)*(U$140-U$125)+U$125</f>
        <v>747.697251567497</v>
      </c>
      <c r="V134" s="39" t="n">
        <f aca="false">8314.4621*U134/(Sheet1!H$20*Sheet1!H$12*9.80665)</f>
        <v>148398.945720185</v>
      </c>
      <c r="W134" s="39" t="n">
        <f aca="false">W133-LN(R134/R133)*(V133+V134)/2</f>
        <v>2231765.52034651</v>
      </c>
      <c r="X134" s="39" t="n">
        <f aca="false">Sheet1!H$10*10/Sheet1!H$11*1000*W134/(Sheet1!H$10*10/Sheet1!H$11*1000-W134)</f>
        <v>2319119.17443919</v>
      </c>
      <c r="Y134" s="37"/>
      <c r="Z134" s="39"/>
      <c r="AJ134" s="39"/>
      <c r="AS134" s="39"/>
    </row>
    <row r="135" customFormat="false" ht="14.4" hidden="false" customHeight="false" outlineLevel="0" collapsed="false">
      <c r="Q135" s="37" t="n">
        <f aca="false">Q134-0.1</f>
        <v>-4.49999999999999</v>
      </c>
      <c r="R135" s="40" t="n">
        <f aca="false">10^Q135</f>
        <v>3.16227766016847E-005</v>
      </c>
      <c r="S135" s="39" t="n">
        <f aca="false">U135-T135*((Sheet1!H$18-Sheet1!H$19)*COS(RADIANS(38))+Sheet1!H$19)/2</f>
        <v>748.420576622566</v>
      </c>
      <c r="T135" s="37" t="n">
        <f aca="false">(X135-X$100)/(X$170-X$100)*(T$170-T$100)+T$100</f>
        <v>2.75781614495419</v>
      </c>
      <c r="U135" s="39" t="n">
        <f aca="false">(X135-X$125)/(X$140-X$125)*(U$140-U$125)+U$125</f>
        <v>755.524770324909</v>
      </c>
      <c r="V135" s="39" t="n">
        <f aca="false">8314.4621*U135/(Sheet1!H$20*Sheet1!H$12*9.80665)</f>
        <v>149952.509717872</v>
      </c>
      <c r="W135" s="39" t="n">
        <f aca="false">W134-LN(R135/R134)*(V134+V135)/2</f>
        <v>2266114.50103474</v>
      </c>
      <c r="X135" s="39" t="n">
        <f aca="false">Sheet1!H$10*10/Sheet1!H$11*1000*W135/(Sheet1!H$10*10/Sheet1!H$11*1000-W135)</f>
        <v>2356232.04657539</v>
      </c>
      <c r="Y135" s="37"/>
      <c r="Z135" s="39"/>
      <c r="AJ135" s="39"/>
      <c r="AS135" s="39"/>
    </row>
    <row r="136" customFormat="false" ht="14.4" hidden="false" customHeight="false" outlineLevel="0" collapsed="false">
      <c r="Q136" s="37" t="n">
        <f aca="false">Q135-0.1</f>
        <v>-4.59999999999999</v>
      </c>
      <c r="R136" s="40" t="n">
        <f aca="false">10^Q136</f>
        <v>2.51188643150965E-005</v>
      </c>
      <c r="S136" s="39" t="n">
        <f aca="false">U136-T136*((Sheet1!H$18-Sheet1!H$19)*COS(RADIANS(38))+Sheet1!H$19)/2</f>
        <v>756.257105865259</v>
      </c>
      <c r="T136" s="37" t="n">
        <f aca="false">(X136-X$100)/(X$170-X$100)*(T$170-T$100)+T$100</f>
        <v>2.78987172978879</v>
      </c>
      <c r="U136" s="39" t="n">
        <f aca="false">(X136-X$125)/(X$140-X$125)*(U$140-U$125)+U$125</f>
        <v>763.443875443562</v>
      </c>
      <c r="V136" s="39" t="n">
        <f aca="false">8314.4621*U136/(Sheet1!H$20*Sheet1!H$12*9.80665)</f>
        <v>151524.251285989</v>
      </c>
      <c r="W136" s="39" t="n">
        <f aca="false">W135-LN(R136/R135)*(V135+V136)/2</f>
        <v>2300823.29582332</v>
      </c>
      <c r="X136" s="39" t="n">
        <f aca="false">Sheet1!H$10*10/Sheet1!H$11*1000*W136/(Sheet1!H$10*10/Sheet1!H$11*1000-W136)</f>
        <v>2393779.16030127</v>
      </c>
      <c r="Y136" s="37"/>
      <c r="Z136" s="39"/>
      <c r="AJ136" s="39"/>
      <c r="AS136" s="39"/>
    </row>
    <row r="137" customFormat="false" ht="14.4" hidden="false" customHeight="false" outlineLevel="0" collapsed="false">
      <c r="Q137" s="37" t="n">
        <f aca="false">Q136-0.1</f>
        <v>-4.69999999999999</v>
      </c>
      <c r="R137" s="40" t="n">
        <f aca="false">10^Q137</f>
        <v>1.99526231496894E-005</v>
      </c>
      <c r="S137" s="39" t="n">
        <f aca="false">U137-T137*((Sheet1!H$18-Sheet1!H$19)*COS(RADIANS(38))+Sheet1!H$19)/2</f>
        <v>764.185534270558</v>
      </c>
      <c r="T137" s="37" t="n">
        <f aca="false">(X137-X$100)/(X$170-X$100)*(T$170-T$100)+T$100</f>
        <v>2.82230323136323</v>
      </c>
      <c r="U137" s="39" t="n">
        <f aca="false">(X137-X$125)/(X$140-X$125)*(U$140-U$125)+U$125</f>
        <v>771.455848094428</v>
      </c>
      <c r="V137" s="39" t="n">
        <f aca="false">8314.4621*U137/(Sheet1!H$20*Sheet1!H$12*9.80665)</f>
        <v>153114.424704488</v>
      </c>
      <c r="W137" s="39" t="n">
        <f aca="false">W136-LN(R137/R136)*(V136+V137)/2</f>
        <v>2335896.11952758</v>
      </c>
      <c r="X137" s="39" t="n">
        <f aca="false">Sheet1!H$10*10/Sheet1!H$11*1000*W137/(Sheet1!H$10*10/Sheet1!H$11*1000-W137)</f>
        <v>2431766.59007987</v>
      </c>
      <c r="Y137" s="37"/>
      <c r="Z137" s="39"/>
      <c r="AJ137" s="39"/>
      <c r="AS137" s="39"/>
    </row>
    <row r="138" customFormat="false" ht="14.4" hidden="false" customHeight="false" outlineLevel="0" collapsed="false">
      <c r="Q138" s="37" t="n">
        <f aca="false">Q137-0.1</f>
        <v>-4.79999999999999</v>
      </c>
      <c r="R138" s="40" t="n">
        <f aca="false">10^Q138</f>
        <v>1.58489319246116E-005</v>
      </c>
      <c r="S138" s="39" t="n">
        <f aca="false">U138-T138*((Sheet1!H$18-Sheet1!H$19)*COS(RADIANS(38))+Sheet1!H$19)/2</f>
        <v>772.207152003653</v>
      </c>
      <c r="T138" s="37" t="n">
        <f aca="false">(X138-X$100)/(X$170-X$100)*(T$170-T$100)+T$100</f>
        <v>2.85511592714572</v>
      </c>
      <c r="U138" s="39" t="n">
        <f aca="false">(X138-X$125)/(X$140-X$125)*(U$140-U$125)+U$125</f>
        <v>779.561992037568</v>
      </c>
      <c r="V138" s="39" t="n">
        <f aca="false">8314.4621*U138/(Sheet1!H$20*Sheet1!H$12*9.80665)</f>
        <v>154723.288736683</v>
      </c>
      <c r="W138" s="39" t="n">
        <f aca="false">W137-LN(R138/R137)*(V137+V138)/2</f>
        <v>2371337.24602913</v>
      </c>
      <c r="X138" s="39" t="n">
        <f aca="false">Sheet1!H$10*10/Sheet1!H$11*1000*W138/(Sheet1!H$10*10/Sheet1!H$11*1000-W138)</f>
        <v>2470200.51747675</v>
      </c>
      <c r="Y138" s="37"/>
      <c r="Z138" s="39"/>
      <c r="AJ138" s="39"/>
      <c r="AS138" s="39"/>
    </row>
    <row r="139" customFormat="false" ht="14.4" hidden="false" customHeight="false" outlineLevel="0" collapsed="false">
      <c r="Q139" s="37" t="n">
        <f aca="false">Q138-0.1</f>
        <v>-4.89999999999999</v>
      </c>
      <c r="R139" s="40" t="n">
        <f aca="false">10^Q139</f>
        <v>1.25892541179421E-005</v>
      </c>
      <c r="S139" s="39" t="n">
        <f aca="false">U139-T139*((Sheet1!H$18-Sheet1!H$19)*COS(RADIANS(38))+Sheet1!H$19)/2</f>
        <v>780.323271554473</v>
      </c>
      <c r="T139" s="37" t="n">
        <f aca="false">(X139-X$100)/(X$170-X$100)*(T$170-T$100)+T$100</f>
        <v>2.88831518807477</v>
      </c>
      <c r="U139" s="39" t="n">
        <f aca="false">(X139-X$125)/(X$140-X$125)*(U$140-U$125)+U$125</f>
        <v>787.763633598565</v>
      </c>
      <c r="V139" s="39" t="n">
        <f aca="false">8314.4621*U139/(Sheet1!H$20*Sheet1!H$12*9.80665)</f>
        <v>156351.106624572</v>
      </c>
      <c r="W139" s="39" t="n">
        <f aca="false">W138-LN(R139/R138)*(V138+V139)/2</f>
        <v>2407151.00930768</v>
      </c>
      <c r="X139" s="39" t="n">
        <f aca="false">Sheet1!H$10*10/Sheet1!H$11*1000*W139/(Sheet1!H$10*10/Sheet1!H$11*1000-W139)</f>
        <v>2509087.23354043</v>
      </c>
      <c r="Y139" s="37"/>
      <c r="Z139" s="39"/>
      <c r="AJ139" s="39"/>
      <c r="AS139" s="39"/>
    </row>
    <row r="140" customFormat="false" ht="14.4" hidden="false" customHeight="false" outlineLevel="0" collapsed="false">
      <c r="Q140" s="37" t="n">
        <f aca="false">Q139-0.1</f>
        <v>-4.99999999999999</v>
      </c>
      <c r="R140" s="40" t="n">
        <f aca="false">10^Q140</f>
        <v>1.00000000000003E-005</v>
      </c>
      <c r="S140" s="39" t="n">
        <f aca="false">U140-T140*((Sheet1!H$18-Sheet1!H$19)*COS(RADIANS(38))+Sheet1!H$19)/2</f>
        <v>788.535177162652</v>
      </c>
      <c r="T140" s="37" t="n">
        <f aca="false">(X140-X$100)/(X$170-X$100)*(T$170-T$100)+T$100</f>
        <v>2.92190647955209</v>
      </c>
      <c r="U140" s="39" t="n">
        <f aca="false">570/610*(U$170-U$54)+U$54</f>
        <v>796.062071096044</v>
      </c>
      <c r="V140" s="39" t="n">
        <f aca="false">8314.4621*U140/(Sheet1!H$20*Sheet1!H$12*9.80665)</f>
        <v>157998.136051481</v>
      </c>
      <c r="W140" s="39" t="n">
        <f aca="false">W139-LN(R140/R139)*(V139+V140)/2</f>
        <v>2443341.80331667</v>
      </c>
      <c r="X140" s="39" t="n">
        <f aca="false">Sheet1!H$10*10/Sheet1!H$11*1000*W140/(Sheet1!H$10*10/Sheet1!H$11*1000-W140)</f>
        <v>2548433.13996534</v>
      </c>
      <c r="Y140" s="37" t="n">
        <f aca="false">IF(Q140&lt;LOG(Sheet1!H$17*101325),Q140,IF(Q155&lt;LOG(Sheet1!H$17*101325),LOG(Sheet1!H$17*101325),0))</f>
        <v>-4.99999999999999</v>
      </c>
      <c r="Z140" s="39" t="n">
        <f aca="false">IF(Y140=LOG(Sheet1!H$17*101325),(LOG(Sheet1!H$17*101325)-Q155)/(Q140-Q155)*(S140-S155)+S155,IF(Y140=0,0,S140))</f>
        <v>788.535177162652</v>
      </c>
      <c r="AA140" s="39" t="n">
        <f aca="false">IF(Y140=LOG(Sheet1!H$17*101325),(LOG(Sheet1!H$17*101325)-Q150)/(Q140-Q150)*(X140-X150)+X150,IF(Y140=0,0,X140))</f>
        <v>2548433.13996534</v>
      </c>
      <c r="AB140" s="32" t="n">
        <f aca="false">IF(Y140=0,0,AB125+1)</f>
        <v>10</v>
      </c>
      <c r="AJ140" s="39"/>
      <c r="AS140" s="39"/>
    </row>
    <row r="141" customFormat="false" ht="14.4" hidden="false" customHeight="false" outlineLevel="0" collapsed="false">
      <c r="Q141" s="37" t="n">
        <f aca="false">Q140-0.1</f>
        <v>-5.09999999999999</v>
      </c>
      <c r="R141" s="40" t="n">
        <f aca="false">10^Q141</f>
        <v>7.94328234724308E-006</v>
      </c>
      <c r="S141" s="39" t="n">
        <f aca="false">U141-T141*((Sheet1!H$18-Sheet1!H$19)*COS(RADIANS(38))+Sheet1!H$19)/2</f>
        <v>791.317785874034</v>
      </c>
      <c r="T141" s="37" t="n">
        <f aca="false">(X141-X$100)/(X$170-X$100)*(T$170-T$100)+T$100</f>
        <v>2.95577792150461</v>
      </c>
      <c r="U141" s="39" t="n">
        <f aca="false">(X141-X$140)/(X$155-X$140)*(U$155-U$140)+U$140</f>
        <v>798.931933370376</v>
      </c>
      <c r="V141" s="39" t="n">
        <f aca="false">8314.4621*U141/(Sheet1!H$20*Sheet1!H$12*9.80665)</f>
        <v>158567.730944307</v>
      </c>
      <c r="W141" s="39" t="n">
        <f aca="false">W140-LN(R141/R140)*(V140+V141)/2</f>
        <v>2479787.79563143</v>
      </c>
      <c r="X141" s="39" t="n">
        <f aca="false">Sheet1!H$10*10/Sheet1!H$11*1000*W141/(Sheet1!H$10*10/Sheet1!H$11*1000-W141)</f>
        <v>2588107.19020067</v>
      </c>
      <c r="Y141" s="37"/>
      <c r="Z141" s="39"/>
      <c r="AJ141" s="39"/>
      <c r="AS141" s="39"/>
    </row>
    <row r="142" customFormat="false" ht="14.4" hidden="false" customHeight="false" outlineLevel="0" collapsed="false">
      <c r="Q142" s="37" t="n">
        <f aca="false">Q141-0.1</f>
        <v>-5.19999999999999</v>
      </c>
      <c r="R142" s="40" t="n">
        <f aca="false">10^Q142</f>
        <v>6.30957344480215E-006</v>
      </c>
      <c r="S142" s="39" t="n">
        <f aca="false">U142-T142*((Sheet1!H$18-Sheet1!H$19)*COS(RADIANS(38))+Sheet1!H$19)/2</f>
        <v>794.114100670991</v>
      </c>
      <c r="T142" s="37" t="n">
        <f aca="false">(X142-X$100)/(X$170-X$100)*(T$170-T$100)+T$100</f>
        <v>2.98981530685697</v>
      </c>
      <c r="U142" s="39" t="n">
        <f aca="false">(X142-X$140)/(X$155-X$140)*(U$155-U$140)+U$140</f>
        <v>801.81592920405</v>
      </c>
      <c r="V142" s="39" t="n">
        <f aca="false">8314.4621*U142/(Sheet1!H$20*Sheet1!H$12*9.80665)</f>
        <v>159140.13099029</v>
      </c>
      <c r="W142" s="39" t="n">
        <f aca="false">W141-LN(R142/R141)*(V141+V142)/2</f>
        <v>2516365.26497231</v>
      </c>
      <c r="X142" s="39" t="n">
        <f aca="false">Sheet1!H$10*10/Sheet1!H$11*1000*W142/(Sheet1!H$10*10/Sheet1!H$11*1000-W142)</f>
        <v>2627975.61204823</v>
      </c>
      <c r="Y142" s="37"/>
      <c r="Z142" s="39"/>
      <c r="AJ142" s="39"/>
      <c r="AS142" s="39"/>
    </row>
    <row r="143" customFormat="false" ht="14.4" hidden="false" customHeight="false" outlineLevel="0" collapsed="false">
      <c r="Q143" s="37" t="n">
        <f aca="false">Q142-0.1</f>
        <v>-5.29999999999999</v>
      </c>
      <c r="R143" s="40" t="n">
        <f aca="false">10^Q143</f>
        <v>5.0118723362729E-006</v>
      </c>
      <c r="S143" s="39" t="n">
        <f aca="false">U143-T143*((Sheet1!H$18-Sheet1!H$19)*COS(RADIANS(38))+Sheet1!H$19)/2</f>
        <v>796.924106945255</v>
      </c>
      <c r="T143" s="37" t="n">
        <f aca="false">(X143-X$100)/(X$170-X$100)*(T$170-T$100)+T$100</f>
        <v>3.02401979554377</v>
      </c>
      <c r="U143" s="39" t="n">
        <f aca="false">(X143-X$140)/(X$155-X$140)*(U$155-U$140)+U$140</f>
        <v>804.714046976815</v>
      </c>
      <c r="V143" s="39" t="n">
        <f aca="false">8314.4621*U143/(Sheet1!H$20*Sheet1!H$12*9.80665)</f>
        <v>159715.333883105</v>
      </c>
      <c r="W143" s="39" t="n">
        <f aca="false">W142-LN(R143/R142)*(V142+V143)/2</f>
        <v>2553074.85698417</v>
      </c>
      <c r="X143" s="39" t="n">
        <f aca="false">Sheet1!H$10*10/Sheet1!H$11*1000*W143/(Sheet1!H$10*10/Sheet1!H$11*1000-W143)</f>
        <v>2668039.76415419</v>
      </c>
      <c r="Y143" s="37"/>
      <c r="Z143" s="39"/>
      <c r="AJ143" s="39"/>
      <c r="AS143" s="39"/>
    </row>
    <row r="144" customFormat="false" ht="14.4" hidden="false" customHeight="false" outlineLevel="0" collapsed="false">
      <c r="Q144" s="37" t="n">
        <f aca="false">Q143-0.1</f>
        <v>-5.39999999999998</v>
      </c>
      <c r="R144" s="40" t="n">
        <f aca="false">10^Q144</f>
        <v>3.98107170553512E-006</v>
      </c>
      <c r="S144" s="39" t="n">
        <f aca="false">U144-T144*((Sheet1!H$18-Sheet1!H$19)*COS(RADIANS(38))+Sheet1!H$19)/2</f>
        <v>799.747937394988</v>
      </c>
      <c r="T144" s="37" t="n">
        <f aca="false">(X144-X$100)/(X$170-X$100)*(T$170-T$100)+T$100</f>
        <v>3.05839255704061</v>
      </c>
      <c r="U144" s="39" t="n">
        <f aca="false">(X144-X$140)/(X$155-X$140)*(U$155-U$140)+U$140</f>
        <v>807.626422399426</v>
      </c>
      <c r="V144" s="39" t="n">
        <f aca="false">8314.4621*U144/(Sheet1!H$20*Sheet1!H$12*9.80665)</f>
        <v>160293.366557895</v>
      </c>
      <c r="W144" s="39" t="n">
        <f aca="false">W143-LN(R144/R143)*(V143+V144)/2</f>
        <v>2589917.22014736</v>
      </c>
      <c r="X144" s="39" t="n">
        <f aca="false">Sheet1!H$10*10/Sheet1!H$11*1000*W144/(Sheet1!H$10*10/Sheet1!H$11*1000-W144)</f>
        <v>2708301.01634016</v>
      </c>
      <c r="Y144" s="37"/>
      <c r="Z144" s="39"/>
      <c r="AJ144" s="39"/>
      <c r="AS144" s="39"/>
    </row>
    <row r="145" customFormat="false" ht="14.4" hidden="false" customHeight="false" outlineLevel="0" collapsed="false">
      <c r="Q145" s="37" t="n">
        <f aca="false">Q144-0.1</f>
        <v>-5.49999999999998</v>
      </c>
      <c r="R145" s="40" t="n">
        <f aca="false">10^Q145</f>
        <v>3.1622776601685E-006</v>
      </c>
      <c r="S145" s="39" t="n">
        <f aca="false">U145-T145*((Sheet1!H$18-Sheet1!H$19)*COS(RADIANS(38))+Sheet1!H$19)/2</f>
        <v>802.585689083423</v>
      </c>
      <c r="T145" s="37" t="n">
        <f aca="false">(X145-X$100)/(X$170-X$100)*(T$170-T$100)+T$100</f>
        <v>3.09293477283663</v>
      </c>
      <c r="U145" s="39" t="n">
        <f aca="false">(X145-X$140)/(X$155-X$140)*(U$155-U$140)+U$140</f>
        <v>810.553155578659</v>
      </c>
      <c r="V145" s="39" t="n">
        <f aca="false">8314.4621*U145/(Sheet1!H$20*Sheet1!H$12*9.80665)</f>
        <v>160874.248883317</v>
      </c>
      <c r="W145" s="39" t="n">
        <f aca="false">W144-LN(R145/R144)*(V144+V145)/2</f>
        <v>2626893.00833073</v>
      </c>
      <c r="X145" s="39" t="n">
        <f aca="false">Sheet1!H$10*10/Sheet1!H$11*1000*W145/(Sheet1!H$10*10/Sheet1!H$11*1000-W145)</f>
        <v>2748760.75249936</v>
      </c>
      <c r="Y145" s="37"/>
      <c r="Z145" s="39"/>
      <c r="AJ145" s="39"/>
      <c r="AS145" s="39"/>
    </row>
    <row r="146" customFormat="false" ht="14.4" hidden="false" customHeight="false" outlineLevel="0" collapsed="false">
      <c r="Q146" s="37" t="n">
        <f aca="false">Q145-0.1</f>
        <v>-5.59999999999998</v>
      </c>
      <c r="R146" s="40" t="n">
        <f aca="false">10^Q146</f>
        <v>2.51188643150967E-006</v>
      </c>
      <c r="S146" s="39" t="n">
        <f aca="false">U146-T146*((Sheet1!H$18-Sheet1!H$19)*COS(RADIANS(38))+Sheet1!H$19)/2</f>
        <v>805.437388788459</v>
      </c>
      <c r="T146" s="37" t="n">
        <f aca="false">(X146-X$100)/(X$170-X$100)*(T$170-T$100)+T$100</f>
        <v>3.12764763427304</v>
      </c>
      <c r="U146" s="39" t="n">
        <f aca="false">(X146-X$140)/(X$155-X$140)*(U$155-U$140)+U$140</f>
        <v>813.494276361331</v>
      </c>
      <c r="V146" s="39" t="n">
        <f aca="false">8314.4621*U146/(Sheet1!H$20*Sheet1!H$12*9.80665)</f>
        <v>161457.986783208</v>
      </c>
      <c r="W146" s="39" t="n">
        <f aca="false">W145-LN(R146/R145)*(V145+V146)/2</f>
        <v>2664002.87837259</v>
      </c>
      <c r="X146" s="39" t="n">
        <f aca="false">Sheet1!H$10*10/Sheet1!H$11*1000*W146/(Sheet1!H$10*10/Sheet1!H$11*1000-W146)</f>
        <v>2789420.3680649</v>
      </c>
      <c r="Y146" s="37"/>
      <c r="Z146" s="39"/>
      <c r="AJ146" s="39"/>
      <c r="AS146" s="39"/>
    </row>
    <row r="147" customFormat="false" ht="14.4" hidden="false" customHeight="false" outlineLevel="0" collapsed="false">
      <c r="Q147" s="37" t="n">
        <f aca="false">Q146-0.1</f>
        <v>-5.69999999999998</v>
      </c>
      <c r="R147" s="40" t="n">
        <f aca="false">10^Q147</f>
        <v>1.99526231496896E-006</v>
      </c>
      <c r="S147" s="39" t="n">
        <f aca="false">U147-T147*((Sheet1!H$18-Sheet1!H$19)*COS(RADIANS(38))+Sheet1!H$19)/2</f>
        <v>808.303265567069</v>
      </c>
      <c r="T147" s="37" t="n">
        <f aca="false">(X147-X$100)/(X$170-X$100)*(T$170-T$100)+T$100</f>
        <v>3.16253234546042</v>
      </c>
      <c r="U147" s="39" t="n">
        <f aca="false">(X147-X$140)/(X$155-X$140)*(U$155-U$140)+U$140</f>
        <v>816.450016906234</v>
      </c>
      <c r="V147" s="39" t="n">
        <f aca="false">8314.4621*U147/(Sheet1!H$20*Sheet1!H$12*9.80665)</f>
        <v>162044.626335201</v>
      </c>
      <c r="W147" s="39" t="n">
        <f aca="false">W146-LN(R147/R146)*(V146+V147)/2</f>
        <v>2701247.49309814</v>
      </c>
      <c r="X147" s="39" t="n">
        <f aca="false">Sheet1!H$10*10/Sheet1!H$11*1000*W147/(Sheet1!H$10*10/Sheet1!H$11*1000-W147)</f>
        <v>2830281.27342679</v>
      </c>
      <c r="Y147" s="37"/>
      <c r="Z147" s="39"/>
      <c r="AJ147" s="39"/>
      <c r="AS147" s="39"/>
    </row>
    <row r="148" customFormat="false" ht="14.4" hidden="false" customHeight="false" outlineLevel="0" collapsed="false">
      <c r="Q148" s="37" t="n">
        <f aca="false">Q147-0.1</f>
        <v>-5.79999999999998</v>
      </c>
      <c r="R148" s="40" t="n">
        <f aca="false">10^Q148</f>
        <v>1.58489319246118E-006</v>
      </c>
      <c r="S148" s="39" t="n">
        <f aca="false">U148-T148*((Sheet1!H$18-Sheet1!H$19)*COS(RADIANS(38))+Sheet1!H$19)/2</f>
        <v>811.183360310596</v>
      </c>
      <c r="T148" s="37" t="n">
        <f aca="false">(X148-X$100)/(X$170-X$100)*(T$170-T$100)+T$100</f>
        <v>3.19759012369188</v>
      </c>
      <c r="U148" s="39" t="n">
        <f aca="false">(X148-X$140)/(X$155-X$140)*(U$155-U$140)+U$140</f>
        <v>819.420421240479</v>
      </c>
      <c r="V148" s="39" t="n">
        <f aca="false">8314.4621*U148/(Sheet1!H$20*Sheet1!H$12*9.80665)</f>
        <v>162634.176277562</v>
      </c>
      <c r="W148" s="39" t="n">
        <f aca="false">W147-LN(R148/R147)*(V147+V148)/2</f>
        <v>2738627.52164351</v>
      </c>
      <c r="X148" s="39" t="n">
        <f aca="false">Sheet1!H$10*10/Sheet1!H$11*1000*W148/(Sheet1!H$10*10/Sheet1!H$11*1000-W148)</f>
        <v>2871344.89441593</v>
      </c>
      <c r="Y148" s="37"/>
      <c r="Z148" s="39"/>
      <c r="AJ148" s="39"/>
      <c r="AS148" s="39"/>
    </row>
    <row r="149" customFormat="false" ht="14.4" hidden="false" customHeight="false" outlineLevel="0" collapsed="false">
      <c r="Q149" s="37" t="n">
        <f aca="false">Q148-0.1</f>
        <v>-5.89999999999998</v>
      </c>
      <c r="R149" s="40" t="n">
        <f aca="false">10^Q149</f>
        <v>1.25892541179422E-006</v>
      </c>
      <c r="S149" s="39" t="n">
        <f aca="false">U149-T149*((Sheet1!H$18-Sheet1!H$19)*COS(RADIANS(38))+Sheet1!H$19)/2</f>
        <v>814.077818642473</v>
      </c>
      <c r="T149" s="37" t="n">
        <f aca="false">(X149-X$100)/(X$170-X$100)*(T$170-T$100)+T$100</f>
        <v>3.23282219776531</v>
      </c>
      <c r="U149" s="39" t="n">
        <f aca="false">(X149-X$140)/(X$155-X$140)*(U$155-U$140)+U$140</f>
        <v>822.405638152913</v>
      </c>
      <c r="V149" s="39" t="n">
        <f aca="false">8314.4621*U149/(Sheet1!H$20*Sheet1!H$12*9.80665)</f>
        <v>163226.666141103</v>
      </c>
      <c r="W149" s="39" t="n">
        <f aca="false">W148-LN(R149/R148)*(V148+V149)/2</f>
        <v>2776143.63755069</v>
      </c>
      <c r="X149" s="39" t="n">
        <f aca="false">Sheet1!H$10*10/Sheet1!H$11*1000*W149/(Sheet1!H$10*10/Sheet1!H$11*1000-W149)</f>
        <v>2912612.6703389</v>
      </c>
      <c r="Y149" s="37"/>
      <c r="Z149" s="39"/>
      <c r="AJ149" s="39"/>
      <c r="AS149" s="39"/>
    </row>
    <row r="150" customFormat="false" ht="14.4" hidden="false" customHeight="false" outlineLevel="0" collapsed="false">
      <c r="Q150" s="37" t="n">
        <f aca="false">Q149-0.1</f>
        <v>-5.99999999999998</v>
      </c>
      <c r="R150" s="40" t="n">
        <f aca="false">10^Q150</f>
        <v>1.00000000000004E-006</v>
      </c>
      <c r="S150" s="39" t="n">
        <f aca="false">U150-T150*((Sheet1!H$18-Sheet1!H$19)*COS(RADIANS(38))+Sheet1!H$19)/2</f>
        <v>816.986657934996</v>
      </c>
      <c r="T150" s="37" t="n">
        <f aca="false">(X150-X$100)/(X$170-X$100)*(T$170-T$100)+T$100</f>
        <v>3.26822980758103</v>
      </c>
      <c r="U150" s="39" t="n">
        <f aca="false">(X150-X$140)/(X$155-X$140)*(U$155-U$140)+U$140</f>
        <v>825.405688209841</v>
      </c>
      <c r="V150" s="39" t="n">
        <f aca="false">8314.4621*U150/(Sheet1!H$20*Sheet1!H$12*9.80665)</f>
        <v>163822.100007715</v>
      </c>
      <c r="W150" s="39" t="n">
        <f aca="false">W149-LN(R150/R149)*(V149+V150)/2</f>
        <v>2813796.51823151</v>
      </c>
      <c r="X150" s="39" t="n">
        <f aca="false">Sheet1!H$10*10/Sheet1!H$11*1000*W150/(Sheet1!H$10*10/Sheet1!H$11*1000-W150)</f>
        <v>2954086.05350666</v>
      </c>
      <c r="Y150" s="37"/>
      <c r="Z150" s="39"/>
      <c r="AJ150" s="39"/>
      <c r="AS150" s="39"/>
    </row>
    <row r="151" customFormat="false" ht="14.4" hidden="false" customHeight="false" outlineLevel="0" collapsed="false">
      <c r="Q151" s="37" t="n">
        <f aca="false">Q150-0.1</f>
        <v>-6.09999999999998</v>
      </c>
      <c r="R151" s="40" t="n">
        <f aca="false">10^Q151</f>
        <v>7.94328234724315E-007</v>
      </c>
      <c r="S151" s="39" t="n">
        <f aca="false">U151-T151*((Sheet1!H$18-Sheet1!H$19)*COS(RADIANS(38))+Sheet1!H$19)/2</f>
        <v>819.91002077255</v>
      </c>
      <c r="T151" s="37" t="n">
        <f aca="false">(X151-X$100)/(X$170-X$100)*(T$170-T$100)+T$100</f>
        <v>3.30381420417757</v>
      </c>
      <c r="U151" s="39" t="n">
        <f aca="false">(X151-X$140)/(X$155-X$140)*(U$155-U$140)+U$140</f>
        <v>828.420717218348</v>
      </c>
      <c r="V151" s="39" t="n">
        <f aca="false">8314.4621*U151/(Sheet1!H$20*Sheet1!H$12*9.80665)</f>
        <v>164420.506816407</v>
      </c>
      <c r="W151" s="39" t="n">
        <f aca="false">W150-LN(R151/R150)*(V150+V151)/2</f>
        <v>2851586.84489945</v>
      </c>
      <c r="X151" s="39" t="n">
        <f aca="false">Sheet1!H$10*10/Sheet1!H$11*1000*W151/(Sheet1!H$10*10/Sheet1!H$11*1000-W151)</f>
        <v>2995766.50927656</v>
      </c>
      <c r="Y151" s="37"/>
      <c r="Z151" s="39"/>
      <c r="AJ151" s="39"/>
      <c r="AS151" s="39"/>
    </row>
    <row r="152" customFormat="false" ht="14.4" hidden="false" customHeight="false" outlineLevel="0" collapsed="false">
      <c r="Q152" s="37" t="n">
        <f aca="false">Q151-0.1</f>
        <v>-6.19999999999998</v>
      </c>
      <c r="R152" s="40" t="n">
        <f aca="false">10^Q152</f>
        <v>6.3095734448022E-007</v>
      </c>
      <c r="S152" s="39" t="n">
        <f aca="false">U152-T152*((Sheet1!H$18-Sheet1!H$19)*COS(RADIANS(38))+Sheet1!H$19)/2</f>
        <v>822.848011008182</v>
      </c>
      <c r="T152" s="37" t="n">
        <f aca="false">(X152-X$100)/(X$170-X$100)*(T$170-T$100)+T$100</f>
        <v>3.33957665169841</v>
      </c>
      <c r="U152" s="39" t="n">
        <f aca="false">(X152-X$140)/(X$155-X$140)*(U$155-U$140)+U$140</f>
        <v>831.450832287945</v>
      </c>
      <c r="V152" s="39" t="n">
        <f aca="false">8314.4621*U152/(Sheet1!H$20*Sheet1!H$12*9.80665)</f>
        <v>165021.907825701</v>
      </c>
      <c r="W152" s="39" t="n">
        <f aca="false">W151-LN(R152/R151)*(V151+V152)/2</f>
        <v>2889515.30454719</v>
      </c>
      <c r="X152" s="39" t="n">
        <f aca="false">Sheet1!H$10*10/Sheet1!H$11*1000*W152/(Sheet1!H$10*10/Sheet1!H$11*1000-W152)</f>
        <v>3037655.51835593</v>
      </c>
      <c r="Y152" s="37"/>
      <c r="Z152" s="39"/>
      <c r="AJ152" s="39"/>
      <c r="AS152" s="39"/>
    </row>
    <row r="153" customFormat="false" ht="14.4" hidden="false" customHeight="false" outlineLevel="0" collapsed="false">
      <c r="Q153" s="37" t="n">
        <f aca="false">Q152-0.1</f>
        <v>-6.29999999999998</v>
      </c>
      <c r="R153" s="40" t="n">
        <f aca="false">10^Q153</f>
        <v>5.01187233627294E-007</v>
      </c>
      <c r="S153" s="39" t="n">
        <f aca="false">U153-T153*((Sheet1!H$18-Sheet1!H$19)*COS(RADIANS(38))+Sheet1!H$19)/2</f>
        <v>825.800733514214</v>
      </c>
      <c r="T153" s="37" t="n">
        <f aca="false">(X153-X$100)/(X$170-X$100)*(T$170-T$100)+T$100</f>
        <v>3.37551842669406</v>
      </c>
      <c r="U153" s="39" t="n">
        <f aca="false">(X153-X$140)/(X$155-X$140)*(U$155-U$140)+U$140</f>
        <v>834.496141579373</v>
      </c>
      <c r="V153" s="39" t="n">
        <f aca="false">8314.4621*U153/(Sheet1!H$20*Sheet1!H$12*9.80665)</f>
        <v>165626.324502761</v>
      </c>
      <c r="W153" s="39" t="n">
        <f aca="false">W152-LN(R153/R152)*(V152+V153)/2</f>
        <v>2927582.58908641</v>
      </c>
      <c r="X153" s="39" t="n">
        <f aca="false">Sheet1!H$10*10/Sheet1!H$11*1000*W153/(Sheet1!H$10*10/Sheet1!H$11*1000-W153)</f>
        <v>3079754.57598456</v>
      </c>
      <c r="Y153" s="37"/>
      <c r="Z153" s="39"/>
      <c r="AJ153" s="39"/>
      <c r="AS153" s="39"/>
    </row>
    <row r="154" customFormat="false" ht="14.4" hidden="false" customHeight="false" outlineLevel="0" collapsed="false">
      <c r="Q154" s="37" t="n">
        <f aca="false">Q153-0.1</f>
        <v>-6.39999999999998</v>
      </c>
      <c r="R154" s="40" t="n">
        <f aca="false">10^Q154</f>
        <v>3.98107170553515E-007</v>
      </c>
      <c r="S154" s="39" t="n">
        <f aca="false">U154-T154*((Sheet1!H$18-Sheet1!H$19)*COS(RADIANS(38))+Sheet1!H$19)/2</f>
        <v>828.76829292011</v>
      </c>
      <c r="T154" s="37" t="n">
        <f aca="false">(X154-X$100)/(X$170-X$100)*(T$170-T$100)+T$100</f>
        <v>3.41164081825098</v>
      </c>
      <c r="U154" s="39" t="n">
        <f aca="false">(X154-X$140)/(X$155-X$140)*(U$155-U$140)+U$140</f>
        <v>837.556753042811</v>
      </c>
      <c r="V154" s="39" t="n">
        <f aca="false">8314.4621*U154/(Sheet1!H$20*Sheet1!H$12*9.80665)</f>
        <v>166233.778272962</v>
      </c>
      <c r="W154" s="39" t="n">
        <f aca="false">W153-LN(R154/R153)*(V153+V154)/2</f>
        <v>2965789.39536695</v>
      </c>
      <c r="X154" s="39" t="n">
        <f aca="false">Sheet1!H$10*10/Sheet1!H$11*1000*W154/(Sheet1!H$10*10/Sheet1!H$11*1000-W154)</f>
        <v>3122065.19208583</v>
      </c>
      <c r="Y154" s="37"/>
      <c r="Z154" s="39"/>
      <c r="AJ154" s="39"/>
      <c r="AS154" s="39"/>
    </row>
    <row r="155" customFormat="false" ht="14.4" hidden="false" customHeight="false" outlineLevel="0" collapsed="false">
      <c r="Q155" s="37" t="n">
        <f aca="false">Q154-0.1</f>
        <v>-6.49999999999998</v>
      </c>
      <c r="R155" s="40" t="n">
        <f aca="false">10^Q155</f>
        <v>3.16227766016852E-007</v>
      </c>
      <c r="S155" s="39" t="n">
        <f aca="false">U155-T155*((Sheet1!H$18-Sheet1!H$19)*COS(RADIANS(38))+Sheet1!H$19)/2</f>
        <v>831.751132210469</v>
      </c>
      <c r="T155" s="37" t="n">
        <f aca="false">(X155-X$100)/(X$170-X$100)*(T$170-T$100)+T$100</f>
        <v>3.44782265671806</v>
      </c>
      <c r="U155" s="39" t="n">
        <f aca="false">150*LOG(Sheet1!H15)+530</f>
        <v>840.632797527232</v>
      </c>
      <c r="V155" s="39" t="n">
        <f aca="false">8314.4621*U155/(Sheet1!H$20*Sheet1!H$12*9.80665)</f>
        <v>166844.295106506</v>
      </c>
      <c r="W155" s="39" t="n">
        <f aca="false">W154-LN(R155/R154)*(V154+V155)/2</f>
        <v>3004136.42569529</v>
      </c>
      <c r="X155" s="39" t="n">
        <f aca="false">Sheet1!H$10*10/Sheet1!H$11*1000*W155/(Sheet1!H$10*10/Sheet1!H$11*1000-W155)</f>
        <v>3164588.89197358</v>
      </c>
      <c r="Y155" s="37" t="n">
        <f aca="false">IF(Q155&lt;LOG(Sheet1!H$17*101325),Q155,IF(Q170&lt;LOG(Sheet1!H$17*101325),LOG(Sheet1!H$17*101325),0))</f>
        <v>-6.49999999999998</v>
      </c>
      <c r="Z155" s="39" t="n">
        <f aca="false">IF(Y155=LOG(Sheet1!H$17*101325),(LOG(Sheet1!H$17*101325)-Q170)/(Q155-Q170)*(S155-S170)+S170,IF(Y155=0,0,S155))</f>
        <v>831.751132210469</v>
      </c>
      <c r="AA155" s="39" t="n">
        <f aca="false">IF(Y155=LOG(Sheet1!H$17*101325),(LOG(Sheet1!H$17*101325)-Q165)/(Q155-Q165)*(X155-X165)+X165,IF(Y155=0,0,X155))</f>
        <v>3164588.89197358</v>
      </c>
      <c r="AB155" s="32" t="n">
        <f aca="false">IF(Y155=0,0,AB140+1)</f>
        <v>11</v>
      </c>
      <c r="AJ155" s="39"/>
      <c r="AS155" s="39"/>
    </row>
    <row r="156" customFormat="false" ht="14.4" hidden="false" customHeight="false" outlineLevel="0" collapsed="false">
      <c r="A156" s="31" t="s">
        <v>139</v>
      </c>
      <c r="Q156" s="37" t="n">
        <f aca="false">Q155-0.1</f>
        <v>-6.59999999999998</v>
      </c>
      <c r="R156" s="40" t="n">
        <f aca="false">10^Q156</f>
        <v>2.5118864315097E-007</v>
      </c>
      <c r="S156" s="39" t="n">
        <f aca="false">U156-T156*((Sheet1!H$18-Sheet1!H$19)*COS(RADIANS(38))+Sheet1!H$19)/2</f>
        <v>831.750831100107</v>
      </c>
      <c r="T156" s="37" t="n">
        <f aca="false">(X156-X$100)/(X$170-X$100)*(T$170-T$100)+T$100</f>
        <v>3.48436768987433</v>
      </c>
      <c r="U156" s="39" t="n">
        <f aca="false">(X156-X$155)/(X$170-X$155)*(U$170-U$155)+U$155</f>
        <v>840.726637208263</v>
      </c>
      <c r="V156" s="39" t="n">
        <f aca="false">8314.4621*U156/(Sheet1!H$20*Sheet1!H$12*9.80665)</f>
        <v>166862.919903778</v>
      </c>
      <c r="W156" s="39" t="n">
        <f aca="false">W155-LN(R156/R155)*(V155+V156)/2</f>
        <v>3042555.88863065</v>
      </c>
      <c r="X156" s="39" t="n">
        <f aca="false">Sheet1!H$10*10/Sheet1!H$11*1000*W156/(Sheet1!H$10*10/Sheet1!H$11*1000-W156)</f>
        <v>3207251.10068362</v>
      </c>
      <c r="Y156" s="37"/>
      <c r="Z156" s="39"/>
      <c r="AJ156" s="39"/>
      <c r="AS156" s="39"/>
    </row>
    <row r="157" customFormat="false" ht="14.4" hidden="false" customHeight="false" outlineLevel="0" collapsed="false">
      <c r="Q157" s="37" t="n">
        <f aca="false">Q156-0.1</f>
        <v>-6.69999999999998</v>
      </c>
      <c r="R157" s="40" t="n">
        <f aca="false">10^Q157</f>
        <v>1.99526231496897E-007</v>
      </c>
      <c r="S157" s="39" t="n">
        <f aca="false">U157-T157*((Sheet1!H$18-Sheet1!H$19)*COS(RADIANS(38))+Sheet1!H$19)/2</f>
        <v>831.750845504791</v>
      </c>
      <c r="T157" s="37" t="n">
        <f aca="false">(X157-X$100)/(X$170-X$100)*(T$170-T$100)+T$100</f>
        <v>3.52084415373484</v>
      </c>
      <c r="U157" s="39" t="n">
        <f aca="false">(X157-X$155)/(X$170-X$155)*(U$170-U$155)+U$155</f>
        <v>840.820615768359</v>
      </c>
      <c r="V157" s="39" t="n">
        <f aca="false">8314.4621*U157/(Sheet1!H$20*Sheet1!H$12*9.80665)</f>
        <v>166881.572265024</v>
      </c>
      <c r="W157" s="39" t="n">
        <f aca="false">W156-LN(R157/R156)*(V156+V157)/2</f>
        <v>3080979.64325749</v>
      </c>
      <c r="X157" s="39" t="n">
        <f aca="false">Sheet1!H$10*10/Sheet1!H$11*1000*W157/(Sheet1!H$10*10/Sheet1!H$11*1000-W157)</f>
        <v>3249976.44617194</v>
      </c>
      <c r="Y157" s="37"/>
      <c r="Z157" s="39"/>
      <c r="AJ157" s="39"/>
      <c r="AS157" s="39"/>
    </row>
    <row r="158" customFormat="false" ht="14.4" hidden="false" customHeight="false" outlineLevel="0" collapsed="false">
      <c r="Q158" s="37" t="n">
        <f aca="false">Q157-0.1</f>
        <v>-6.79999999999998</v>
      </c>
      <c r="R158" s="40" t="n">
        <f aca="false">10^Q158</f>
        <v>1.58489319246119E-007</v>
      </c>
      <c r="S158" s="39" t="n">
        <f aca="false">U158-T158*((Sheet1!H$18-Sheet1!H$19)*COS(RADIANS(38))+Sheet1!H$19)/2</f>
        <v>831.750768876108</v>
      </c>
      <c r="T158" s="37" t="n">
        <f aca="false">(X158-X$100)/(X$170-X$100)*(T$170-T$100)+T$100</f>
        <v>3.55737464330384</v>
      </c>
      <c r="U158" s="39" t="n">
        <f aca="false">(X158-X$155)/(X$170-X$155)*(U$170-U$155)+U$155</f>
        <v>840.914642466475</v>
      </c>
      <c r="V158" s="39" t="n">
        <f aca="false">8314.4621*U158/(Sheet1!H$20*Sheet1!H$12*9.80665)</f>
        <v>166900.234180446</v>
      </c>
      <c r="W158" s="39" t="n">
        <f aca="false">W157-LN(R158/R157)*(V157+V158)/2</f>
        <v>3119407.69384918</v>
      </c>
      <c r="X158" s="39" t="n">
        <f aca="false">Sheet1!H$10*10/Sheet1!H$11*1000*W158/(Sheet1!H$10*10/Sheet1!H$11*1000-W158)</f>
        <v>3292765.07265891</v>
      </c>
      <c r="Y158" s="37"/>
      <c r="Z158" s="39"/>
      <c r="AJ158" s="39"/>
      <c r="AS158" s="39"/>
    </row>
    <row r="159" customFormat="false" ht="14.4" hidden="false" customHeight="false" outlineLevel="0" collapsed="false">
      <c r="Q159" s="37" t="n">
        <f aca="false">Q158-0.1</f>
        <v>-6.89999999999998</v>
      </c>
      <c r="R159" s="40" t="n">
        <f aca="false">10^Q159</f>
        <v>1.25892541179423E-007</v>
      </c>
      <c r="S159" s="39" t="n">
        <f aca="false">U159-T159*((Sheet1!H$18-Sheet1!H$19)*COS(RADIANS(38))+Sheet1!H$19)/2</f>
        <v>831.750805119938</v>
      </c>
      <c r="T159" s="37" t="n">
        <f aca="false">(X159-X$100)/(X$170-X$100)*(T$170-T$100)+T$100</f>
        <v>3.59395928455209</v>
      </c>
      <c r="U159" s="39" t="n">
        <f aca="false">(X159-X$155)/(X$170-X$155)*(U$170-U$155)+U$155</f>
        <v>841.008921532994</v>
      </c>
      <c r="V159" s="39" t="n">
        <f aca="false">8314.4621*U159/(Sheet1!H$20*Sheet1!H$12*9.80665)</f>
        <v>166918.946184597</v>
      </c>
      <c r="W159" s="39" t="n">
        <f aca="false">W158-LN(R159/R158)*(V158+V159)/2</f>
        <v>3157840.04727239</v>
      </c>
      <c r="X159" s="39" t="n">
        <f aca="false">Sheet1!H$10*10/Sheet1!H$11*1000*W159/(Sheet1!H$10*10/Sheet1!H$11*1000-W159)</f>
        <v>3335617.12769569</v>
      </c>
      <c r="Y159" s="37"/>
      <c r="Z159" s="39"/>
      <c r="AJ159" s="39"/>
      <c r="AS159" s="39"/>
    </row>
    <row r="160" customFormat="false" ht="14.4" hidden="false" customHeight="false" outlineLevel="0" collapsed="false">
      <c r="Q160" s="37" t="n">
        <f aca="false">Q159-0.1</f>
        <v>-6.99999999999998</v>
      </c>
      <c r="R160" s="40" t="n">
        <f aca="false">10^Q160</f>
        <v>1.00000000000005E-007</v>
      </c>
      <c r="S160" s="39" t="n">
        <f aca="false">U160-T160*((Sheet1!H$18-Sheet1!H$19)*COS(RADIANS(38))+Sheet1!H$19)/2</f>
        <v>831.750802205661</v>
      </c>
      <c r="T160" s="37" t="n">
        <f aca="false">(X160-X$100)/(X$170-X$100)*(T$170-T$100)+T$100</f>
        <v>3.63059820498359</v>
      </c>
      <c r="U160" s="39" t="n">
        <f aca="false">(X160-X$155)/(X$170-X$155)*(U$170-U$155)+U$155</f>
        <v>841.10330126575</v>
      </c>
      <c r="V160" s="39" t="n">
        <f aca="false">8314.4621*U160/(Sheet1!H$20*Sheet1!H$12*9.80665)</f>
        <v>166937.678168443</v>
      </c>
      <c r="W160" s="39" t="n">
        <f aca="false">W159-LN(R160/R159)*(V159+V160)/2</f>
        <v>3196276.71159402</v>
      </c>
      <c r="X160" s="39" t="n">
        <f aca="false">Sheet1!H$10*10/Sheet1!H$11*1000*W160/(Sheet1!H$10*10/Sheet1!H$11*1000-W160)</f>
        <v>3378532.76062933</v>
      </c>
      <c r="Y160" s="37"/>
      <c r="Z160" s="39"/>
      <c r="AJ160" s="39"/>
      <c r="AS160" s="39"/>
    </row>
    <row r="161" customFormat="false" ht="14.4" hidden="false" customHeight="false" outlineLevel="0" collapsed="false">
      <c r="Q161" s="37" t="n">
        <f aca="false">Q160-0.1</f>
        <v>-7.09999999999998</v>
      </c>
      <c r="R161" s="40" t="n">
        <f aca="false">10^Q161</f>
        <v>7.94328234724321E-008</v>
      </c>
      <c r="S161" s="39" t="n">
        <f aca="false">U161-T161*((Sheet1!H$18-Sheet1!H$19)*COS(RADIANS(38))+Sheet1!H$19)/2</f>
        <v>831.750799286115</v>
      </c>
      <c r="T161" s="37" t="n">
        <f aca="false">(X161-X$100)/(X$170-X$100)*(T$170-T$100)+T$100</f>
        <v>3.66729153004893</v>
      </c>
      <c r="U161" s="39" t="n">
        <f aca="false">(X161-X$155)/(X$170-X$155)*(U$170-U$155)+U$155</f>
        <v>841.197821140743</v>
      </c>
      <c r="V161" s="39" t="n">
        <f aca="false">8314.4621*U161/(Sheet1!H$20*Sheet1!H$12*9.80665)</f>
        <v>166956.43796697</v>
      </c>
      <c r="W161" s="39" t="n">
        <f aca="false">W160-LN(R161/R160)*(V160+V161)/2</f>
        <v>3234717.69231661</v>
      </c>
      <c r="X161" s="39" t="n">
        <f aca="false">Sheet1!H$10*10/Sheet1!H$11*1000*W161/(Sheet1!H$10*10/Sheet1!H$11*1000-W161)</f>
        <v>3421512.1184017</v>
      </c>
      <c r="Y161" s="37"/>
      <c r="Z161" s="39"/>
      <c r="AJ161" s="39"/>
      <c r="AS161" s="39"/>
    </row>
    <row r="162" customFormat="false" ht="14.4" hidden="false" customHeight="false" outlineLevel="0" collapsed="false">
      <c r="Q162" s="37" t="n">
        <f aca="false">Q161-0.1</f>
        <v>-7.19999999999998</v>
      </c>
      <c r="R162" s="40" t="n">
        <f aca="false">10^Q162</f>
        <v>6.30957344480225E-008</v>
      </c>
      <c r="S162" s="39" t="n">
        <f aca="false">U162-T162*((Sheet1!H$18-Sheet1!H$19)*COS(RADIANS(38))+Sheet1!H$19)/2</f>
        <v>831.750796361283</v>
      </c>
      <c r="T162" s="37" t="n">
        <f aca="false">(X162-X$100)/(X$170-X$100)*(T$170-T$100)+T$100</f>
        <v>3.70403938645283</v>
      </c>
      <c r="U162" s="39" t="n">
        <f aca="false">(X162-X$155)/(X$170-X$155)*(U$170-U$155)+U$155</f>
        <v>841.292481484351</v>
      </c>
      <c r="V162" s="39" t="n">
        <f aca="false">8314.4621*U162/(Sheet1!H$20*Sheet1!H$12*9.80665)</f>
        <v>166975.225644955</v>
      </c>
      <c r="W162" s="39" t="n">
        <f aca="false">W161-LN(R162/R161)*(V161+V162)/2</f>
        <v>3273162.99585218</v>
      </c>
      <c r="X162" s="39" t="n">
        <f aca="false">Sheet1!H$10*10/Sheet1!H$11*1000*W162/(Sheet1!H$10*10/Sheet1!H$11*1000-W162)</f>
        <v>3464555.34942365</v>
      </c>
      <c r="Y162" s="37"/>
      <c r="Z162" s="39"/>
      <c r="AJ162" s="39"/>
      <c r="AS162" s="39"/>
    </row>
    <row r="163" customFormat="false" ht="14.4" hidden="false" customHeight="false" outlineLevel="0" collapsed="false">
      <c r="Q163" s="37" t="n">
        <f aca="false">Q162-0.1</f>
        <v>-7.29999999999998</v>
      </c>
      <c r="R163" s="40" t="n">
        <f aca="false">10^Q163</f>
        <v>5.01187233627298E-008</v>
      </c>
      <c r="S163" s="39" t="n">
        <f aca="false">U163-T163*((Sheet1!H$18-Sheet1!H$19)*COS(RADIANS(38))+Sheet1!H$19)/2</f>
        <v>831.751024305753</v>
      </c>
      <c r="T163" s="37" t="n">
        <f aca="false">(X163-X$100)/(X$170-X$100)*(T$170-T$100)+T$100</f>
        <v>3.74084190635802</v>
      </c>
      <c r="U163" s="39" t="n">
        <f aca="false">(X163-X$155)/(X$170-X$155)*(U$170-U$155)+U$155</f>
        <v>841.387513511616</v>
      </c>
      <c r="V163" s="39" t="n">
        <f aca="false">8314.4621*U163/(Sheet1!H$20*Sheet1!H$12*9.80665)</f>
        <v>166994.087092722</v>
      </c>
      <c r="W163" s="39" t="n">
        <f aca="false">W162-LN(R163/R162)*(V162+V163)/2</f>
        <v>3311612.63390355</v>
      </c>
      <c r="X163" s="39" t="n">
        <f aca="false">Sheet1!H$10*10/Sheet1!H$11*1000*W163/(Sheet1!H$10*10/Sheet1!H$11*1000-W163)</f>
        <v>3507662.60849906</v>
      </c>
      <c r="Y163" s="37"/>
      <c r="Z163" s="39"/>
      <c r="AJ163" s="39"/>
      <c r="AS163" s="39"/>
    </row>
    <row r="164" customFormat="false" ht="14.4" hidden="false" customHeight="false" outlineLevel="0" collapsed="false">
      <c r="Q164" s="37" t="n">
        <f aca="false">Q163-0.1</f>
        <v>-7.39999999999998</v>
      </c>
      <c r="R164" s="40" t="n">
        <f aca="false">10^Q164</f>
        <v>3.98107170553518E-008</v>
      </c>
      <c r="S164" s="39" t="n">
        <f aca="false">U164-T164*((Sheet1!H$18-Sheet1!H$19)*COS(RADIANS(38))+Sheet1!H$19)/2</f>
        <v>831.751050431477</v>
      </c>
      <c r="T164" s="37" t="n">
        <f aca="false">(X164-X$100)/(X$170-X$100)*(T$170-T$100)+T$100</f>
        <v>3.77769921793872</v>
      </c>
      <c r="U164" s="39" t="n">
        <f aca="false">(X164-X$155)/(X$170-X$155)*(U$170-U$155)+U$155</f>
        <v>841.482484864671</v>
      </c>
      <c r="V164" s="39" t="n">
        <f aca="false">8314.4621*U164/(Sheet1!H$20*Sheet1!H$12*9.80665)</f>
        <v>167012.936498196</v>
      </c>
      <c r="W164" s="39" t="n">
        <f aca="false">W163-LN(R164/R163)*(V163+V164)/2</f>
        <v>3350066.61357733</v>
      </c>
      <c r="X164" s="39" t="n">
        <f aca="false">Sheet1!H$10*10/Sheet1!H$11*1000*W164/(Sheet1!H$10*10/Sheet1!H$11*1000-W164)</f>
        <v>3550834.04576003</v>
      </c>
      <c r="Y164" s="37"/>
      <c r="Z164" s="39"/>
      <c r="AJ164" s="39"/>
      <c r="AS164" s="39"/>
    </row>
    <row r="165" customFormat="false" ht="14.4" hidden="false" customHeight="false" outlineLevel="0" collapsed="false">
      <c r="Q165" s="37" t="n">
        <f aca="false">Q164-0.1</f>
        <v>-7.49999999999998</v>
      </c>
      <c r="R165" s="40" t="n">
        <f aca="false">10^Q165</f>
        <v>3.16227766016855E-008</v>
      </c>
      <c r="S165" s="39" t="n">
        <f aca="false">U165-T165*((Sheet1!H$18-Sheet1!H$19)*COS(RADIANS(38))+Sheet1!H$19)/2</f>
        <v>831.751076596625</v>
      </c>
      <c r="T165" s="37" t="n">
        <f aca="false">(X165-X$100)/(X$170-X$100)*(T$170-T$100)+T$100</f>
        <v>3.81461144471462</v>
      </c>
      <c r="U165" s="39" t="n">
        <f aca="false">(X165-X$155)/(X$170-X$155)*(U$170-U$155)+U$155</f>
        <v>841.577597719873</v>
      </c>
      <c r="V165" s="39" t="n">
        <f aca="false">8314.4621*U165/(Sheet1!H$20*Sheet1!H$12*9.80665)</f>
        <v>167031.813988259</v>
      </c>
      <c r="W165" s="39" t="n">
        <f aca="false">W164-LN(R165/R164)*(V164+V165)/2</f>
        <v>3388524.93672049</v>
      </c>
      <c r="X165" s="39" t="n">
        <f aca="false">Sheet1!H$10*10/Sheet1!H$11*1000*W165/(Sheet1!H$10*10/Sheet1!H$11*1000-W165)</f>
        <v>3594069.80588674</v>
      </c>
      <c r="Y165" s="37"/>
      <c r="Z165" s="39"/>
      <c r="AJ165" s="39"/>
      <c r="AS165" s="39"/>
    </row>
    <row r="166" customFormat="false" ht="14.4" hidden="false" customHeight="false" outlineLevel="0" collapsed="false">
      <c r="Q166" s="37" t="n">
        <f aca="false">Q165-0.1</f>
        <v>-7.59999999999998</v>
      </c>
      <c r="R166" s="40" t="n">
        <f aca="false">10^Q166</f>
        <v>2.51188643150972E-008</v>
      </c>
      <c r="S166" s="39" t="n">
        <f aca="false">U166-T166*((Sheet1!H$18-Sheet1!H$19)*COS(RADIANS(38))+Sheet1!H$19)/2</f>
        <v>831.751102801292</v>
      </c>
      <c r="T166" s="37" t="n">
        <f aca="false">(X166-X$100)/(X$170-X$100)*(T$170-T$100)+T$100</f>
        <v>3.85157871502679</v>
      </c>
      <c r="U166" s="39" t="n">
        <f aca="false">(X166-X$155)/(X$170-X$155)*(U$170-U$155)+U$155</f>
        <v>841.672852407926</v>
      </c>
      <c r="V166" s="39" t="n">
        <f aca="false">8314.4621*U166/(Sheet1!H$20*Sheet1!H$12*9.80665)</f>
        <v>167050.719628547</v>
      </c>
      <c r="W166" s="39" t="n">
        <f aca="false">W165-LN(R166/R165)*(V165+V166)/2</f>
        <v>3426987.60980727</v>
      </c>
      <c r="X166" s="39" t="n">
        <f aca="false">Sheet1!H$10*10/Sheet1!H$11*1000*W166/(Sheet1!H$10*10/Sheet1!H$11*1000-W166)</f>
        <v>3637370.03920671</v>
      </c>
      <c r="Y166" s="37"/>
      <c r="Z166" s="39"/>
      <c r="AJ166" s="39"/>
      <c r="AS166" s="39"/>
    </row>
    <row r="167" customFormat="false" ht="14.4" hidden="false" customHeight="false" outlineLevel="0" collapsed="false">
      <c r="Q167" s="37" t="n">
        <f aca="false">Q166-0.1</f>
        <v>-7.69999999999998</v>
      </c>
      <c r="R167" s="40" t="n">
        <f aca="false">10^Q167</f>
        <v>1.99526231496899E-008</v>
      </c>
      <c r="S167" s="39" t="n">
        <f aca="false">U167-T167*((Sheet1!H$18-Sheet1!H$19)*COS(RADIANS(38))+Sheet1!H$19)/2</f>
        <v>831.75112904557</v>
      </c>
      <c r="T167" s="37" t="n">
        <f aca="false">(X167-X$100)/(X$170-X$100)*(T$170-T$100)+T$100</f>
        <v>3.88860115762771</v>
      </c>
      <c r="U167" s="39" t="n">
        <f aca="false">(X167-X$155)/(X$170-X$155)*(U$170-U$155)+U$155</f>
        <v>841.768249260594</v>
      </c>
      <c r="V167" s="39" t="n">
        <f aca="false">8314.4621*U167/(Sheet1!H$20*Sheet1!H$12*9.80665)</f>
        <v>167069.653484905</v>
      </c>
      <c r="W167" s="39" t="n">
        <f aca="false">W166-LN(R167/R166)*(V166+V167)/2</f>
        <v>3465454.6393271</v>
      </c>
      <c r="X167" s="39" t="n">
        <f aca="false">Sheet1!H$10*10/Sheet1!H$11*1000*W167/(Sheet1!H$10*10/Sheet1!H$11*1000-W167)</f>
        <v>3680734.89652936</v>
      </c>
      <c r="Y167" s="37"/>
      <c r="Z167" s="39"/>
      <c r="AJ167" s="39"/>
      <c r="AS167" s="39"/>
    </row>
    <row r="168" customFormat="false" ht="14.4" hidden="false" customHeight="false" outlineLevel="0" collapsed="false">
      <c r="Q168" s="37" t="n">
        <f aca="false">Q167-0.1</f>
        <v>-7.79999999999998</v>
      </c>
      <c r="R168" s="40" t="n">
        <f aca="false">10^Q168</f>
        <v>1.5848931924612E-008</v>
      </c>
      <c r="S168" s="39" t="n">
        <f aca="false">U168-T168*((Sheet1!H$18-Sheet1!H$19)*COS(RADIANS(38))+Sheet1!H$19)/2</f>
        <v>831.751076158601</v>
      </c>
      <c r="T168" s="37" t="n">
        <f aca="false">(X168-X$100)/(X$170-X$100)*(T$170-T$100)+T$100</f>
        <v>3.92567889993812</v>
      </c>
      <c r="U168" s="39" t="n">
        <f aca="false">(X168-X$155)/(X$170-X$155)*(U$170-U$155)+U$155</f>
        <v>841.863709435256</v>
      </c>
      <c r="V168" s="39" t="n">
        <f aca="false">8314.4621*U168/(Sheet1!H$20*Sheet1!H$12*9.80665)</f>
        <v>167088.599909074</v>
      </c>
      <c r="W168" s="39" t="n">
        <f aca="false">W167-LN(R168/R167)*(V167+V168)/2</f>
        <v>3503926.0299754</v>
      </c>
      <c r="X168" s="39" t="n">
        <f aca="false">Sheet1!H$10*10/Sheet1!H$11*1000*W168/(Sheet1!H$10*10/Sheet1!H$11*1000-W168)</f>
        <v>3724164.52710422</v>
      </c>
      <c r="Y168" s="37"/>
      <c r="Z168" s="39"/>
      <c r="AJ168" s="39"/>
      <c r="AS168" s="39"/>
    </row>
    <row r="169" customFormat="false" ht="14.4" hidden="false" customHeight="false" outlineLevel="0" collapsed="false">
      <c r="Q169" s="37" t="n">
        <f aca="false">Q168-0.1</f>
        <v>-7.89999999999998</v>
      </c>
      <c r="R169" s="40" t="n">
        <f aca="false">10^Q169</f>
        <v>1.25892541179424E-008</v>
      </c>
      <c r="S169" s="39" t="n">
        <f aca="false">U169-T169*((Sheet1!H$18-Sheet1!H$19)*COS(RADIANS(38))+Sheet1!H$19)/2</f>
        <v>831.751096322404</v>
      </c>
      <c r="T169" s="37" t="n">
        <f aca="false">(X169-X$100)/(X$170-X$100)*(T$170-T$100)+T$100</f>
        <v>3.962812071395</v>
      </c>
      <c r="U169" s="39" t="n">
        <f aca="false">(X169-X$155)/(X$170-X$155)*(U$170-U$155)+U$155</f>
        <v>841.959385447362</v>
      </c>
      <c r="V169" s="39" t="n">
        <f aca="false">8314.4621*U169/(Sheet1!H$20*Sheet1!H$12*9.80665)</f>
        <v>167107.589171503</v>
      </c>
      <c r="W169" s="39" t="n">
        <f aca="false">W168-LN(R169/R168)*(V168+V169)/2</f>
        <v>3542401.78813102</v>
      </c>
      <c r="X169" s="39" t="n">
        <f aca="false">Sheet1!H$10*10/Sheet1!H$11*1000*W169/(Sheet1!H$10*10/Sheet1!H$11*1000-W169)</f>
        <v>3767659.08254246</v>
      </c>
      <c r="Y169" s="37"/>
      <c r="Z169" s="39"/>
      <c r="AJ169" s="39"/>
      <c r="AS169" s="39"/>
    </row>
    <row r="170" customFormat="false" ht="14.4" hidden="false" customHeight="false" outlineLevel="0" collapsed="false">
      <c r="Q170" s="37" t="n">
        <f aca="false">Q169-0.1</f>
        <v>-7.99999999999998</v>
      </c>
      <c r="R170" s="40" t="n">
        <f aca="false">10^Q170</f>
        <v>1.00000000000006E-008</v>
      </c>
      <c r="S170" s="39" t="n">
        <f aca="false">U170-T170*((Sheet1!H$18-Sheet1!H$19)*COS(RADIANS(38))+Sheet1!H$19)/2</f>
        <v>831.751132210469</v>
      </c>
      <c r="T170" s="37" t="n">
        <v>4</v>
      </c>
      <c r="U170" s="39" t="n">
        <f aca="false">U155+(T170-T155)*((Sheet1!H$18-Sheet1!H$19)*COS(RADIANS(38))+Sheet1!H$19)/2</f>
        <v>842.055218239323</v>
      </c>
      <c r="V170" s="39" t="n">
        <f aca="false">8314.4621*U170/(Sheet1!H$20*Sheet1!H$12*9.80665)</f>
        <v>167119.389466102</v>
      </c>
      <c r="W170" s="39" t="n">
        <f aca="false">W169-LN(R170/R169)*(V169+V170)/2</f>
        <v>3580881.09106539</v>
      </c>
      <c r="X170" s="39" t="n">
        <f aca="false">Sheet1!H$10*10/Sheet1!H$11*1000*W170/(Sheet1!H$10*10/Sheet1!H$11*1000-W170)</f>
        <v>3811217.77572389</v>
      </c>
      <c r="Y170" s="37" t="n">
        <f aca="false">IF(Q170&lt;LOG(Sheet1!H$17*101325),Q170,IF(sheet1!#ref!&lt;LOG(Sheet1!H$17*101325),LOG(Sheet1!H$17*101325),0))</f>
        <v>-7.99999999999998</v>
      </c>
      <c r="Z170" s="39" t="n">
        <f aca="false">IF(Y170=0,0,S170)</f>
        <v>831.751132210469</v>
      </c>
      <c r="AA170" s="39" t="n">
        <f aca="false">IF(Y170=LOG(Sheet1!H$17*101325),(LOG(Sheet1!H$17*101325)-Q180)/(Q170-Q180)*(X170-X180)+X180,IF(Y170=0,0,X170))</f>
        <v>3811217.77572389</v>
      </c>
      <c r="AB170" s="32" t="n">
        <f aca="false">IF(Y170=0,0,AB155+1)</f>
        <v>12</v>
      </c>
      <c r="AJ170" s="39"/>
      <c r="AS170" s="3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2017-03-29T22:39:47Z</dcterms:created>
  <dc:creator>Robert Braeunig</dc:creator>
  <dc:description/>
  <dc:language>en-US</dc:language>
  <cp:lastModifiedBy/>
  <dcterms:modified xsi:type="dcterms:W3CDTF">2022-05-09T17:17:04Z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