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structions" sheetId="1" state="visible" r:id="rId2"/>
    <sheet name="Star" sheetId="2" state="visible" r:id="rId3"/>
    <sheet name="Star CFG" sheetId="3" state="visible" r:id="rId4"/>
    <sheet name="Gas Giant" sheetId="4" state="visible" r:id="rId5"/>
    <sheet name="Gas Giant CFG" sheetId="5" state="visible" r:id="rId6"/>
    <sheet name="Earthlike" sheetId="6" state="visible" r:id="rId7"/>
    <sheet name="Earthlike CFG" sheetId="7" state="visible" r:id="rId8"/>
    <sheet name="Other" sheetId="8" state="visible" r:id="rId9"/>
    <sheet name="Other CFG" sheetId="9" state="visible" r:id="rId10"/>
    <sheet name="Locked" sheetId="10" state="visible" r:id="rId11"/>
    <sheet name="Locked CFG" sheetId="11" state="visible" r:id="rId1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<sst xmlns="http://schemas.openxmlformats.org/spreadsheetml/2006/main" count="1296" uniqueCount="371">
  <si>
    <t xml:space="preserve">Atmosphere Calculator for Celestial Bodies in Kerbal Space Program</t>
  </si>
  <si>
    <t xml:space="preserve">Version 2.0.5</t>
  </si>
  <si>
    <t xml:space="preserve">This spreadsheet creates atmospheres for KSP celestial bodies using real life ideal gas equations and standard modeling methods.</t>
  </si>
  <si>
    <t xml:space="preserve">Four different types of atmospheres are possible:</t>
  </si>
  <si>
    <t xml:space="preserve">Star  –  Stellar atmospheres, consisting primarily the chromosphere.</t>
  </si>
  <si>
    <t xml:space="preserve">Gas Giant  –  Hydrogen-helium atmospheres for large gaseous planets, including gas giants and ice giants.</t>
  </si>
  <si>
    <t xml:space="preserve">Earthlike  –  Nitrogen-oxygen atmospheres for celestial bodies located within the habitable zone of their parent star.</t>
  </si>
  <si>
    <t xml:space="preserve">Other  –  Atmospheres not falling into the any other group; can vary greatly in composition, pressure and temperature.</t>
  </si>
  <si>
    <t xml:space="preserve">Locked  –  Similar to "Other" but for planets that are tidally locked to their parent star.</t>
  </si>
  <si>
    <t xml:space="preserve">For each type of atmosphere there are two sheets, one for the input and one for the output.  To create an atmosphere, simply select the</t>
  </si>
  <si>
    <t xml:space="preserve">appropriate input sheet, for instance "Gas Giant", and answer all the questions by inputting the requested data.  After all the questions</t>
  </si>
  <si>
    <t xml:space="preserve">have been answered, switch to the output sheet, for instance "Gas Giant CFG".  The output sheet includes the final text ready to copy</t>
  </si>
  <si>
    <t xml:space="preserve">and paste into the celestial body's .cfg file.</t>
  </si>
  <si>
    <t xml:space="preserve">Additional detailed instructions are included on each sheet.  Follow these instructions step by step.</t>
  </si>
  <si>
    <t xml:space="preserve">Each input sheet includes sample input.  Replace this sample data with your own.</t>
  </si>
  <si>
    <t xml:space="preserve">If you overwrite any calculated data with your own data, be sure not to save over the original file.  Reload the spreadsheet to</t>
  </si>
  <si>
    <t xml:space="preserve">restore any overwritten formulas before starting a new atmosphere.</t>
  </si>
  <si>
    <t xml:space="preserve">Iterative calculation must be enabled.  It should be on by default, but if not, go to File &gt; Options &gt; Formulas and make sure</t>
  </si>
  <si>
    <t xml:space="preserve">"Enable iterative calculation" is checked.</t>
  </si>
  <si>
    <t xml:space="preserve">Star Atmosphere</t>
  </si>
  <si>
    <t xml:space="preserve">Enter the following information as found in the celestial body .cfg files.  All fields are</t>
  </si>
  <si>
    <t xml:space="preserve">required unless noted otherwise.  Current star is the body for which we are developing</t>
  </si>
  <si>
    <t xml:space="preserve">Main Sequence Stars</t>
  </si>
  <si>
    <t xml:space="preserve">Msun</t>
  </si>
  <si>
    <t xml:space="preserve">Rsun</t>
  </si>
  <si>
    <t xml:space="preserve">Lsun</t>
  </si>
  <si>
    <t xml:space="preserve">Teff</t>
  </si>
  <si>
    <t xml:space="preserve">the atmosphere.</t>
  </si>
  <si>
    <t xml:space="preserve">O7V</t>
  </si>
  <si>
    <t xml:space="preserve">Home world</t>
  </si>
  <si>
    <t xml:space="preserve">The following are the properties of real life</t>
  </si>
  <si>
    <t xml:space="preserve">O8V</t>
  </si>
  <si>
    <t xml:space="preserve">semiMajorAxis</t>
  </si>
  <si>
    <t xml:space="preserve">m</t>
  </si>
  <si>
    <t xml:space="preserve">main sequence stars.  The data is provided</t>
  </si>
  <si>
    <t xml:space="preserve">O9V</t>
  </si>
  <si>
    <t xml:space="preserve">Current star</t>
  </si>
  <si>
    <t xml:space="preserve">as a guideline for use in choosing your star's</t>
  </si>
  <si>
    <t xml:space="preserve">B0V</t>
  </si>
  <si>
    <t xml:space="preserve">radius</t>
  </si>
  <si>
    <t xml:space="preserve">properties.  Just select the spectral type</t>
  </si>
  <si>
    <t xml:space="preserve">B1V</t>
  </si>
  <si>
    <t xml:space="preserve">gravParameter</t>
  </si>
  <si>
    <t xml:space="preserve">Only one of these is needed, though if more than one is provided, enter all.</t>
  </si>
  <si>
    <t xml:space="preserve">m³/s²</t>
  </si>
  <si>
    <t xml:space="preserve">from the drop-down list.</t>
  </si>
  <si>
    <t xml:space="preserve">B2V</t>
  </si>
  <si>
    <t xml:space="preserve">mass</t>
  </si>
  <si>
    <t xml:space="preserve">kg</t>
  </si>
  <si>
    <t xml:space="preserve">B3V</t>
  </si>
  <si>
    <t xml:space="preserve">geeASL</t>
  </si>
  <si>
    <t xml:space="preserve">g₀</t>
  </si>
  <si>
    <t xml:space="preserve">Spectral type</t>
  </si>
  <si>
    <t xml:space="preserve">K5V</t>
  </si>
  <si>
    <t xml:space="preserve">B4V</t>
  </si>
  <si>
    <t xml:space="preserve">B5V</t>
  </si>
  <si>
    <t xml:space="preserve">Enter the current star's effective temperature.  Should be consistent with normal</t>
  </si>
  <si>
    <t xml:space="preserve">Ratios (real-life Sun = 1)</t>
  </si>
  <si>
    <t xml:space="preserve">B6V</t>
  </si>
  <si>
    <t xml:space="preserve">mass-radius-luminosity relationships.</t>
  </si>
  <si>
    <t xml:space="preserve">Mass</t>
  </si>
  <si>
    <t xml:space="preserve">B7V</t>
  </si>
  <si>
    <t xml:space="preserve">Radius</t>
  </si>
  <si>
    <t xml:space="preserve">B8V</t>
  </si>
  <si>
    <t xml:space="preserve">Effective temperature</t>
  </si>
  <si>
    <t xml:space="preserve">K</t>
  </si>
  <si>
    <t xml:space="preserve">Luminosity</t>
  </si>
  <si>
    <t xml:space="preserve">B9V</t>
  </si>
  <si>
    <t xml:space="preserve">A0V</t>
  </si>
  <si>
    <t xml:space="preserve">Atmospheres are developed at real life scale and then modified to fit the smaller KSP</t>
  </si>
  <si>
    <t xml:space="preserve">Properties @ real-life scale</t>
  </si>
  <si>
    <t xml:space="preserve">A1V</t>
  </si>
  <si>
    <t xml:space="preserve">universe.  Enter what the radius of the current star would be in real life.</t>
  </si>
  <si>
    <t xml:space="preserve">A2V</t>
  </si>
  <si>
    <t xml:space="preserve">A3V</t>
  </si>
  <si>
    <t xml:space="preserve">Current body, real life radius</t>
  </si>
  <si>
    <t xml:space="preserve">W</t>
  </si>
  <si>
    <t xml:space="preserve">A4V</t>
  </si>
  <si>
    <t xml:space="preserve">Surface gravity</t>
  </si>
  <si>
    <t xml:space="preserve">A5V</t>
  </si>
  <si>
    <t xml:space="preserve">Enter below the composition of the atmosphere.  Only the most common and applicable</t>
  </si>
  <si>
    <t xml:space="preserve">Lifetime</t>
  </si>
  <si>
    <t xml:space="preserve">yr.</t>
  </si>
  <si>
    <t xml:space="preserve">A6V</t>
  </si>
  <si>
    <t xml:space="preserve">gases are included, though there is space to add others.</t>
  </si>
  <si>
    <t xml:space="preserve">A7V</t>
  </si>
  <si>
    <t xml:space="preserve">A8V</t>
  </si>
  <si>
    <t xml:space="preserve">% by</t>
  </si>
  <si>
    <t xml:space="preserve">M</t>
  </si>
  <si>
    <t xml:space="preserve">Cp°</t>
  </si>
  <si>
    <t xml:space="preserve">A9V</t>
  </si>
  <si>
    <t xml:space="preserve">Gas Species</t>
  </si>
  <si>
    <t xml:space="preserve">Formula</t>
  </si>
  <si>
    <t xml:space="preserve">volume</t>
  </si>
  <si>
    <t xml:space="preserve">g/mol</t>
  </si>
  <si>
    <t xml:space="preserve">J/mol-K</t>
  </si>
  <si>
    <t xml:space="preserve">F0V</t>
  </si>
  <si>
    <t xml:space="preserve">Hydrogen, atomic</t>
  </si>
  <si>
    <t xml:space="preserve">H</t>
  </si>
  <si>
    <t xml:space="preserve">F1V</t>
  </si>
  <si>
    <t xml:space="preserve">Helium</t>
  </si>
  <si>
    <t xml:space="preserve">He</t>
  </si>
  <si>
    <t xml:space="preserve">F2V</t>
  </si>
  <si>
    <t xml:space="preserve">Carbon</t>
  </si>
  <si>
    <t xml:space="preserve">C</t>
  </si>
  <si>
    <t xml:space="preserve">F3V</t>
  </si>
  <si>
    <t xml:space="preserve">Oxygen, atomic</t>
  </si>
  <si>
    <t xml:space="preserve">O</t>
  </si>
  <si>
    <t xml:space="preserve">F4V</t>
  </si>
  <si>
    <t xml:space="preserve">F5V</t>
  </si>
  <si>
    <t xml:space="preserve">F6V</t>
  </si>
  <si>
    <t xml:space="preserve">F7V</t>
  </si>
  <si>
    <t xml:space="preserve">Total (must equal 100%)</t>
  </si>
  <si>
    <t xml:space="preserve">F8V</t>
  </si>
  <si>
    <t xml:space="preserve">F9V</t>
  </si>
  <si>
    <t xml:space="preserve">M = molecular weight</t>
  </si>
  <si>
    <t xml:space="preserve">G0V</t>
  </si>
  <si>
    <t xml:space="preserve">Cp° - constant pressure specific heat</t>
  </si>
  <si>
    <t xml:space="preserve">G1V</t>
  </si>
  <si>
    <t xml:space="preserve">G2V</t>
  </si>
  <si>
    <t xml:space="preserve">You have entered all the required data.  What follows are some numbers needed to</t>
  </si>
  <si>
    <t xml:space="preserve">G3V</t>
  </si>
  <si>
    <t xml:space="preserve">compute the star's atmosphere.  Changes are not allowed.</t>
  </si>
  <si>
    <t xml:space="preserve">G4V</t>
  </si>
  <si>
    <t xml:space="preserve">G5V</t>
  </si>
  <si>
    <t xml:space="preserve">G6V</t>
  </si>
  <si>
    <t xml:space="preserve">G7V</t>
  </si>
  <si>
    <t xml:space="preserve">Average gas molecular weight</t>
  </si>
  <si>
    <t xml:space="preserve">g/ml</t>
  </si>
  <si>
    <t xml:space="preserve">G8V</t>
  </si>
  <si>
    <t xml:space="preserve">Adiabatic index</t>
  </si>
  <si>
    <t xml:space="preserve">G9V</t>
  </si>
  <si>
    <t xml:space="preserve">True luminosity (from radius &amp; temperature)</t>
  </si>
  <si>
    <t xml:space="preserve">K0V</t>
  </si>
  <si>
    <t xml:space="preserve">Solar irradiance @ 1 au (called "luminosity" in cfg)</t>
  </si>
  <si>
    <t xml:space="preserve">W/m²</t>
  </si>
  <si>
    <t xml:space="preserve">K1V</t>
  </si>
  <si>
    <t xml:space="preserve">K2V</t>
  </si>
  <si>
    <t xml:space="preserve">Atmosphere scaling factor reduces the atmosphere height from real life scale to KSP scale.</t>
  </si>
  <si>
    <t xml:space="preserve">K3V</t>
  </si>
  <si>
    <t xml:space="preserve">By adjusting the factor you can tweak the final height of the atmosphere.</t>
  </si>
  <si>
    <t xml:space="preserve">K4V</t>
  </si>
  <si>
    <t xml:space="preserve">Universe scale factor</t>
  </si>
  <si>
    <t xml:space="preserve">K6V</t>
  </si>
  <si>
    <t xml:space="preserve">Average scale height</t>
  </si>
  <si>
    <t xml:space="preserve">K7V</t>
  </si>
  <si>
    <t xml:space="preserve">Atmosphere scaling factor</t>
  </si>
  <si>
    <t xml:space="preserve">K8V</t>
  </si>
  <si>
    <t xml:space="preserve">K9V</t>
  </si>
  <si>
    <t xml:space="preserve">Adjusted atmosphere scaling factor</t>
  </si>
  <si>
    <t xml:space="preserve">Change here →</t>
  </si>
  <si>
    <t xml:space="preserve">M0V</t>
  </si>
  <si>
    <t xml:space="preserve">Final atmosphere height</t>
  </si>
  <si>
    <t xml:space="preserve">M1V</t>
  </si>
  <si>
    <t xml:space="preserve">M2V</t>
  </si>
  <si>
    <t xml:space="preserve">The following is where the real action takes place.  Making changes here can have catastrophic consequences, so</t>
  </si>
  <si>
    <t xml:space="preserve">M3V</t>
  </si>
  <si>
    <t xml:space="preserve">tread carefully.  The mean temperature curve uses a built-in model based on the real life Sun. Changes are not</t>
  </si>
  <si>
    <t xml:space="preserve">M4V</t>
  </si>
  <si>
    <t xml:space="preserve">recommended; however, if you want to modify or replace the built-in curve,  you can overwrite the numbers  in</t>
  </si>
  <si>
    <t xml:space="preserve">M5V</t>
  </si>
  <si>
    <t xml:space="preserve">column C inside the bordered area.  DO NOT CHANGE ANYTHING ELSE.</t>
  </si>
  <si>
    <t xml:space="preserve">M6V</t>
  </si>
  <si>
    <t xml:space="preserve">M7V</t>
  </si>
  <si>
    <t xml:space="preserve">L = temperature gradient</t>
  </si>
  <si>
    <t xml:space="preserve">M8V</t>
  </si>
  <si>
    <t xml:space="preserve">h = geopotential height</t>
  </si>
  <si>
    <t xml:space="preserve">M9V</t>
  </si>
  <si>
    <t xml:space="preserve">z = geometric height</t>
  </si>
  <si>
    <t xml:space="preserve">L0V</t>
  </si>
  <si>
    <t xml:space="preserve">H = scale height</t>
  </si>
  <si>
    <t xml:space="preserve">L1V</t>
  </si>
  <si>
    <t xml:space="preserve">P = pressure</t>
  </si>
  <si>
    <t xml:space="preserve">L2V</t>
  </si>
  <si>
    <t xml:space="preserve">ρ = density</t>
  </si>
  <si>
    <t xml:space="preserve">L3V</t>
  </si>
  <si>
    <t xml:space="preserve">L4V</t>
  </si>
  <si>
    <t xml:space="preserve">Mean</t>
  </si>
  <si>
    <t xml:space="preserve">Rescaled</t>
  </si>
  <si>
    <t xml:space="preserve">L5V</t>
  </si>
  <si>
    <t xml:space="preserve">Log(P)</t>
  </si>
  <si>
    <t xml:space="preserve">Temp</t>
  </si>
  <si>
    <t xml:space="preserve">L</t>
  </si>
  <si>
    <t xml:space="preserve">h</t>
  </si>
  <si>
    <t xml:space="preserve">z</t>
  </si>
  <si>
    <t xml:space="preserve">P</t>
  </si>
  <si>
    <t xml:space="preserve">ρ</t>
  </si>
  <si>
    <t xml:space="preserve">Height</t>
  </si>
  <si>
    <t xml:space="preserve">L6V</t>
  </si>
  <si>
    <t xml:space="preserve">atm</t>
  </si>
  <si>
    <t xml:space="preserve">K/m'</t>
  </si>
  <si>
    <t xml:space="preserve">m'</t>
  </si>
  <si>
    <t xml:space="preserve">Pa</t>
  </si>
  <si>
    <t xml:space="preserve">kg/m³</t>
  </si>
  <si>
    <t xml:space="preserve">L7V</t>
  </si>
  <si>
    <t xml:space="preserve">L8V</t>
  </si>
  <si>
    <t xml:space="preserve">L9V</t>
  </si>
  <si>
    <t xml:space="preserve">T0V</t>
  </si>
  <si>
    <t xml:space="preserve">T1V</t>
  </si>
  <si>
    <t xml:space="preserve">T2V</t>
  </si>
  <si>
    <t xml:space="preserve">T3V</t>
  </si>
  <si>
    <t xml:space="preserve">T4V</t>
  </si>
  <si>
    <t xml:space="preserve">T5V</t>
  </si>
  <si>
    <t xml:space="preserve">T6V</t>
  </si>
  <si>
    <t xml:space="preserve">T7V</t>
  </si>
  <si>
    <t xml:space="preserve">T8V</t>
  </si>
  <si>
    <t xml:space="preserve">T9V</t>
  </si>
  <si>
    <t xml:space="preserve">The following should be copied into the celestial body's .cfg file.  Luminosity is placed in the Light subnode as indicated.  The Atmosphere node should be copied in its entirety and placed inside the Body node.  Although cleanup of the node formatting is recommended, it is not necessary.</t>
  </si>
  <si>
    <t xml:space="preserve">ScaledVersion</t>
  </si>
  <si>
    <t xml:space="preserve">{</t>
  </si>
  <si>
    <t xml:space="preserve">Light</t>
  </si>
  <si>
    <t xml:space="preserve">luminosity =</t>
  </si>
  <si>
    <t xml:space="preserve">}</t>
  </si>
  <si>
    <t xml:space="preserve">Atmosphere</t>
  </si>
  <si>
    <t xml:space="preserve">enabled =</t>
  </si>
  <si>
    <t xml:space="preserve">True</t>
  </si>
  <si>
    <t xml:space="preserve">oxygen =</t>
  </si>
  <si>
    <t xml:space="preserve">False</t>
  </si>
  <si>
    <t xml:space="preserve">altitude =</t>
  </si>
  <si>
    <t xml:space="preserve">adiabaticIndex =</t>
  </si>
  <si>
    <t xml:space="preserve">atmosphereMolarMass =</t>
  </si>
  <si>
    <t xml:space="preserve">temperatureSeaLevel =</t>
  </si>
  <si>
    <t xml:space="preserve">staticPressureASL =</t>
  </si>
  <si>
    <t xml:space="preserve">temperatureCurve</t>
  </si>
  <si>
    <t xml:space="preserve">key =</t>
  </si>
  <si>
    <t xml:space="preserve">pressureCurve</t>
  </si>
  <si>
    <t xml:space="preserve">temperatureSunMultCurve</t>
  </si>
  <si>
    <t xml:space="preserve">temperatureLatitudeBiasCurve</t>
  </si>
  <si>
    <t xml:space="preserve">temperatureLatitudeSunMultCurve</t>
  </si>
  <si>
    <t xml:space="preserve">temperatureAxialSunBiasCurve</t>
  </si>
  <si>
    <t xml:space="preserve">temperatureAxialSunMultCurve</t>
  </si>
  <si>
    <t xml:space="preserve">temperatureEccentricityBiasCurve</t>
  </si>
  <si>
    <t xml:space="preserve">Gas Giant Atmosphere</t>
  </si>
  <si>
    <t xml:space="preserve">required unless noted otherwise.  Current body is the planet for which we are developing</t>
  </si>
  <si>
    <t xml:space="preserve">the atmosphere.  Current star is the star that the current body orbits, which may or may</t>
  </si>
  <si>
    <t xml:space="preserve">not be the parent star of the home world.</t>
  </si>
  <si>
    <t xml:space="preserve">luminosity</t>
  </si>
  <si>
    <t xml:space="preserve">Current body</t>
  </si>
  <si>
    <t xml:space="preserve">albedo (bond)</t>
  </si>
  <si>
    <t xml:space="preserve">eccentricity</t>
  </si>
  <si>
    <t xml:space="preserve">inclination</t>
  </si>
  <si>
    <t xml:space="preserve">°</t>
  </si>
  <si>
    <t xml:space="preserve">argumentOfPeriapsis</t>
  </si>
  <si>
    <t xml:space="preserve">universe.  Enter what the radius of the current body would be in real life.</t>
  </si>
  <si>
    <t xml:space="preserve">Hydrogen</t>
  </si>
  <si>
    <t xml:space="preserve">H₂</t>
  </si>
  <si>
    <t xml:space="preserve">Methane</t>
  </si>
  <si>
    <t xml:space="preserve">CH₄</t>
  </si>
  <si>
    <t xml:space="preserve">Ammonia</t>
  </si>
  <si>
    <t xml:space="preserve">NH₃</t>
  </si>
  <si>
    <t xml:space="preserve">Hydrogen Deuteride</t>
  </si>
  <si>
    <t xml:space="preserve">HD</t>
  </si>
  <si>
    <t xml:space="preserve">compute the body's atmosphere.  Changes are allowed where indicated, but not</t>
  </si>
  <si>
    <t xml:space="preserve">recommended unless you know what you are doing.</t>
  </si>
  <si>
    <t xml:space="preserve">** The following are exact calculations, do not change.</t>
  </si>
  <si>
    <t xml:space="preserve">Orbital period</t>
  </si>
  <si>
    <t xml:space="preserve">hr.</t>
  </si>
  <si>
    <t xml:space="preserve">Solar irradiance</t>
  </si>
  <si>
    <t xml:space="preserve">Black body temperature</t>
  </si>
  <si>
    <t xml:space="preserve">Average air temperature</t>
  </si>
  <si>
    <t xml:space="preserve">** The following are rough approximations, change at your own risk.</t>
  </si>
  <si>
    <t xml:space="preserve">Exospheric temperature</t>
  </si>
  <si>
    <t xml:space="preserve">Temperature at 1000 atm pressure level</t>
  </si>
  <si>
    <t xml:space="preserve">Diurnal temperature range at equator</t>
  </si>
  <si>
    <t xml:space="preserve">Diurnal temperature range at poles</t>
  </si>
  <si>
    <t xml:space="preserve">Latitudinal temperature range</t>
  </si>
  <si>
    <t xml:space="preserve">Seasonal range due to inclination</t>
  </si>
  <si>
    <t xml:space="preserve">Seasonal range due to eccentricity</t>
  </si>
  <si>
    <t xml:space="preserve">Seasonal factor (adjusts for short orbital periods)</t>
  </si>
  <si>
    <t xml:space="preserve">The following is where the real action takes place.  Making changes here can have catastrophic consequences, so tread carefully.  The mean temperature curve uses a built-in model that is based on the</t>
  </si>
  <si>
    <t xml:space="preserve">known atmospheres of real life gas giants, along with some guesswork.  Temperature is initially a function of pressure, which is converted to height.  Changes are not recommended; however, if you want</t>
  </si>
  <si>
    <t xml:space="preserve">to modify or replace the built-in curve, you can overwrite the numbers in column C inside the bordered area.  DO NOT CHANGE ANYTHING ELSE.</t>
  </si>
  <si>
    <t xml:space="preserve">c = speed of sound</t>
  </si>
  <si>
    <t xml:space="preserve">Ve = escape velocity</t>
  </si>
  <si>
    <t xml:space="preserve">q = dynamic pressure at Ve</t>
  </si>
  <si>
    <t xml:space="preserve">Q = aerodynamic heating at Ve</t>
  </si>
  <si>
    <t xml:space="preserve">Atmosphere ends when aerodynamic heating drops below:</t>
  </si>
  <si>
    <t xml:space="preserve">kW/m²</t>
  </si>
  <si>
    <t xml:space="preserve">Base</t>
  </si>
  <si>
    <t xml:space="preserve">Sun</t>
  </si>
  <si>
    <t xml:space="preserve">Atmo</t>
  </si>
  <si>
    <t xml:space="preserve">c</t>
  </si>
  <si>
    <t xml:space="preserve">Ve</t>
  </si>
  <si>
    <t xml:space="preserve">q</t>
  </si>
  <si>
    <t xml:space="preserve">Q</t>
  </si>
  <si>
    <t xml:space="preserve">Mult</t>
  </si>
  <si>
    <t xml:space="preserve">Range</t>
  </si>
  <si>
    <t xml:space="preserve">m/s</t>
  </si>
  <si>
    <t xml:space="preserve">---</t>
  </si>
  <si>
    <t xml:space="preserve">The following should be copied into the celestial body's .cfg file.  Albedo is placed in the Properties node.  The Atmosphere node should be copied in its entirety and placed inside the Body node.  Any "Unused" lines should be deleted.  Although additional cleanup of the node formatting is recommended, it is not necessary.  For sky color and other visual settings, an AtmosphereFromGround subnode should be added.</t>
  </si>
  <si>
    <t xml:space="preserve">Properties</t>
  </si>
  <si>
    <t xml:space="preserve">albedo =</t>
  </si>
  <si>
    <t xml:space="preserve">Earthlike Atmosphere</t>
  </si>
  <si>
    <t xml:space="preserve">required unless noted otherwise.  Current body is the body for which we are developing</t>
  </si>
  <si>
    <t xml:space="preserve">the atmosphere.  If the current body is a moon, parent planet is the planet that it orbits.</t>
  </si>
  <si>
    <t xml:space="preserve">Current star is the star that the current body, or its parent planet, orbits.  The current star</t>
  </si>
  <si>
    <t xml:space="preserve">may or may not be the parent star of the home world.</t>
  </si>
  <si>
    <t xml:space="preserve">Planet or moon?</t>
  </si>
  <si>
    <t xml:space="preserve">Planet</t>
  </si>
  <si>
    <t xml:space="preserve">Parent planet</t>
  </si>
  <si>
    <t xml:space="preserve">Enter below the air pressure at sea level and the composition of the atmosphere.  Only</t>
  </si>
  <si>
    <t xml:space="preserve">the most common and applicable gases are included, though there is space to add others.</t>
  </si>
  <si>
    <t xml:space="preserve">Air pressure at sea level</t>
  </si>
  <si>
    <t xml:space="preserve">Nitrogen</t>
  </si>
  <si>
    <t xml:space="preserve">N₂</t>
  </si>
  <si>
    <t xml:space="preserve">Oxygen</t>
  </si>
  <si>
    <t xml:space="preserve">O₂</t>
  </si>
  <si>
    <t xml:space="preserve">Argon</t>
  </si>
  <si>
    <t xml:space="preserve">Ar</t>
  </si>
  <si>
    <t xml:space="preserve">Water</t>
  </si>
  <si>
    <t xml:space="preserve">H₂O</t>
  </si>
  <si>
    <t xml:space="preserve">Carbon Dioxide</t>
  </si>
  <si>
    <t xml:space="preserve">CO₂</t>
  </si>
  <si>
    <t xml:space="preserve">No greenhouse</t>
  </si>
  <si>
    <t xml:space="preserve">Partial pressure of O₂ @ sea level</t>
  </si>
  <si>
    <t xml:space="preserve">mbar</t>
  </si>
  <si>
    <t xml:space="preserve">Relative humidity @ sea level *</t>
  </si>
  <si>
    <t xml:space="preserve">* water content at surface assumed 4x atmospheric mean.</t>
  </si>
  <si>
    <t xml:space="preserve">Greenhouse effect</t>
  </si>
  <si>
    <t xml:space="preserve">The following is where the real action takes place.  Making changes here can have catastrophic consequences, so tread carefully.  The mean temperature curve uses a built-in model that is based on real</t>
  </si>
  <si>
    <t xml:space="preserve">life models of Earth's atmosphere.  Temperature is initially a function of pressure, which is converted to height.  Changes are not recommended; however, if you want to modify or replace the built-in</t>
  </si>
  <si>
    <t xml:space="preserve">curve, you can overwrite the numbers in column C inside the bordered area.  DO NOT CHANGE ANYTHING ELSE.</t>
  </si>
  <si>
    <t xml:space="preserve">Atmosphere ends when dynamic pressure drops below:</t>
  </si>
  <si>
    <t xml:space="preserve">kPa</t>
  </si>
  <si>
    <t xml:space="preserve">Other Atmosphere</t>
  </si>
  <si>
    <t xml:space="preserve">Enter below the air pressure at the datum (sea level) and the composition of the atmosphere.  Many gases are</t>
  </si>
  <si>
    <t xml:space="preserve">included, though not all are probable.  Check the boiling points and molecular weights to confirm that the selected</t>
  </si>
  <si>
    <t xml:space="preserve">gases are able to exist in the given environment.</t>
  </si>
  <si>
    <t xml:space="preserve">Air pressure at datum (elevation = 0)</t>
  </si>
  <si>
    <t xml:space="preserve">Lowest molecular weight retained</t>
  </si>
  <si>
    <t xml:space="preserve">M.P.</t>
  </si>
  <si>
    <t xml:space="preserve">B.P.</t>
  </si>
  <si>
    <t xml:space="preserve">Neon</t>
  </si>
  <si>
    <t xml:space="preserve">Ne</t>
  </si>
  <si>
    <t xml:space="preserve">Carbon Monoxide</t>
  </si>
  <si>
    <t xml:space="preserve">CO</t>
  </si>
  <si>
    <t xml:space="preserve">Nitric Oxide</t>
  </si>
  <si>
    <t xml:space="preserve">NO</t>
  </si>
  <si>
    <t xml:space="preserve">Ethane</t>
  </si>
  <si>
    <t xml:space="preserve">C₂H₆</t>
  </si>
  <si>
    <t xml:space="preserve">Hydrogen Sulfide</t>
  </si>
  <si>
    <t xml:space="preserve">H₂S</t>
  </si>
  <si>
    <t xml:space="preserve">Sulfur Dioxide</t>
  </si>
  <si>
    <t xml:space="preserve">SO₂</t>
  </si>
  <si>
    <t xml:space="preserve">Chlorine</t>
  </si>
  <si>
    <t xml:space="preserve">Cl₂</t>
  </si>
  <si>
    <t xml:space="preserve">Krypton</t>
  </si>
  <si>
    <t xml:space="preserve">Kr</t>
  </si>
  <si>
    <t xml:space="preserve">M.P. = melting point</t>
  </si>
  <si>
    <t xml:space="preserve">B.P. = boiling point</t>
  </si>
  <si>
    <t xml:space="preserve">Aerosols in the atmosphere (haze) can produce an anti-greenhouse effect while</t>
  </si>
  <si>
    <t xml:space="preserve">substantially warming the atmosphere (think Titan).</t>
  </si>
  <si>
    <t xml:space="preserve">Is there an aerosol layer, and if so, % radiation blocked?</t>
  </si>
  <si>
    <t xml:space="preserve">* does not include normal cloud cover</t>
  </si>
  <si>
    <t xml:space="preserve">Provide an estimate of how much of the body's surface is covered by ocean.</t>
  </si>
  <si>
    <t xml:space="preserve">% Ocean (approximate if unknown)</t>
  </si>
  <si>
    <t xml:space="preserve">Relative humidity</t>
  </si>
  <si>
    <t xml:space="preserve">Aerosol cooling effect</t>
  </si>
  <si>
    <t xml:space="preserve">The following is where the real action takes place.  Making changes here can have catastrophic consequences, so tread carefully.  The mean temperature curve uses a built-in model that is a rough</t>
  </si>
  <si>
    <t xml:space="preserve">approximation based on the few known examples of atmospheres in our own solar system.  Temperature is initially a function of pressure, which is converted to height.  Changes are not recommended;</t>
  </si>
  <si>
    <t xml:space="preserve">however, if you want to modify or replace the built-in curve, you can overwrite the numbers in column C inside the bordered area.  DO NOT CHANGE ANYTHING ELSE.</t>
  </si>
  <si>
    <t xml:space="preserve">Tidally Locked Atmosphere</t>
  </si>
  <si>
    <t xml:space="preserve">This calculator is for planets tidally locked to their star, not tidally locked moons.  For</t>
  </si>
  <si>
    <t xml:space="preserve">proper tidally locked atmospheres, the following mod is a required dependency:</t>
  </si>
  <si>
    <t xml:space="preserve">Sigma HeatShifter</t>
  </si>
  <si>
    <t xml:space="preserve">Black body temperature, sunlit side</t>
  </si>
  <si>
    <t xml:space="preserve">Black body temperature, sub-solar point</t>
  </si>
  <si>
    <t xml:space="preserve">Maximum temperature range</t>
  </si>
  <si>
    <t xml:space="preserve">approximation based partly on science and partly on educated guesswork.  Temperature is initially a function of pressure, which is converted to height.  Changes are not recommended; however,</t>
  </si>
  <si>
    <t xml:space="preserve">if you want to modify or replace the built-in curve, you can overwrite the numbers in column C inside the bordered area.  DO NOT CHANGE ANYTHING ELSE.</t>
  </si>
  <si>
    <t xml:space="preserve">maxTempAngleOffset =</t>
  </si>
</sst>
</file>

<file path=xl/styles.xml><?xml version="1.0" encoding="utf-8"?>
<styleSheet xmlns="http://schemas.openxmlformats.org/spreadsheetml/2006/main">
  <numFmts count="14">
    <numFmt numFmtId="164" formatCode="General"/>
    <numFmt numFmtId="165" formatCode="#,##0"/>
    <numFmt numFmtId="166" formatCode="0.000E+00"/>
    <numFmt numFmtId="167" formatCode="0"/>
    <numFmt numFmtId="168" formatCode="0.00E+00"/>
    <numFmt numFmtId="169" formatCode="0%"/>
    <numFmt numFmtId="170" formatCode="0.00%"/>
    <numFmt numFmtId="171" formatCode="0.00"/>
    <numFmt numFmtId="172" formatCode="0.000"/>
    <numFmt numFmtId="173" formatCode="0.0000"/>
    <numFmt numFmtId="174" formatCode="0.00000E+00"/>
    <numFmt numFmtId="175" formatCode="0.0000E+00"/>
    <numFmt numFmtId="176" formatCode="0.0"/>
    <numFmt numFmtId="177" formatCode="General"/>
  </numFmts>
  <fonts count="17">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22"/>
      <color rgb="FF000000"/>
      <name val="Calibri"/>
      <family val="2"/>
      <charset val="1"/>
    </font>
    <font>
      <sz val="24"/>
      <color rgb="FF000000"/>
      <name val="Calibri"/>
      <family val="2"/>
      <charset val="1"/>
    </font>
    <font>
      <b val="true"/>
      <sz val="12"/>
      <color rgb="FF000000"/>
      <name val="Calibri"/>
      <family val="2"/>
      <charset val="1"/>
    </font>
    <font>
      <sz val="18"/>
      <color rgb="FF000000"/>
      <name val="Calibri"/>
      <family val="2"/>
      <charset val="1"/>
    </font>
    <font>
      <sz val="12"/>
      <name val="Calibri"/>
      <family val="2"/>
      <charset val="1"/>
    </font>
    <font>
      <i val="true"/>
      <sz val="11"/>
      <color rgb="FF000000"/>
      <name val="Calibri"/>
      <family val="2"/>
      <charset val="1"/>
    </font>
    <font>
      <b val="true"/>
      <i val="true"/>
      <sz val="12"/>
      <color rgb="FF000000"/>
      <name val="Calibri"/>
      <family val="2"/>
      <charset val="1"/>
    </font>
    <font>
      <b val="true"/>
      <sz val="11"/>
      <color rgb="FF000000"/>
      <name val="Calibri"/>
      <family val="2"/>
      <charset val="1"/>
    </font>
    <font>
      <i val="true"/>
      <sz val="10"/>
      <color rgb="FF000000"/>
      <name val="Calibri"/>
      <family val="2"/>
      <charset val="1"/>
    </font>
    <font>
      <sz val="12"/>
      <color rgb="FFD9D9D9"/>
      <name val="Calibri"/>
      <family val="2"/>
      <charset val="1"/>
    </font>
    <font>
      <u val="single"/>
      <sz val="14"/>
      <color rgb="FF0563C1"/>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D9D9D9"/>
        <bgColor rgb="FFC0C0C0"/>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hair"/>
      <right/>
      <top style="hair"/>
      <bottom/>
      <diagonal/>
    </border>
    <border diagonalUp="false" diagonalDown="false">
      <left/>
      <right/>
      <top style="hair"/>
      <bottom/>
      <diagonal/>
    </border>
    <border diagonalUp="false" diagonalDown="false">
      <left/>
      <right/>
      <top style="hair"/>
      <bottom style="hair"/>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2"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left"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8" fillId="2"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4" xfId="0" applyFont="true" applyBorder="true" applyAlignment="true" applyProtection="true">
      <alignment horizontal="general"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5" fontId="9" fillId="0" borderId="0" xfId="0" applyFont="true" applyBorder="true" applyAlignment="true" applyProtection="true">
      <alignment horizontal="right"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false" indent="0" shrinkToFit="false"/>
      <protection locked="true" hidden="false"/>
    </xf>
    <xf numFmtId="164" fontId="4" fillId="2" borderId="6" xfId="0" applyFont="true" applyBorder="true" applyAlignment="true" applyProtection="true">
      <alignment horizontal="left" vertical="bottom" textRotation="0" wrapText="false" indent="2"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10" fillId="2" borderId="8" xfId="0" applyFont="true" applyBorder="true" applyAlignment="true" applyProtection="true">
      <alignment horizontal="left" vertical="center" textRotation="0" wrapText="true" indent="0" shrinkToFit="false"/>
      <protection locked="true" hidden="false"/>
    </xf>
    <xf numFmtId="164" fontId="9" fillId="2" borderId="7" xfId="0" applyFont="true" applyBorder="true" applyAlignment="true" applyProtection="true">
      <alignment horizontal="general" vertical="bottom" textRotation="0" wrapText="false" indent="0" shrinkToFit="false"/>
      <protection locked="true" hidden="false"/>
    </xf>
    <xf numFmtId="166" fontId="9" fillId="0" borderId="9" xfId="0" applyFont="true" applyBorder="true" applyAlignment="tru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left" vertical="bottom" textRotation="0" wrapText="false" indent="2"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6" fontId="9" fillId="0" borderId="11" xfId="0" applyFont="true" applyBorder="true" applyAlignment="tru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left" vertical="bottom" textRotation="0" wrapText="false" indent="2" shrinkToFit="false"/>
      <protection locked="true" hidden="false"/>
    </xf>
    <xf numFmtId="164" fontId="4" fillId="2" borderId="13" xfId="0" applyFont="true" applyBorder="true" applyAlignment="true" applyProtection="true">
      <alignment horizontal="general" vertical="bottom" textRotation="0" wrapText="false" indent="0" shrinkToFit="false"/>
      <protection locked="true" hidden="false"/>
    </xf>
    <xf numFmtId="164" fontId="9" fillId="2" borderId="13"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2"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general" vertical="bottom" textRotation="0" wrapText="false" indent="0" shrinkToFit="false"/>
      <protection locked="true" hidden="false"/>
    </xf>
    <xf numFmtId="168" fontId="4" fillId="2" borderId="0"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general" vertical="bottom" textRotation="0" wrapText="false" indent="0" shrinkToFit="false"/>
      <protection locked="true" hidden="false"/>
    </xf>
    <xf numFmtId="165" fontId="9" fillId="0" borderId="0" xfId="0" applyFont="true" applyBorder="true" applyAlignment="true" applyProtection="true">
      <alignment horizontal="general" vertical="bottom" textRotation="0" wrapText="false" indent="0" shrinkToFit="false"/>
      <protection locked="true" hidden="false"/>
    </xf>
    <xf numFmtId="164" fontId="4" fillId="2" borderId="15"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general" vertical="bottom" textRotation="0" wrapText="false" indent="0" shrinkToFit="false"/>
      <protection locked="true" hidden="false"/>
    </xf>
    <xf numFmtId="164" fontId="4" fillId="2" borderId="17" xfId="0" applyFont="true" applyBorder="true" applyAlignment="true" applyProtection="true">
      <alignment horizontal="general" vertical="bottom" textRotation="0" wrapText="false" indent="0" shrinkToFit="false"/>
      <protection locked="true" hidden="false"/>
    </xf>
    <xf numFmtId="164" fontId="4" fillId="2" borderId="16"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70" fontId="9" fillId="0" borderId="0" xfId="19" applyFont="true" applyBorder="true" applyAlignment="true" applyProtection="true">
      <alignment horizontal="center" vertical="bottom" textRotation="0" wrapText="false" indent="0" shrinkToFit="false"/>
      <protection locked="true" hidden="false"/>
    </xf>
    <xf numFmtId="171" fontId="4" fillId="2"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71" fontId="4" fillId="0" borderId="0" xfId="0" applyFont="true" applyBorder="fals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true" applyProtection="true">
      <alignment horizontal="center" vertical="bottom" textRotation="0" wrapText="false" indent="0" shrinkToFit="false"/>
      <protection locked="true" hidden="false"/>
    </xf>
    <xf numFmtId="170" fontId="4" fillId="2" borderId="0" xfId="0" applyFont="true" applyBorder="false" applyAlignment="true" applyProtection="true">
      <alignment horizontal="center" vertical="bottom" textRotation="0" wrapText="false" indent="0" shrinkToFit="false"/>
      <protection locked="true" hidden="false"/>
    </xf>
    <xf numFmtId="171" fontId="4" fillId="2" borderId="0" xfId="0" applyFont="true" applyBorder="true" applyAlignment="true" applyProtection="true">
      <alignment horizontal="general" vertical="bottom" textRotation="0" wrapText="false" indent="0" shrinkToFit="false"/>
      <protection locked="true" hidden="false"/>
    </xf>
    <xf numFmtId="172"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72" fontId="4" fillId="0" borderId="0"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7" fontId="4" fillId="2" borderId="0" xfId="0" applyFont="true" applyBorder="false" applyAlignment="true" applyProtection="true">
      <alignment horizontal="center" vertical="bottom" textRotation="0" wrapText="false" indent="0" shrinkToFit="false"/>
      <protection locked="true" hidden="false"/>
    </xf>
    <xf numFmtId="173" fontId="4" fillId="2" borderId="0" xfId="0" applyFont="true" applyBorder="false" applyAlignment="true" applyProtection="true">
      <alignment horizontal="center" vertical="bottom" textRotation="0" wrapText="false" indent="0" shrinkToFit="false"/>
      <protection locked="true" hidden="false"/>
    </xf>
    <xf numFmtId="167" fontId="4" fillId="2" borderId="18" xfId="0" applyFont="true" applyBorder="true" applyAlignment="true" applyProtection="true">
      <alignment horizontal="center" vertical="bottom" textRotation="0" wrapText="false" indent="0" shrinkToFit="false"/>
      <protection locked="true" hidden="false"/>
    </xf>
    <xf numFmtId="168" fontId="4" fillId="2" borderId="0" xfId="0" applyFont="true" applyBorder="false" applyAlignment="true" applyProtection="true">
      <alignment horizontal="center" vertical="bottom" textRotation="0" wrapText="false" indent="0" shrinkToFit="false"/>
      <protection locked="true" hidden="false"/>
    </xf>
    <xf numFmtId="167" fontId="4" fillId="2" borderId="19" xfId="0" applyFont="true" applyBorder="true" applyAlignment="true" applyProtection="true">
      <alignment horizontal="center" vertical="bottom" textRotation="0" wrapText="false" indent="0" shrinkToFit="false"/>
      <protection locked="true" hidden="false"/>
    </xf>
    <xf numFmtId="167" fontId="4" fillId="2" borderId="2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12" fillId="0" borderId="0" xfId="0" applyFont="true" applyBorder="true" applyAlignment="true" applyProtection="true">
      <alignment horizontal="left"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2" shrinkToFit="false"/>
      <protection locked="true" hidden="false"/>
    </xf>
    <xf numFmtId="164" fontId="0" fillId="0" borderId="0" xfId="0" applyFont="true" applyBorder="false" applyAlignment="true" applyProtection="true">
      <alignment horizontal="left" vertical="bottom" textRotation="0" wrapText="false" indent="4"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4" fontId="0"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true" applyBorder="false" applyAlignment="true" applyProtection="true">
      <alignment horizontal="general" vertical="bottom" textRotation="0" wrapText="false" indent="0" shrinkToFit="false"/>
      <protection locked="false" hidden="false"/>
    </xf>
    <xf numFmtId="175" fontId="0" fillId="0" borderId="0" xfId="0" applyFont="true" applyBorder="false" applyAlignment="true" applyProtection="true">
      <alignment horizontal="general" vertical="bottom" textRotation="0" wrapText="false" indent="0" shrinkToFit="false"/>
      <protection locked="false" hidden="false"/>
    </xf>
    <xf numFmtId="164" fontId="11" fillId="2" borderId="0" xfId="0" applyFont="true" applyBorder="true" applyAlignment="true" applyProtection="true">
      <alignment horizontal="left" vertical="bottom" textRotation="0" wrapText="false" indent="0" shrinkToFit="false"/>
      <protection locked="true" hidden="false"/>
    </xf>
    <xf numFmtId="175" fontId="4" fillId="2" borderId="0" xfId="0" applyFont="true" applyBorder="true" applyAlignment="true" applyProtection="true">
      <alignment horizontal="general" vertical="bottom" textRotation="0" wrapText="false" indent="0" shrinkToFit="false"/>
      <protection locked="true" hidden="false"/>
    </xf>
    <xf numFmtId="167" fontId="4" fillId="2" borderId="0" xfId="0" applyFont="true" applyBorder="true" applyAlignment="true" applyProtection="true">
      <alignment horizontal="general" vertical="bottom" textRotation="0" wrapText="false" indent="0" shrinkToFit="false"/>
      <protection locked="true" hidden="false"/>
    </xf>
    <xf numFmtId="176" fontId="4"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2" shrinkToFit="false"/>
      <protection locked="true" hidden="false"/>
    </xf>
    <xf numFmtId="171" fontId="4" fillId="2"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left" vertical="bottom" textRotation="0" wrapText="true" indent="0" shrinkToFit="false"/>
      <protection locked="true" hidden="false"/>
    </xf>
    <xf numFmtId="167" fontId="4" fillId="2" borderId="0" xfId="0" applyFont="true" applyBorder="false" applyAlignment="true" applyProtection="true">
      <alignment horizontal="right" vertical="bottom" textRotation="0" wrapText="false" indent="0" shrinkToFit="false"/>
      <protection locked="true" hidden="false"/>
    </xf>
    <xf numFmtId="172" fontId="4" fillId="2" borderId="0" xfId="0" applyFont="true" applyBorder="false" applyAlignment="true" applyProtection="true">
      <alignment horizontal="center" vertical="bottom" textRotation="0" wrapText="false" indent="0" shrinkToFit="false"/>
      <protection locked="true" hidden="false"/>
    </xf>
    <xf numFmtId="171" fontId="0"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right" vertical="bottom" textRotation="0" wrapText="false" indent="0" shrinkToFit="false"/>
      <protection locked="true" hidden="false"/>
    </xf>
    <xf numFmtId="177" fontId="4" fillId="2"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7" fontId="0" fillId="0" borderId="16" xfId="0" applyFont="true" applyBorder="true" applyAlignment="true" applyProtection="true">
      <alignment horizontal="center" vertical="bottom" textRotation="0" wrapText="false" indent="0" shrinkToFit="false"/>
      <protection locked="true" hidden="false"/>
    </xf>
    <xf numFmtId="167" fontId="4" fillId="2" borderId="0" xfId="0" applyFont="true" applyBorder="true" applyAlignment="true" applyProtection="true">
      <alignment horizontal="right" vertical="bottom" textRotation="0" wrapText="false" indent="0" shrinkToFit="false"/>
      <protection locked="true" hidden="false"/>
    </xf>
    <xf numFmtId="167" fontId="9" fillId="2" borderId="0" xfId="0" applyFont="true" applyBorder="false" applyAlignment="true" applyProtection="true">
      <alignment horizontal="general" vertical="bottom" textRotation="0" wrapText="false" indent="0" shrinkToFit="false"/>
      <protection locked="true" hidden="false"/>
    </xf>
    <xf numFmtId="169" fontId="4" fillId="2" borderId="0" xfId="19"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left" vertical="bottom" textRotation="0" wrapText="false" indent="3" shrinkToFit="false"/>
      <protection locked="true" hidden="false"/>
    </xf>
    <xf numFmtId="172" fontId="14" fillId="2" borderId="0" xfId="0" applyFont="true" applyBorder="false" applyAlignment="true" applyProtection="true">
      <alignment horizontal="general" vertical="bottom" textRotation="0" wrapText="false" indent="0" shrinkToFit="false"/>
      <protection locked="true" hidden="false"/>
    </xf>
    <xf numFmtId="177" fontId="9" fillId="2" borderId="0" xfId="0" applyFont="true" applyBorder="false" applyAlignment="true" applyProtection="true">
      <alignment horizontal="general" vertical="bottom" textRotation="0" wrapText="false" indent="0" shrinkToFit="false"/>
      <protection locked="true" hidden="false"/>
    </xf>
    <xf numFmtId="176" fontId="9" fillId="2"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false" applyAlignment="true" applyProtection="true">
      <alignment horizontal="general" vertical="bottom" textRotation="0" wrapText="false" indent="0" shrinkToFit="false"/>
      <protection locked="true" hidden="false"/>
    </xf>
    <xf numFmtId="176" fontId="4" fillId="2" borderId="0" xfId="0" applyFont="true" applyBorder="false" applyAlignment="true" applyProtection="true">
      <alignment horizontal="right" vertical="bottom" textRotation="0" wrapText="false" indent="0" shrinkToFit="false"/>
      <protection locked="true" hidden="false"/>
    </xf>
    <xf numFmtId="173" fontId="4" fillId="2" borderId="0" xfId="0" applyFont="true" applyBorder="false" applyAlignment="true" applyProtection="true">
      <alignment horizontal="general" vertical="bottom" textRotation="0" wrapText="false" indent="0" shrinkToFit="false"/>
      <protection locked="true" hidden="false"/>
    </xf>
    <xf numFmtId="164" fontId="4" fillId="2" borderId="0" xfId="19" applyFont="true" applyBorder="true" applyAlignment="true" applyProtection="true">
      <alignment horizontal="general" vertical="bottom" textRotation="0" wrapText="false" indent="0" shrinkToFit="false"/>
      <protection locked="true" hidden="false"/>
    </xf>
    <xf numFmtId="177" fontId="4" fillId="2" borderId="0" xfId="0" applyFont="true" applyBorder="false" applyAlignment="true" applyProtection="true">
      <alignment horizontal="general" vertical="bottom" textRotation="0" wrapText="false" indent="0" shrinkToFit="false"/>
      <protection locked="true" hidden="false"/>
    </xf>
    <xf numFmtId="170" fontId="9" fillId="0" borderId="16" xfId="19" applyFont="true" applyBorder="true" applyAlignment="true" applyProtection="true">
      <alignment horizontal="center" vertical="bottom" textRotation="0" wrapText="false" indent="0" shrinkToFit="false"/>
      <protection locked="true" hidden="false"/>
    </xf>
    <xf numFmtId="171" fontId="4" fillId="0" borderId="16"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false" applyAlignment="true" applyProtection="true">
      <alignment horizontal="right" vertical="bottom" textRotation="0" wrapText="fals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77" fontId="4" fillId="2" borderId="0" xfId="0" applyFont="true" applyBorder="false" applyAlignment="true" applyProtection="true">
      <alignment horizontal="center" vertical="bottom" textRotation="0" wrapText="false" indent="0" shrinkToFit="false"/>
      <protection locked="true" hidden="false"/>
    </xf>
    <xf numFmtId="177" fontId="0" fillId="0" borderId="0" xfId="0" applyFont="true" applyBorder="false" applyAlignment="true" applyProtection="true">
      <alignment horizontal="center" vertical="bottom" textRotation="0" wrapText="false" indent="0" shrinkToFit="false"/>
      <protection locked="true" hidden="false"/>
    </xf>
    <xf numFmtId="164" fontId="15" fillId="2" borderId="0" xfId="20" applyFont="true" applyBorder="true" applyAlignment="true" applyProtection="true">
      <alignment horizontal="left" vertical="bottom" textRotation="0" wrapText="false" indent="2"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ithub.com/Sigma88/Sigma-HeatShifter/releas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false" hidden="false" outlineLevel="0" max="1024" min="1" style="1" width="9.13"/>
  </cols>
  <sheetData>
    <row r="2" customFormat="false" ht="28.5" hidden="false" customHeight="false" outlineLevel="0" collapsed="false">
      <c r="B2" s="2" t="s">
        <v>0</v>
      </c>
    </row>
    <row r="4" customFormat="false" ht="15.75" hidden="false" customHeight="false" outlineLevel="0" collapsed="false">
      <c r="B4" s="1" t="s">
        <v>1</v>
      </c>
    </row>
    <row r="6" customFormat="false" ht="15.75" hidden="false" customHeight="false" outlineLevel="0" collapsed="false">
      <c r="B6" s="1" t="s">
        <v>2</v>
      </c>
    </row>
    <row r="7" customFormat="false" ht="15.75" hidden="false" customHeight="false" outlineLevel="0" collapsed="false">
      <c r="B7" s="1" t="s">
        <v>3</v>
      </c>
    </row>
    <row r="9" customFormat="false" ht="15.75" hidden="false" customHeight="false" outlineLevel="0" collapsed="false">
      <c r="B9" s="3" t="s">
        <v>4</v>
      </c>
    </row>
    <row r="11" customFormat="false" ht="15.75" hidden="false" customHeight="false" outlineLevel="0" collapsed="false">
      <c r="B11" s="3" t="s">
        <v>5</v>
      </c>
    </row>
    <row r="13" customFormat="false" ht="15.75" hidden="false" customHeight="false" outlineLevel="0" collapsed="false">
      <c r="B13" s="3" t="s">
        <v>6</v>
      </c>
    </row>
    <row r="15" customFormat="false" ht="15.75" hidden="false" customHeight="false" outlineLevel="0" collapsed="false">
      <c r="B15" s="3" t="s">
        <v>7</v>
      </c>
    </row>
    <row r="17" customFormat="false" ht="15.75" hidden="false" customHeight="false" outlineLevel="0" collapsed="false">
      <c r="B17" s="3" t="s">
        <v>8</v>
      </c>
    </row>
    <row r="19" customFormat="false" ht="15.75" hidden="false" customHeight="false" outlineLevel="0" collapsed="false">
      <c r="B19" s="1" t="s">
        <v>9</v>
      </c>
    </row>
    <row r="20" customFormat="false" ht="15.75" hidden="false" customHeight="false" outlineLevel="0" collapsed="false">
      <c r="B20" s="1" t="s">
        <v>10</v>
      </c>
    </row>
    <row r="21" customFormat="false" ht="15.75" hidden="false" customHeight="false" outlineLevel="0" collapsed="false">
      <c r="B21" s="1" t="s">
        <v>11</v>
      </c>
    </row>
    <row r="22" customFormat="false" ht="15.75" hidden="false" customHeight="false" outlineLevel="0" collapsed="false">
      <c r="B22" s="1" t="s">
        <v>12</v>
      </c>
    </row>
    <row r="24" customFormat="false" ht="15.75" hidden="false" customHeight="false" outlineLevel="0" collapsed="false">
      <c r="B24" s="1" t="s">
        <v>13</v>
      </c>
    </row>
    <row r="26" customFormat="false" ht="15.75" hidden="false" customHeight="false" outlineLevel="0" collapsed="false">
      <c r="B26" s="1" t="s">
        <v>14</v>
      </c>
    </row>
    <row r="28" customFormat="false" ht="15.75" hidden="false" customHeight="false" outlineLevel="0" collapsed="false">
      <c r="B28" s="1" t="s">
        <v>15</v>
      </c>
    </row>
    <row r="29" customFormat="false" ht="15.75" hidden="false" customHeight="false" outlineLevel="0" collapsed="false">
      <c r="B29" s="1" t="s">
        <v>16</v>
      </c>
    </row>
    <row r="31" customFormat="false" ht="15.75" hidden="false" customHeight="false" outlineLevel="0" collapsed="false">
      <c r="B31" s="1" t="s">
        <v>17</v>
      </c>
    </row>
    <row r="32" customFormat="false" ht="15.75" hidden="false" customHeight="false" outlineLevel="0" collapsed="false">
      <c r="B32" s="1"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R189"/>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G43" activeCellId="0" sqref="G43"/>
    </sheetView>
  </sheetViews>
  <sheetFormatPr defaultColWidth="9.13671875" defaultRowHeight="15.75" zeroHeight="false" outlineLevelRow="0" outlineLevelCol="0"/>
  <cols>
    <col collapsed="false" customWidth="true" hidden="false" outlineLevel="0" max="1" min="1" style="1" width="3.71"/>
    <col collapsed="false" customWidth="true" hidden="false" outlineLevel="0" max="16" min="2" style="1" width="12.71"/>
    <col collapsed="false" customWidth="true" hidden="false" outlineLevel="0" max="17" min="17" style="1" width="13.7"/>
    <col collapsed="false" customWidth="false" hidden="false" outlineLevel="0" max="1024" min="18" style="1" width="9.13"/>
  </cols>
  <sheetData>
    <row r="2" customFormat="false" ht="31.5" hidden="false" customHeight="false" outlineLevel="0" collapsed="false">
      <c r="B2" s="4" t="s">
        <v>361</v>
      </c>
      <c r="C2" s="4"/>
      <c r="D2" s="4"/>
      <c r="E2" s="4"/>
      <c r="F2" s="4"/>
      <c r="G2" s="4"/>
      <c r="H2" s="4"/>
    </row>
    <row r="4" customFormat="false" ht="15.75" hidden="false" customHeight="false" outlineLevel="0" collapsed="false">
      <c r="B4" s="53" t="s">
        <v>362</v>
      </c>
      <c r="C4" s="53"/>
      <c r="D4" s="53"/>
      <c r="E4" s="53"/>
      <c r="F4" s="53"/>
      <c r="G4" s="53"/>
      <c r="H4" s="53"/>
    </row>
    <row r="5" customFormat="false" ht="15.75" hidden="false" customHeight="false" outlineLevel="0" collapsed="false">
      <c r="B5" s="53" t="s">
        <v>363</v>
      </c>
      <c r="C5" s="53"/>
      <c r="D5" s="53"/>
      <c r="E5" s="53"/>
      <c r="F5" s="53"/>
      <c r="G5" s="53"/>
      <c r="H5" s="53"/>
    </row>
    <row r="7" customFormat="false" ht="18.75" hidden="false" customHeight="false" outlineLevel="0" collapsed="false">
      <c r="B7" s="106" t="s">
        <v>364</v>
      </c>
    </row>
    <row r="9" customFormat="false" ht="15.75" hidden="false" customHeight="false" outlineLevel="0" collapsed="false">
      <c r="B9" s="5" t="s">
        <v>20</v>
      </c>
      <c r="C9" s="5"/>
      <c r="D9" s="5"/>
      <c r="E9" s="5"/>
      <c r="F9" s="5"/>
      <c r="G9" s="5"/>
      <c r="H9" s="5"/>
    </row>
    <row r="10" customFormat="false" ht="15.75" hidden="false" customHeight="false" outlineLevel="0" collapsed="false">
      <c r="B10" s="5" t="s">
        <v>233</v>
      </c>
      <c r="C10" s="5"/>
      <c r="D10" s="5"/>
      <c r="E10" s="5"/>
      <c r="F10" s="5"/>
      <c r="G10" s="5"/>
      <c r="H10" s="5"/>
    </row>
    <row r="11" customFormat="false" ht="15.75" hidden="false" customHeight="false" outlineLevel="0" collapsed="false">
      <c r="B11" s="5" t="s">
        <v>234</v>
      </c>
      <c r="C11" s="5"/>
      <c r="D11" s="5"/>
      <c r="E11" s="5"/>
      <c r="F11" s="5"/>
      <c r="G11" s="5"/>
      <c r="H11" s="5"/>
    </row>
    <row r="12" customFormat="false" ht="15.75" hidden="false" customHeight="false" outlineLevel="0" collapsed="false">
      <c r="B12" s="5" t="s">
        <v>235</v>
      </c>
      <c r="C12" s="5"/>
      <c r="D12" s="5"/>
      <c r="E12" s="5"/>
      <c r="F12" s="5"/>
      <c r="G12" s="5"/>
      <c r="H12" s="5"/>
    </row>
    <row r="14" customFormat="false" ht="15.75" hidden="false" customHeight="false" outlineLevel="0" collapsed="false">
      <c r="B14" s="1" t="s">
        <v>29</v>
      </c>
    </row>
    <row r="15" customFormat="false" ht="15" hidden="false" customHeight="false" outlineLevel="0" collapsed="false">
      <c r="B15" s="3" t="s">
        <v>32</v>
      </c>
      <c r="F15" s="13" t="n">
        <v>348871312.337751</v>
      </c>
      <c r="G15" s="13"/>
      <c r="H15" s="12" t="s">
        <v>33</v>
      </c>
    </row>
    <row r="16" customFormat="false" ht="15.75" hidden="false" customHeight="false" outlineLevel="0" collapsed="false">
      <c r="B16" s="1" t="s">
        <v>36</v>
      </c>
      <c r="F16" s="14"/>
      <c r="G16" s="14"/>
    </row>
    <row r="17" customFormat="false" ht="15" hidden="false" customHeight="false" outlineLevel="0" collapsed="false">
      <c r="B17" s="3" t="s">
        <v>39</v>
      </c>
      <c r="F17" s="13" t="n">
        <v>396549</v>
      </c>
      <c r="G17" s="13"/>
      <c r="H17" s="1" t="s">
        <v>33</v>
      </c>
    </row>
    <row r="18" customFormat="false" ht="15" hidden="false" customHeight="true" outlineLevel="0" collapsed="false">
      <c r="B18" s="15" t="s">
        <v>42</v>
      </c>
      <c r="C18" s="16"/>
      <c r="D18" s="17" t="s">
        <v>43</v>
      </c>
      <c r="E18" s="17"/>
      <c r="F18" s="18"/>
      <c r="G18" s="19"/>
      <c r="H18" s="12" t="s">
        <v>44</v>
      </c>
    </row>
    <row r="19" customFormat="false" ht="15" hidden="false" customHeight="false" outlineLevel="0" collapsed="false">
      <c r="B19" s="20" t="s">
        <v>47</v>
      </c>
      <c r="C19" s="12"/>
      <c r="D19" s="17"/>
      <c r="E19" s="17"/>
      <c r="F19" s="21"/>
      <c r="G19" s="22" t="n">
        <v>2.187317E+028</v>
      </c>
      <c r="H19" s="1" t="s">
        <v>48</v>
      </c>
    </row>
    <row r="20" customFormat="false" ht="15.75" hidden="false" customHeight="false" outlineLevel="0" collapsed="false">
      <c r="B20" s="23" t="s">
        <v>50</v>
      </c>
      <c r="C20" s="24"/>
      <c r="D20" s="17"/>
      <c r="E20" s="17"/>
      <c r="F20" s="25"/>
      <c r="G20" s="26"/>
      <c r="H20" s="12" t="s">
        <v>51</v>
      </c>
    </row>
    <row r="21" customFormat="false" ht="15" hidden="false" customHeight="false" outlineLevel="0" collapsed="false">
      <c r="B21" s="3" t="s">
        <v>236</v>
      </c>
      <c r="F21" s="14"/>
      <c r="G21" s="30" t="n">
        <v>1360</v>
      </c>
      <c r="H21" s="12" t="s">
        <v>135</v>
      </c>
    </row>
    <row r="22" s="12" customFormat="true" ht="15.75" hidden="false" customHeight="false" outlineLevel="0" collapsed="false">
      <c r="B22" s="1" t="s">
        <v>237</v>
      </c>
      <c r="F22" s="21"/>
      <c r="G22" s="21"/>
      <c r="N22" s="1"/>
      <c r="O22" s="1"/>
      <c r="P22" s="1"/>
      <c r="Q22" s="1"/>
    </row>
    <row r="23" s="12" customFormat="true" ht="15" hidden="false" customHeight="false" outlineLevel="0" collapsed="false">
      <c r="B23" s="3" t="s">
        <v>39</v>
      </c>
      <c r="C23" s="1"/>
      <c r="D23" s="1"/>
      <c r="E23" s="1"/>
      <c r="F23" s="13" t="n">
        <v>1146783</v>
      </c>
      <c r="G23" s="13"/>
      <c r="H23" s="1" t="s">
        <v>33</v>
      </c>
      <c r="N23" s="1"/>
      <c r="O23" s="1"/>
      <c r="P23" s="1"/>
      <c r="Q23" s="1"/>
    </row>
    <row r="24" customFormat="false" ht="15" hidden="false" customHeight="true" outlineLevel="0" collapsed="false">
      <c r="B24" s="15" t="s">
        <v>42</v>
      </c>
      <c r="C24" s="16"/>
      <c r="D24" s="17" t="s">
        <v>43</v>
      </c>
      <c r="E24" s="17"/>
      <c r="F24" s="18"/>
      <c r="G24" s="19"/>
      <c r="H24" s="12" t="s">
        <v>44</v>
      </c>
    </row>
    <row r="25" s="12" customFormat="true" ht="15" hidden="false" customHeight="false" outlineLevel="0" collapsed="false">
      <c r="B25" s="20" t="s">
        <v>47</v>
      </c>
      <c r="D25" s="17"/>
      <c r="E25" s="17"/>
      <c r="F25" s="21"/>
      <c r="G25" s="22" t="n">
        <v>2.92628E+023</v>
      </c>
      <c r="H25" s="1" t="s">
        <v>48</v>
      </c>
      <c r="O25" s="1"/>
      <c r="P25" s="1"/>
      <c r="Q25" s="1"/>
    </row>
    <row r="26" customFormat="false" ht="15.75" hidden="false" customHeight="false" outlineLevel="0" collapsed="false">
      <c r="B26" s="23" t="s">
        <v>50</v>
      </c>
      <c r="C26" s="24"/>
      <c r="D26" s="17"/>
      <c r="E26" s="17"/>
      <c r="F26" s="25"/>
      <c r="G26" s="26"/>
      <c r="H26" s="12" t="s">
        <v>51</v>
      </c>
      <c r="I26" s="12"/>
    </row>
    <row r="27" s="12" customFormat="true" ht="15.75" hidden="false" customHeight="false" outlineLevel="0" collapsed="false">
      <c r="B27" s="3" t="s">
        <v>238</v>
      </c>
      <c r="F27" s="21"/>
      <c r="G27" s="30" t="n">
        <v>0.3</v>
      </c>
      <c r="O27" s="1"/>
      <c r="P27" s="1"/>
      <c r="Q27" s="1"/>
    </row>
    <row r="28" s="12" customFormat="true" ht="15" hidden="false" customHeight="false" outlineLevel="0" collapsed="false">
      <c r="B28" s="3" t="s">
        <v>32</v>
      </c>
      <c r="F28" s="13" t="n">
        <v>800000000</v>
      </c>
      <c r="G28" s="13"/>
      <c r="H28" s="12" t="s">
        <v>33</v>
      </c>
      <c r="O28" s="1"/>
      <c r="P28" s="1"/>
      <c r="Q28" s="1"/>
    </row>
    <row r="29" s="12" customFormat="true" ht="15.75" hidden="false" customHeight="false" outlineLevel="0" collapsed="false">
      <c r="B29" s="3" t="s">
        <v>239</v>
      </c>
      <c r="F29" s="21"/>
      <c r="G29" s="30" t="n">
        <v>0</v>
      </c>
      <c r="O29" s="1"/>
      <c r="P29" s="1"/>
      <c r="Q29" s="1"/>
    </row>
    <row r="30" s="12" customFormat="true" ht="15.75" hidden="false" customHeight="false" outlineLevel="0" collapsed="false">
      <c r="B30" s="3" t="s">
        <v>240</v>
      </c>
      <c r="F30" s="21"/>
      <c r="G30" s="30" t="n">
        <v>0</v>
      </c>
      <c r="H30" s="12" t="s">
        <v>241</v>
      </c>
      <c r="O30" s="1"/>
      <c r="P30" s="1"/>
      <c r="Q30" s="1"/>
    </row>
    <row r="31" s="12" customFormat="true" ht="15.75" hidden="false" customHeight="false" outlineLevel="0" collapsed="false">
      <c r="B31" s="3" t="s">
        <v>242</v>
      </c>
      <c r="F31" s="21"/>
      <c r="G31" s="30" t="n">
        <v>0</v>
      </c>
      <c r="H31" s="12" t="s">
        <v>241</v>
      </c>
      <c r="O31" s="1"/>
      <c r="P31" s="1"/>
      <c r="Q31" s="1"/>
    </row>
    <row r="32" s="12" customFormat="true" ht="15.75" hidden="false" customHeight="false" outlineLevel="0" collapsed="false">
      <c r="B32" s="28"/>
      <c r="F32" s="21"/>
      <c r="G32" s="21"/>
      <c r="O32" s="1"/>
      <c r="P32" s="1"/>
      <c r="Q32" s="1"/>
    </row>
    <row r="33" customFormat="false" ht="15.75" hidden="false" customHeight="false" outlineLevel="0" collapsed="false">
      <c r="B33" s="5" t="s">
        <v>69</v>
      </c>
      <c r="C33" s="5"/>
      <c r="D33" s="5"/>
      <c r="E33" s="5"/>
      <c r="F33" s="5"/>
      <c r="G33" s="5"/>
      <c r="H33" s="5"/>
      <c r="K33" s="12"/>
      <c r="L33" s="12"/>
      <c r="M33" s="12"/>
      <c r="N33" s="12"/>
    </row>
    <row r="34" customFormat="false" ht="15.75" hidden="false" customHeight="false" outlineLevel="0" collapsed="false">
      <c r="B34" s="5" t="s">
        <v>243</v>
      </c>
      <c r="C34" s="5"/>
      <c r="D34" s="5"/>
      <c r="E34" s="5"/>
      <c r="F34" s="5"/>
      <c r="G34" s="5"/>
      <c r="H34" s="5"/>
      <c r="K34" s="12"/>
      <c r="L34" s="12"/>
      <c r="M34" s="12"/>
      <c r="N34" s="12"/>
    </row>
    <row r="35" customFormat="false" ht="15.75" hidden="false" customHeight="false" outlineLevel="0" collapsed="false">
      <c r="F35" s="14"/>
      <c r="G35" s="14"/>
    </row>
    <row r="36" customFormat="false" ht="15" hidden="false" customHeight="false" outlineLevel="0" collapsed="false">
      <c r="B36" s="3" t="s">
        <v>75</v>
      </c>
      <c r="F36" s="34" t="n">
        <v>11467830</v>
      </c>
      <c r="G36" s="34"/>
      <c r="H36" s="1" t="s">
        <v>33</v>
      </c>
    </row>
    <row r="38" customFormat="false" ht="15.75" hidden="false" customHeight="false" outlineLevel="0" collapsed="false">
      <c r="B38" s="53" t="s">
        <v>325</v>
      </c>
      <c r="C38" s="53"/>
      <c r="D38" s="53"/>
      <c r="E38" s="53"/>
      <c r="F38" s="53"/>
      <c r="G38" s="53"/>
      <c r="H38" s="53"/>
      <c r="I38" s="53"/>
      <c r="J38" s="53"/>
    </row>
    <row r="39" customFormat="false" ht="15.75" hidden="false" customHeight="false" outlineLevel="0" collapsed="false">
      <c r="B39" s="53" t="s">
        <v>326</v>
      </c>
      <c r="C39" s="53"/>
      <c r="D39" s="53"/>
      <c r="E39" s="53"/>
      <c r="F39" s="53"/>
      <c r="G39" s="53"/>
      <c r="H39" s="53"/>
      <c r="I39" s="53"/>
      <c r="J39" s="53"/>
    </row>
    <row r="40" customFormat="false" ht="15.75" hidden="false" customHeight="false" outlineLevel="0" collapsed="false">
      <c r="B40" s="53" t="s">
        <v>327</v>
      </c>
      <c r="C40" s="53"/>
      <c r="D40" s="53"/>
      <c r="E40" s="53"/>
      <c r="F40" s="53"/>
      <c r="G40" s="53"/>
      <c r="H40" s="53"/>
      <c r="I40" s="53"/>
      <c r="J40" s="53"/>
    </row>
    <row r="42" customFormat="false" ht="15.75" hidden="false" customHeight="false" outlineLevel="0" collapsed="false">
      <c r="B42" s="3" t="s">
        <v>328</v>
      </c>
      <c r="G42" s="43" t="n">
        <v>1.78</v>
      </c>
      <c r="H42" s="1" t="s">
        <v>189</v>
      </c>
    </row>
    <row r="43" customFormat="false" ht="15.75" hidden="false" customHeight="false" outlineLevel="0" collapsed="false">
      <c r="B43" s="78" t="s">
        <v>259</v>
      </c>
      <c r="G43" s="89" t="n">
        <f aca="false">G103</f>
        <v>213.323200601526</v>
      </c>
      <c r="H43" s="1" t="s">
        <v>65</v>
      </c>
    </row>
    <row r="44" customFormat="false" ht="15.75" hidden="false" customHeight="false" outlineLevel="0" collapsed="false">
      <c r="B44" s="78" t="s">
        <v>329</v>
      </c>
      <c r="G44" s="94" t="n">
        <f aca="false">IF(G97&gt;0,IF(F36&gt;0,150*8314.4621*G43/(G97*9.80665*F36),25),25)</f>
        <v>1.56220299899746</v>
      </c>
      <c r="H44" s="1" t="s">
        <v>94</v>
      </c>
    </row>
    <row r="46" customFormat="false" ht="15.75" hidden="false" customHeight="false" outlineLevel="0" collapsed="false">
      <c r="F46" s="9" t="s">
        <v>87</v>
      </c>
      <c r="G46" s="9" t="s">
        <v>88</v>
      </c>
      <c r="H46" s="9" t="s">
        <v>89</v>
      </c>
      <c r="I46" s="85" t="s">
        <v>330</v>
      </c>
      <c r="J46" s="85" t="s">
        <v>331</v>
      </c>
    </row>
    <row r="47" customFormat="false" ht="15.75" hidden="false" customHeight="false" outlineLevel="0" collapsed="false">
      <c r="B47" s="36" t="s">
        <v>91</v>
      </c>
      <c r="C47" s="36"/>
      <c r="D47" s="36"/>
      <c r="E47" s="36" t="s">
        <v>92</v>
      </c>
      <c r="F47" s="38" t="s">
        <v>93</v>
      </c>
      <c r="G47" s="38" t="s">
        <v>94</v>
      </c>
      <c r="H47" s="38" t="s">
        <v>95</v>
      </c>
      <c r="I47" s="38" t="s">
        <v>65</v>
      </c>
      <c r="J47" s="38" t="s">
        <v>65</v>
      </c>
    </row>
    <row r="48" customFormat="false" ht="15.75" hidden="false" customHeight="false" outlineLevel="0" collapsed="false">
      <c r="B48" s="39" t="s">
        <v>244</v>
      </c>
      <c r="C48" s="39"/>
      <c r="D48" s="39"/>
      <c r="E48" s="1" t="s">
        <v>245</v>
      </c>
      <c r="F48" s="40" t="n">
        <v>0</v>
      </c>
      <c r="G48" s="41" t="n">
        <v>2.01588</v>
      </c>
      <c r="H48" s="41" t="n">
        <f aca="false">IF(G$103&lt;100,28.154,IF(G$103&lt;298.15,-0.0000012385*G$103^3+0.000847907*G$103^2-0.174747*G$103+38.3882,IF(G$103&lt;1000,33.066178-11.363417*(G$103/1000)+11.432816*(G$103/1000)^2-2.772874*(G$103/1000)^3-0.158558/(G$103/1000)^2,IF(G$103&lt;2500,18.563083+12.257357*(G$103/1000)-2.859786*(G$103/1000)^2+0.268238*(G$103/1000)^3+1.97799/(G$103/1000)^2,IF(G$103&lt;6000,43.41356-4.293079*(G$103/1000)+1.272428*(G$103/1000)^2-0.096876*(G$103/1000)^3-20.533862/(G$103/1000)^2,41.965)))))</f>
        <v>27.673205643097</v>
      </c>
      <c r="I48" s="57" t="str">
        <f aca="false">IF(G$42&gt;0,IF(F48&gt;0,IF(G$42*F48*60.795&lt;7.04,"n/a",14.025*(1+G$42*F48*60.795/28600)^0.589*EXP(-0.0000000046*G$42*F48*60.795)),"---"),"---")</f>
        <v>---</v>
      </c>
      <c r="J48" s="57" t="str">
        <f aca="false">IF(G$42&gt;0,IF(F48&gt;0,IF(G$42*F48*60.795&gt;1296.4,"n/a",IF(G$42*F48*60.795&lt;7.04,0.0921*LOG(G$42*F48*60.795)^3+0.5*LOG(G$42*F48*60.795)^2+2.4702*LOG(G$42*F48*60.795)+11.301,0.6528*LOG(G$42*F48*60.795)^3-1.2794*LOG(G$42*F48*60.795)^2+5.0293*LOG(G$42*F48*60.795)+10.052)),"---"),"---")</f>
        <v>---</v>
      </c>
      <c r="K48" s="1" t="str">
        <f aca="false">IF(F48&gt;0,IF(G48&lt;G$44,"Molecular weight too low",IF(J48&gt;G$43,"Boiling point too high","")),"")</f>
        <v/>
      </c>
    </row>
    <row r="49" customFormat="false" ht="15.75" hidden="false" customHeight="false" outlineLevel="0" collapsed="false">
      <c r="B49" s="12" t="s">
        <v>250</v>
      </c>
      <c r="C49" s="12"/>
      <c r="D49" s="12"/>
      <c r="E49" s="1" t="s">
        <v>251</v>
      </c>
      <c r="F49" s="40" t="n">
        <v>0</v>
      </c>
      <c r="G49" s="41" t="n">
        <v>3.02204</v>
      </c>
      <c r="H49" s="41" t="n">
        <f aca="false">IF(G$103&lt;100,29.288,IF(G$103&lt;298.15,0.0000056637*G$103^2-0.00269911*G$103+29.5013,IF(G$103&lt;1000,31.24992-7.58919*(G$103/1000)+9.011375*(G$103/1000)^2-1.914415*(G$103/1000)^3-0.047793/(G$103/1000)^2,IF(G$103&lt;6000,28.22296+4.575371*(G$103/1000)-0.551669*(G$103/1000)^2+0.031038*(G$103/1000)^3-1.732276/(G$103/1000)^2,42.339))))</f>
        <v>29.1832540107379</v>
      </c>
      <c r="I49" s="57" t="str">
        <f aca="false">IF(G$42&gt;0,IF(F49&gt;0,IF(G$42*F49*60.795&lt;12.37,"n/a",16.597*(1+G$42*F49*60.795/38430)^0.589),"---"),"---")</f>
        <v>---</v>
      </c>
      <c r="J49" s="57" t="str">
        <f aca="false">IF(G$42&gt;0,IF(F49&gt;0,IF(G$42*F49*60.795&gt;1483.9,"n/a",IF(G$42*F49*60.795&lt;12.37,0.0766*LOG(G$42*F49*60.795)^3+0.4961*LOG(G$42*F49*60.795)^2+2.6566*LOG(G$42*F49*60.795)+13.005,0.7275*LOG(G$42*F49*60.795)^3-1.7977*LOG(G$42*F49*60.795)^2+6.2531*LOG(G$42*F49*60.795)+10.951)),"---"),"---")</f>
        <v>---</v>
      </c>
      <c r="K49" s="1" t="str">
        <f aca="false">IF(F49&gt;0,IF(G49&lt;G$44,"Molecular weight too low",IF(J49&gt;G$43,"Boiling point too high","")),"")</f>
        <v/>
      </c>
    </row>
    <row r="50" customFormat="false" ht="15.75" hidden="false" customHeight="false" outlineLevel="0" collapsed="false">
      <c r="B50" s="12" t="s">
        <v>100</v>
      </c>
      <c r="C50" s="12"/>
      <c r="D50" s="12"/>
      <c r="E50" s="1" t="s">
        <v>101</v>
      </c>
      <c r="F50" s="40" t="n">
        <v>0.01</v>
      </c>
      <c r="G50" s="41" t="n">
        <v>4.002602</v>
      </c>
      <c r="H50" s="41" t="n">
        <v>20.786</v>
      </c>
      <c r="I50" s="57" t="str">
        <f aca="false">IF(G$42&gt;0,IF(F50&gt;0,IF(G$42*F50*60.795&lt;3013,"n/a",4.107*LOG(G$42*F50*60.795)^2-26.12*LOG(G$42*F50*60.795)+42.93),"---"),"---")</f>
        <v>n/a</v>
      </c>
      <c r="J50" s="57" t="n">
        <f aca="false">IF(G$42&gt;0,IF(F50&gt;0,IF(G$42*F50*60.795&gt;227.5,"n/a",37/(10.56-LN(G$42*F50*60.795))-2),"---"),"---")</f>
        <v>1.53018090426708</v>
      </c>
      <c r="K50" s="1" t="str">
        <f aca="false">IF(F50&gt;0,IF(G50&lt;G$44,"Molecular weight too low",IF(J50&gt;G$43,"Boiling point too high","")),"")</f>
        <v/>
      </c>
    </row>
    <row r="51" customFormat="false" ht="15.75" hidden="false" customHeight="false" outlineLevel="0" collapsed="false">
      <c r="B51" s="12" t="s">
        <v>246</v>
      </c>
      <c r="C51" s="12"/>
      <c r="D51" s="12"/>
      <c r="E51" s="1" t="s">
        <v>247</v>
      </c>
      <c r="F51" s="40" t="n">
        <v>0</v>
      </c>
      <c r="G51" s="41" t="n">
        <v>16.0425</v>
      </c>
      <c r="H51" s="41" t="n">
        <f aca="false">IF(G$103&lt;100,33.258,IF(G$103&lt;298.15,0.000000327888*G$103^3-0.000095605*G$103^2+0.00787935*G$103+33.0982,IF(G$103&lt;1300,-0.703029+108.4773*(G$103/1000)-42.52157*(G$103/1000)^2+5.862788*(G$103/1000)^3+0.678565/(G$103/1000)^2,IF(G$103&lt;6000,85.81217+11.26467*(G$103/1000)-2.114146*(G$103/1000)^2+0.13819*(G$103/1000)^3-26.42221/(G$103/1000)^2,106.306))))</f>
        <v>33.6113948410969</v>
      </c>
      <c r="I51" s="57" t="str">
        <f aca="false">IF(G$42&gt;0,IF(F51&gt;0,IF(G$42*F51*60.795&lt;11.696,"n/a",((G$42*F51*60.795-11.696)/208000+1)^(1/1.698)*90.69),"---"),"---")</f>
        <v>---</v>
      </c>
      <c r="J51" s="57" t="str">
        <f aca="false">IF(G$42&gt;0,IF(F51&gt;0,IF(G$42*F51*60.795&gt;4599,"n/a",IF(G$42*F51*60.795&lt;11.696,0.1714*LOG(G$42*F51*60.795)^3+1.7773*LOG(G$42*F51*60.795)^2+11.466*LOG(G$42*F51*60.795)+76.171,968/(13.58-LN(G$42*F51*60.795))+3.72)),"---"),"---")</f>
        <v>---</v>
      </c>
      <c r="K51" s="1" t="str">
        <f aca="false">IF(F51&gt;0,IF(G51&lt;G$44,"Molecular weight too low",IF(J51&gt;G$43,"Boiling point too high","")),"")</f>
        <v/>
      </c>
    </row>
    <row r="52" customFormat="false" ht="15.75" hidden="false" customHeight="false" outlineLevel="0" collapsed="false">
      <c r="B52" s="12" t="s">
        <v>248</v>
      </c>
      <c r="C52" s="12"/>
      <c r="D52" s="12"/>
      <c r="E52" s="1" t="s">
        <v>249</v>
      </c>
      <c r="F52" s="40" t="n">
        <v>0.005</v>
      </c>
      <c r="G52" s="41" t="n">
        <v>17.0305</v>
      </c>
      <c r="H52" s="41" t="n">
        <f aca="false">IF(G$103&lt;100,33.284,IF(G$103&lt;298.15,0.0000735664*G$103^2-0.0173399*G$103+34.2823,IF(G$103&lt;1400,19.99563+49.77119*(G$103/1000)-15.37599*(G$103/1000)^2+1.921168*(G$103/1000)^3+0.189174/(G$103/1000)^2,IF(G$103&lt;6000,52.02427+18.48801*(G$103/1000)-3.765128*(G$103/1000)^2+0.248541*(G$103/1000)^3-12.45799/(G$103/1000)^2,80.751))))</f>
        <v>33.9310675963507</v>
      </c>
      <c r="I52" s="57" t="str">
        <f aca="false">IF(G$42&gt;0,IF(F52&gt;0,IF(G$42*F52*60.795&lt;6.1111,"n/a",195.49*(1+G$42*F52*60.795/3051000)^1.466*EXP(-0.000000039*G$42*F52*60.795)),"---"),"---")</f>
        <v>n/a</v>
      </c>
      <c r="J52" s="57" t="n">
        <f aca="false">IF(G$42&gt;0,IF(F52&gt;0,IF(G$42*F52*60.795&gt;11333,"n/a",IF(G$42*F52*60.795&lt;6.1111,0.1044*LOG(G$42*F52*60.795)^3+1.891*LOG(G$42*F52*60.795)^2+19.626*LOG(G$42*F52*60.795)+178.8,2363/(15.49-LN(G$42*F52*60.795))+22.62)),"---"),"---")</f>
        <v>173.697484760863</v>
      </c>
      <c r="K52" s="1" t="str">
        <f aca="false">IF(F52&gt;0,IF(G52&lt;G$44,"Molecular weight too low",IF(J52&gt;G$43,"Boiling point too high","")),"")</f>
        <v/>
      </c>
    </row>
    <row r="53" customFormat="false" ht="15.75" hidden="false" customHeight="false" outlineLevel="0" collapsed="false">
      <c r="B53" s="12" t="s">
        <v>309</v>
      </c>
      <c r="C53" s="12"/>
      <c r="D53" s="12"/>
      <c r="E53" s="1" t="s">
        <v>310</v>
      </c>
      <c r="F53" s="40" t="n">
        <v>0</v>
      </c>
      <c r="G53" s="41" t="n">
        <v>18.0153</v>
      </c>
      <c r="H53" s="41" t="n">
        <f aca="false">IF(G$103&lt;100,33.284,IF(G$103&lt;298.15,0.00000986841*G$103^2-0.00246052*G$103+33.4464,IF(G$103&lt;500,-0.0000000923802*G$103^3+0.000125756*G$103^2-0.0471887*G$103+38.9288,IF(G$103&lt;1700,30.092+6.832514*(G$103/1000)+6.793435*(G$103/1000)^2-2.53448*(G$103/1000)^3+0.082139/(G$103/1000)^2,IF(G$103&lt;6000,41.96426+8.622053*(G$103/1000)-1.49978*(G$103/1000)^2+0.098119*(G$103/1000)^3-11.15764/(G$103/1000)^2,60.571)))))</f>
        <v>33.370593639383</v>
      </c>
      <c r="I53" s="57" t="str">
        <f aca="false">IF(G$42&gt;0,IF(F53&gt;0,IF(G$42*F53*60.795&lt;0.61157,"n/a",(G$42*F53*60.795/-395200+1)^(1/9)*273.16),"---"),"---")</f>
        <v>---</v>
      </c>
      <c r="J53" s="57" t="str">
        <f aca="false">IF(G$42&gt;0,IF(F53&gt;0,IF(G$42*F53*60.795&gt;22064,"n/a",IF(G$42*F53*60.795&lt;0.611657,0.178*LOG(G$42*F53*60.795)^3+2.7678*LOG(G$42*F53*60.795)^2+28.958*LOG(G$42*F53*60.795)+279.22,3985/(16.54-LN(G$42*F53*60.795))+39)),"---"),"---")</f>
        <v>---</v>
      </c>
      <c r="K53" s="1" t="str">
        <f aca="false">IF(G105&lt;1,IF(F53&gt;0,IF(G53&lt;G$44,"Molecular weight too low",IF(J53&gt;G$43,"Boiling point too high","")),""),"Too much water, oversaturated")</f>
        <v/>
      </c>
    </row>
    <row r="54" customFormat="false" ht="15.75" hidden="false" customHeight="false" outlineLevel="0" collapsed="false">
      <c r="B54" s="12" t="s">
        <v>332</v>
      </c>
      <c r="C54" s="12"/>
      <c r="D54" s="12"/>
      <c r="E54" s="1" t="s">
        <v>333</v>
      </c>
      <c r="F54" s="40" t="n">
        <v>0</v>
      </c>
      <c r="G54" s="41" t="n">
        <v>20.1797</v>
      </c>
      <c r="H54" s="41" t="n">
        <v>20.786</v>
      </c>
      <c r="I54" s="57" t="str">
        <f aca="false">IF(G$42&gt;0,IF(F54&gt;0,IF(G$42*F54*60.795&lt;43.3,"n/a",((G$42*F54*60.795/100000+1.2214)/0.012062)^(1/1.4587)+0.851),"---"),"---")</f>
        <v>---</v>
      </c>
      <c r="J54" s="57" t="str">
        <f aca="false">IF(G$42&gt;0,IF(F54&gt;0,IF(G$42*F54*60.795&gt;2678.6,"n/a",IF(G$42*F54*60.795&lt;43.3,-0.0148*LOG(G$42*F54*60.795)^3+0.4114*LOG(G$42*F54*60.795)^2+3.3375*LOG(G$42*F54*60.795)+18.061,265/(13.47-LN(G$42*F54*60.795))-2.83)),"---"),"---")</f>
        <v>---</v>
      </c>
      <c r="K54" s="1" t="str">
        <f aca="false">IF(F54&gt;0,IF(G54&lt;G$44,"Molecular weight too low",IF(J54&gt;G$43,"Boiling point too high","")),"")</f>
        <v/>
      </c>
    </row>
    <row r="55" customFormat="false" ht="15.75" hidden="false" customHeight="false" outlineLevel="0" collapsed="false">
      <c r="B55" s="12" t="s">
        <v>334</v>
      </c>
      <c r="C55" s="12"/>
      <c r="D55" s="12"/>
      <c r="E55" s="1" t="s">
        <v>335</v>
      </c>
      <c r="F55" s="40" t="n">
        <v>0</v>
      </c>
      <c r="G55" s="41" t="n">
        <v>28.0101</v>
      </c>
      <c r="H55" s="41" t="n">
        <f aca="false">IF(G$103&lt;100,29.104,IF(G$103&lt;298.15,0.00000154635*G$103^2-0.000423904*G$103+29.1309,IF(G$103&lt;1300,25.56759+6.09613*(G$103/1000)+4.054656*(G$103/1000)^2-2.671301*(G$103/1000)^3+0.131021/(G$103/1000)^2,IF(G$103&lt;6000,35.1507+1.300095*(G$103/1000)-0.205921*(G$103/1000)^2+0.01355*(G$103/1000)^3-3.28278/(G$103/1000)^2,38.388))))</f>
        <v>29.1108408634644</v>
      </c>
      <c r="I55" s="57" t="str">
        <f aca="false">IF(G$42&gt;0,IF(F55&gt;0,IF(G$42*F55*60.795&lt;15.3,"n/a",-0.00000000000362*G$42*F55*60.795^2+0.0000363*G$42*F55*60.795+68.16),"---"),"---")</f>
        <v>---</v>
      </c>
      <c r="J55" s="57" t="str">
        <f aca="false">IF(G$42&gt;0,IF(F55&gt;0,IF(G$42*F55*60.795&gt;3494,"n/a",IF(G$42*F55*60.795&lt;15.3,0.3892*LOG(G$42*F55*60.795)^3+1.4*LOG(G$42*F55*60.795)^2+7.5108*LOG(G$42*F55*60.795)+56.65,770/(13.87-LN(G$42*F55*60.795))-1.64)),"---"),"---")</f>
        <v>---</v>
      </c>
      <c r="K55" s="1" t="str">
        <f aca="false">IF(F55&gt;0,IF(G55&lt;G$44,"Molecular weight too low",IF(J55&gt;G$43,"Boiling point too high","")),"")</f>
        <v/>
      </c>
    </row>
    <row r="56" customFormat="false" ht="15.75" hidden="false" customHeight="false" outlineLevel="0" collapsed="false">
      <c r="B56" s="12" t="s">
        <v>303</v>
      </c>
      <c r="C56" s="12"/>
      <c r="D56" s="12"/>
      <c r="E56" s="1" t="s">
        <v>304</v>
      </c>
      <c r="F56" s="40" t="n">
        <v>0.95</v>
      </c>
      <c r="G56" s="41" t="n">
        <v>28.0134</v>
      </c>
      <c r="H56" s="41" t="n">
        <f aca="false">IF(G$103&lt;100,29.104,IF(G$103&lt;500,28.98641+1.853978*(G$103/1000)-9.647459*(G$103/1000)^2+16.63537*(G$103/1000)^3+0.000117/(G$103/1000)^2,IF(G$103&lt;2000,19.50583+19.88705*(G$103/1000)-8.598535*(G$103/1000)^2+1.369784*(G$103/1000)^3+0.527601/(G$103/1000)^2,IF(G$103&lt;6000,35.51872+1.128728*(G$103/1000)-0.196103*(G$103/1000)^2+0.014662*(G$103/1000)^3-4.55376/(G$103/1000)^2,38.276))))</f>
        <v>29.1069431054359</v>
      </c>
      <c r="I56" s="57" t="n">
        <f aca="false">IF(G$42&gt;0,IF(F56&gt;0,IF(G$42*F56*60.795&lt;12.52,"n/a",8.7126E-018*G$42*F56*60.795^3-0.000000000061022*G$42*F56*60.795^2+0.00019*G$42*F56*60.795+63.148),"---"),"---")</f>
        <v>63.1675324441664</v>
      </c>
      <c r="J56" s="57" t="n">
        <f aca="false">IF(G$42&gt;0,IF(F56&gt;0,IF(G$42*F56*60.795&gt;3395.8,"n/a",IF(G$42*F56*60.795&lt;12.52,0.1135*LOG(G$42*F56*60.795)^3+1.175*LOG(G$42*F56*60.795)^2+7.7912*LOG(G$42*F56*60.795)+52.998,658/(13.45-LN(G$42*F56*60.795))+2.85)),"---"),"---")</f>
        <v>77.4770994307542</v>
      </c>
      <c r="K56" s="1" t="str">
        <f aca="false">IF(F56&gt;0,IF(G56&lt;G$44,"Molecular weight too low",IF(J56&gt;G$43,"Boiling point too high","")),"")</f>
        <v/>
      </c>
    </row>
    <row r="57" customFormat="false" ht="15.75" hidden="false" customHeight="false" outlineLevel="0" collapsed="false">
      <c r="B57" s="12" t="s">
        <v>336</v>
      </c>
      <c r="C57" s="12"/>
      <c r="D57" s="12"/>
      <c r="E57" s="1" t="s">
        <v>337</v>
      </c>
      <c r="F57" s="40" t="n">
        <v>0</v>
      </c>
      <c r="G57" s="41" t="n">
        <v>30.0061</v>
      </c>
      <c r="H57" s="41" t="n">
        <f aca="false">IF(G$103&lt;100,32.302,IF(G$103&lt;298.15,-0.000000153413*G$103^3+0.000157177*G$103^2-0.0552342*G$103+36.4071,IF(G$103&lt;1200,23.83491+12.58878*(G$103/1000)-1.139011*(G$103/1000)^2-1.497459*(G$103/1000)^3+0.214194/(G$103/1000)^2,IF(G$103&lt;6000,35.99169+0.95717*(G$103/1000)-0.148032*(G$103/1000)^2+0.009974*(G$103/1000)^3-3.004088/(G$103/1000)^2,38.468))))</f>
        <v>30.2877038084701</v>
      </c>
      <c r="I57" s="57" t="str">
        <f aca="false">IF(G$42&gt;0,IF(F57&gt;0,IF(G$42*F57*60.795&lt;21.89,"n/a",109.5),"---"),"---")</f>
        <v>---</v>
      </c>
      <c r="J57" s="57" t="str">
        <f aca="false">IF(G$42&gt;0,IF(F57&gt;0,IF(G$42*F57*60.795&gt;6480,"n/a",IF(G$42*F57*60.795&lt;21.89,0.1206*LOG(G$42*F57*60.795)^3+1.2228*LOG(G$42*F57*60.795)^2+9.8208*LOG(G$42*F57*60.795)+93.864,682.938/(5.8679-LOG(G$42*F57*60.795/100))-268.27+273.15)),"---"),"---")</f>
        <v>---</v>
      </c>
      <c r="K57" s="1" t="str">
        <f aca="false">IF(F57&gt;0,IF(G57&lt;G$44,"Molecular weight too low",IF(J57&gt;G$43,"Boiling point too high","")),"")</f>
        <v/>
      </c>
    </row>
    <row r="58" customFormat="false" ht="15.75" hidden="false" customHeight="false" outlineLevel="0" collapsed="false">
      <c r="B58" s="12" t="s">
        <v>338</v>
      </c>
      <c r="C58" s="12"/>
      <c r="D58" s="12"/>
      <c r="E58" s="1" t="s">
        <v>339</v>
      </c>
      <c r="F58" s="40" t="n">
        <v>0</v>
      </c>
      <c r="G58" s="41" t="n">
        <v>30.069</v>
      </c>
      <c r="H58" s="41" t="n">
        <f aca="false">IF(G$103&lt;100,35.7,IF(G$103&lt;500,-0.000000000000136764*G$103^5-0.000000000269855*G$103^4+0.000000113753*G$103^3+0.000202021*G$103^2+0.00190295*G$103+33.4041,IF(G$103&lt;3000,1.50106E-019*G$103^6-1.31938E-015*G$103^5+0.00000000000189664*G$103^4+0.0000000186953*G$103^3-0.0000984166*G$103^2+0.202821*G$103-1.27606,168.65)))</f>
        <v>43.4883934653181</v>
      </c>
      <c r="I58" s="57" t="str">
        <f aca="false">IF(G$42&gt;0,IF(F58&gt;0,IF(G$42*F58*60.795&lt;0.00113,"n/a",((G$42*F58*60.795-0.00113)/255970+1)^(1/2.179)*90.37),"---"),"---")</f>
        <v>---</v>
      </c>
      <c r="J58" s="57" t="str">
        <f aca="false">IF(G$42&gt;0,IF(F58&gt;0,IF(G$42*F58*60.795&gt;4872.2,"n/a",1582/(13.88-LN(G$42*F58*60.795))+13.76),"---"),"---")</f>
        <v>---</v>
      </c>
      <c r="K58" s="1" t="str">
        <f aca="false">IF(F58&gt;0,IF(G58&lt;G$44,"Molecular weight too low",IF(J58&gt;G$43,"Boiling point too high","")),"")</f>
        <v/>
      </c>
    </row>
    <row r="59" customFormat="false" ht="15.75" hidden="false" customHeight="false" outlineLevel="0" collapsed="false">
      <c r="B59" s="12" t="s">
        <v>305</v>
      </c>
      <c r="C59" s="12"/>
      <c r="D59" s="12"/>
      <c r="E59" s="1" t="s">
        <v>306</v>
      </c>
      <c r="F59" s="40" t="n">
        <v>0</v>
      </c>
      <c r="G59" s="41" t="n">
        <v>31.9988</v>
      </c>
      <c r="H59" s="41" t="n">
        <f aca="false">IF(G$103&lt;100,29.106,IF(G$103&lt;700,31.32234-20.23531*(G$103/1000)+57.86644*(G$103/1000)^2-36.50624*(G$103/1000)^3-0.007374/(G$103/1000)^2,IF(G$103&lt;2000,30.03235+8.772972*(G$103/1000)-3.988133*(G$103/1000)^2+0.788313*(G$103/1000)^3-0.741599/(G$103/1000)^2,IF(G$103&lt;6000,20.91111+10.72071*(G$103/1000)-2.020498*(G$103/1000)^2+0.146449*(G$103/1000)^3+9.245722/(G$103/1000)^2,44.387))))</f>
        <v>29.1225630243519</v>
      </c>
      <c r="I59" s="57" t="str">
        <f aca="false">IF(G$42&gt;0,IF(F59&gt;0,IF(G$42*F59*60.795&lt;0.15,"n/a",10^((LOG(1081.8+G$42*F59*60.795/98.0665)+4.145465)/4.13811)),"---"),"---")</f>
        <v>---</v>
      </c>
      <c r="J59" s="57" t="str">
        <f aca="false">IF(G$42&gt;0,IF(F59&gt;0,IF(G$42*F59*60.795&gt;5043,"n/a",780/(13.68-LN(G$42*F59*60.795))+4.18),"---"),"---")</f>
        <v>---</v>
      </c>
      <c r="K59" s="1" t="str">
        <f aca="false">IF(F59&gt;0,IF(G59&lt;G$44,"Molecular weight too low",IF(J59&gt;G$43,"Boiling point too high","")),"")</f>
        <v/>
      </c>
    </row>
    <row r="60" customFormat="false" ht="15.75" hidden="false" customHeight="false" outlineLevel="0" collapsed="false">
      <c r="B60" s="12" t="s">
        <v>340</v>
      </c>
      <c r="C60" s="12"/>
      <c r="D60" s="12"/>
      <c r="E60" s="1" t="s">
        <v>341</v>
      </c>
      <c r="F60" s="40" t="n">
        <v>0</v>
      </c>
      <c r="G60" s="41" t="n">
        <v>34.081</v>
      </c>
      <c r="H60" s="41" t="n">
        <f aca="false">IF(G$103&lt;100,33.259,IF(G$103&lt;298.15,0.000035645*G$103^2-0.00948349*G$103+33.8509,IF(G$103&lt;1400,26.88412+18.67809*(G$103/1000)+3.434203*(G$103/1000)^2-3.378702*(G$103/1000)^3+0.135882/(G$103/1000)^2,IF(G$103&lt;6000,51.22136+4.147486*(G$103/1000)-0.643566*(G$103/1000)^2+0.041621*(G$103/1000)^3-10.46385/(G$103/1000)^2,61.609))))</f>
        <v>33.4499410155533</v>
      </c>
      <c r="I60" s="57" t="str">
        <f aca="false">IF(G$42&gt;0,IF(F60&gt;0,IF(G$42*F60*60.795&lt;23.2,"n/a",-0.0000000001438*G$42*F60*60.795^2+0.0001882*G$42*F60*60.795+187.7),"---"),"---")</f>
        <v>---</v>
      </c>
      <c r="J60" s="57" t="str">
        <f aca="false">IF(G$42&gt;0,IF(F60&gt;0,IF(G$42*F60*60.795&gt;8970,"n/a",IF(G$42*F60*60.795&lt;108.1,829.439/(4.43681-LOG(G$42*F60*60.795/100))+25.412,958.587/(4.52887-LOG(G$42*F60*60.795/100))+0.539)),"---"),"---")</f>
        <v>---</v>
      </c>
      <c r="K60" s="1" t="str">
        <f aca="false">IF(F60&gt;0,IF(G60&lt;G$44,"Molecular weight too low",IF(J60&gt;G$43,"Boiling point too high","")),"")</f>
        <v/>
      </c>
    </row>
    <row r="61" customFormat="false" ht="15.75" hidden="false" customHeight="false" outlineLevel="0" collapsed="false">
      <c r="B61" s="12" t="s">
        <v>307</v>
      </c>
      <c r="C61" s="12"/>
      <c r="D61" s="12"/>
      <c r="E61" s="1" t="s">
        <v>308</v>
      </c>
      <c r="F61" s="40" t="n">
        <v>0.025</v>
      </c>
      <c r="G61" s="41" t="n">
        <v>39.948</v>
      </c>
      <c r="H61" s="41" t="n">
        <v>20.786</v>
      </c>
      <c r="I61" s="57" t="str">
        <f aca="false">IF(G$42&gt;0,IF(F61&gt;0,IF(G$42*F61*60.795&lt;68.7,"n/a",((G$42*F61*60.795-68.7)/244000+1)^(1/1.476)*83.81),"---"),"---")</f>
        <v>n/a</v>
      </c>
      <c r="J61" s="57" t="n">
        <f aca="false">IF(G$42&gt;0,IF(F61&gt;0,IF(G$42*F61*60.795&gt;4863,"n/a",IF(G$42*F61*60.795&lt;68.7,0.2219*LOG(G$42*F61*60.795)^3+1.496*LOG(G$42*F61*60.795)^2+9.0805*LOG(G$42*F61*60.795)+60.693,833/(13.91-LN(G$42*F61*60.795))-2.36)),"---"),"---")</f>
        <v>64.9152475773206</v>
      </c>
      <c r="K61" s="1" t="str">
        <f aca="false">IF(F61&gt;0,IF(G61&lt;G$44,"Molecular weight too low",IF(J61&gt;G$43,"Boiling point too high","")),"")</f>
        <v/>
      </c>
    </row>
    <row r="62" customFormat="false" ht="15.75" hidden="false" customHeight="false" outlineLevel="0" collapsed="false">
      <c r="B62" s="12" t="s">
        <v>311</v>
      </c>
      <c r="C62" s="12"/>
      <c r="D62" s="12"/>
      <c r="E62" s="1" t="s">
        <v>312</v>
      </c>
      <c r="F62" s="40" t="n">
        <v>0.01</v>
      </c>
      <c r="G62" s="41" t="n">
        <v>44.0095</v>
      </c>
      <c r="H62" s="41" t="n">
        <f aca="false">IF(G$103&lt;100,29.208,IF(G$103&lt;298.15,0.0000862432*G$103^2+0.00563705*G$103+27.7819,IF(G$103&lt;1200,24.99735+55.18696*(G$103/1000)-33.69137*(G$103/1000)^2+7.948387*(G$103/1000)^3-0.136638/(G$103/1000)^2,IF(G$103&lt;6000,58.16639+2.720074*(G$103/1000)-0.492289*(G$103/1000)^2+0.038844*(G$103/1000)^3-6.447293/(G$103/1000)^2,64.957))))</f>
        <v>32.9090645594513</v>
      </c>
      <c r="I62" s="57" t="str">
        <f aca="false">IF(G$42&gt;0,IF(F62&gt;0,IF(G$42*F62*60.795&lt;518.67,"n/a",216.59*(1+(G$42*F62*60.795-518.67)/443000)^(1/2.41)*EXP(0.0000000047*(G$42*F62*60.795-518.67))),"---"),"---")</f>
        <v>n/a</v>
      </c>
      <c r="J62" s="57" t="n">
        <f aca="false">IF(G$42&gt;0,IF(F62&gt;0,IF(G$42*F62*60.795&gt;7377.3,"n/a",IF(G$42*F62*60.795&lt;518.67,0.2309*LOG(G$42*F62*60.795)^3+2.0973*LOG(G$42*F62*60.795)^2+16.637*LOG(G$42*F62*60.795)+151.22,1956/(15.38-LN(G$42*F62*60.795))+2.11)),"---"),"---")</f>
        <v>151.792922226416</v>
      </c>
      <c r="K62" s="1" t="str">
        <f aca="false">IF(F62&gt;0,IF(G62&lt;G$44,"Molecular weight too low",IF(J62&gt;G$43,"Boiling point too high","")),"")</f>
        <v/>
      </c>
    </row>
    <row r="63" customFormat="false" ht="15.75" hidden="false" customHeight="false" outlineLevel="0" collapsed="false">
      <c r="B63" s="12" t="s">
        <v>342</v>
      </c>
      <c r="C63" s="12"/>
      <c r="D63" s="12"/>
      <c r="E63" s="1" t="s">
        <v>343</v>
      </c>
      <c r="F63" s="40" t="n">
        <v>0</v>
      </c>
      <c r="G63" s="41" t="n">
        <v>64.064</v>
      </c>
      <c r="H63" s="41" t="n">
        <f aca="false">IF(G$103&lt;100,33.526,IF(G$103&lt;298.15,0.0000366431*G$103^2+0.0174671*G$103+31.4129,IF(G$103&lt;1200,21.43049+74.35094*(G$103/1000)-57.75217*(G$103/1000)^2+16.35534*(G$103/1000)^3+0.086731/(G$103/1000)^2,IF(G$103&lt;6000,57.48188+1.009328*(G$103/1000)-0.07629*(G$103/1000)^2+0.005174*(G$103/1000)^3-4.045401/(G$103/1000)^2,61.793))))</f>
        <v>36.8065474574706</v>
      </c>
      <c r="I63" s="57" t="str">
        <f aca="false">IF(G$42&gt;0,IF(F63&gt;0,IF(G$42*F63*60.795&lt;1.6744,"n/a",0.0001118*G$42*F63*60.795+197.7),"---"),"---")</f>
        <v>---</v>
      </c>
      <c r="J63" s="57" t="str">
        <f aca="false">IF(G$42&gt;0,IF(F63&gt;0,IF(G$42*F63*60.795&gt;7884,"n/a",IF(G$42*F63*60.795&lt;1.6744,1.9*LOG(G$42*F63*60.795)^2+19.9*LOG(G$42*F63*60.795)+193.15,2385/(14.94-LN(G$42*F63*60.795))+32.21)),"---"),"---")</f>
        <v>---</v>
      </c>
      <c r="K63" s="1" t="str">
        <f aca="false">IF(F63&gt;0,IF(G63&lt;G$44,"Molecular weight too low",IF(J63&gt;G$43,"Boiling point too high","")),"")</f>
        <v/>
      </c>
    </row>
    <row r="64" customFormat="false" ht="15.75" hidden="false" customHeight="false" outlineLevel="0" collapsed="false">
      <c r="B64" s="12" t="s">
        <v>344</v>
      </c>
      <c r="C64" s="12"/>
      <c r="D64" s="12"/>
      <c r="E64" s="1" t="s">
        <v>345</v>
      </c>
      <c r="F64" s="40" t="n">
        <v>0</v>
      </c>
      <c r="G64" s="41" t="n">
        <v>70.906</v>
      </c>
      <c r="H64" s="41" t="n">
        <f aca="false">IF(G$103&lt;100,29.299,IF(G$103&lt;298.15,-0.000000316428*G$103^3+0.000181702*G$103^2-0.00815063*G$103+28.6135,IF(G$103&lt;1000,33.0506+12.2294*(G$103/1000)-12.0651*(G$103/1000)^2+4.38533*(G$103/1000)^3-0.159494/(G$103/1000)^2,IF(G$103&lt;3000,42.6773-5.00957*(G$103/1000)+1.904621*(G$103/1000)^2-0.165641*(G$103/1000)^3-2.09848/(G$103/1000)^2,IF(G$103&lt;6000,-42.5535+41.6857*(G$103/1000)-7.12683*(G$103/1000)^2+0.387839*(G$103/1000)^3+101.144/(G$103/1000)^2,37.571)))))</f>
        <v>32.071682470947</v>
      </c>
      <c r="I64" s="57" t="str">
        <f aca="false">IF(G$42&gt;0,IF(F64&gt;0,IF(G$42*F64*60.795&lt;1.392,"n/a",-0.0000000000409*G$42*F64*60.795^2+0.0001566*G$42*F64*60.795+171.17),"---"),"---")</f>
        <v>---</v>
      </c>
      <c r="J64" s="57" t="str">
        <f aca="false">IF(G$42&gt;0,IF(F64&gt;0,IF(G$42*F64*60.795&gt;7977,"n/a",IF(G$42*F64*60.795&lt;1.392,0.1355*LOG(G$42*F64*60.795)^3+1.9261*LOG(G$42*F64*60.795)^2+18.348*LOG(G$42*F64*60.795)+169.52,861.34/(4.0628-LOG(G$42*F64*60.795/100))-246.331+273.15)),"---"),"---")</f>
        <v>---</v>
      </c>
      <c r="K64" s="1" t="str">
        <f aca="false">IF(F64&gt;0,IF(G64&lt;G$44,"Molecular weight too low",IF(J64&gt;G$43,"Boiling point too high","")),"")</f>
        <v/>
      </c>
    </row>
    <row r="65" customFormat="false" ht="15.75" hidden="false" customHeight="false" outlineLevel="0" collapsed="false">
      <c r="B65" s="12" t="s">
        <v>346</v>
      </c>
      <c r="C65" s="12"/>
      <c r="D65" s="12"/>
      <c r="E65" s="1" t="s">
        <v>347</v>
      </c>
      <c r="F65" s="40" t="n">
        <v>0</v>
      </c>
      <c r="G65" s="41" t="n">
        <v>83.798</v>
      </c>
      <c r="H65" s="41" t="n">
        <v>20.786</v>
      </c>
      <c r="I65" s="57" t="str">
        <f aca="false">IF(G$42&gt;0,IF(F65&gt;0,IF(G$42*F65*60.795&lt;73.2,"n/a",0.0001512*G$42*F65*60.795+115.76),"---"),"---")</f>
        <v>---</v>
      </c>
      <c r="J65" s="57" t="str">
        <f aca="false">IF(G$42&gt;0,IF(F65&gt;0,IF(G$42*F65*60.795&gt;5525,"n/a",IF(G$42*F65*60.795&lt;73.2,0.2056*LOG(G$42*F65*60.795)^3+1.9871*LOG(G$42*F65*60.795)^2+12.48*LOG(G$42*F65*60.795)+84.15,539.004/(4.2064-LOG(G$42*F65*60.795/100))-8.855)),"---"),"---")</f>
        <v>---</v>
      </c>
      <c r="K65" s="1" t="str">
        <f aca="false">IF(F65&gt;0,IF(G65&lt;G$44,"Molecular weight too low",IF(J65&gt;G$43,"Boiling point too high","")),"")</f>
        <v/>
      </c>
    </row>
    <row r="66" customFormat="false" ht="15.75" hidden="false" customHeight="false" outlineLevel="0" collapsed="false">
      <c r="B66" s="42"/>
      <c r="C66" s="42"/>
      <c r="D66" s="42"/>
      <c r="E66" s="43"/>
      <c r="F66" s="40"/>
      <c r="G66" s="44"/>
      <c r="H66" s="44"/>
      <c r="I66" s="86" t="s">
        <v>313</v>
      </c>
      <c r="J66" s="86"/>
    </row>
    <row r="67" customFormat="false" ht="15.75" hidden="false" customHeight="false" outlineLevel="0" collapsed="false">
      <c r="B67" s="42"/>
      <c r="C67" s="42"/>
      <c r="D67" s="42"/>
      <c r="E67" s="43"/>
      <c r="F67" s="40"/>
      <c r="G67" s="44"/>
      <c r="H67" s="44"/>
      <c r="I67" s="86" t="s">
        <v>313</v>
      </c>
      <c r="J67" s="86"/>
    </row>
    <row r="68" customFormat="false" ht="15.75" hidden="false" customHeight="false" outlineLevel="0" collapsed="false">
      <c r="B68" s="42"/>
      <c r="C68" s="42"/>
      <c r="D68" s="42"/>
      <c r="E68" s="43"/>
      <c r="F68" s="40"/>
      <c r="G68" s="44"/>
      <c r="H68" s="44"/>
      <c r="I68" s="86" t="s">
        <v>313</v>
      </c>
      <c r="J68" s="86"/>
    </row>
    <row r="69" customFormat="false" ht="15.75" hidden="false" customHeight="false" outlineLevel="0" collapsed="false">
      <c r="B69" s="45"/>
      <c r="C69" s="45"/>
      <c r="D69" s="45"/>
      <c r="E69" s="45"/>
      <c r="F69" s="100"/>
      <c r="G69" s="101"/>
      <c r="H69" s="101"/>
      <c r="I69" s="87" t="s">
        <v>313</v>
      </c>
      <c r="J69" s="87"/>
    </row>
    <row r="70" customFormat="false" ht="15.75" hidden="false" customHeight="false" outlineLevel="0" collapsed="false">
      <c r="B70" s="1" t="s">
        <v>112</v>
      </c>
      <c r="F70" s="48" t="n">
        <f aca="false">SUM(F48:F69)</f>
        <v>1</v>
      </c>
    </row>
    <row r="72" customFormat="false" ht="15.75" hidden="false" customHeight="false" outlineLevel="0" collapsed="false">
      <c r="B72" s="3" t="s">
        <v>115</v>
      </c>
    </row>
    <row r="73" customFormat="false" ht="15.75" hidden="false" customHeight="false" outlineLevel="0" collapsed="false">
      <c r="B73" s="3" t="s">
        <v>117</v>
      </c>
    </row>
    <row r="74" customFormat="false" ht="15.75" hidden="false" customHeight="false" outlineLevel="0" collapsed="false">
      <c r="B74" s="3" t="s">
        <v>348</v>
      </c>
    </row>
    <row r="75" customFormat="false" ht="15.75" hidden="false" customHeight="false" outlineLevel="0" collapsed="false">
      <c r="B75" s="3" t="s">
        <v>349</v>
      </c>
    </row>
    <row r="76" customFormat="false" ht="15.75" hidden="false" customHeight="false" outlineLevel="0" collapsed="false">
      <c r="B76" s="3"/>
    </row>
    <row r="77" customFormat="false" ht="15.75" hidden="false" customHeight="false" outlineLevel="0" collapsed="false">
      <c r="B77" s="5" t="s">
        <v>350</v>
      </c>
      <c r="C77" s="5"/>
      <c r="D77" s="5"/>
      <c r="E77" s="5"/>
      <c r="F77" s="5"/>
      <c r="G77" s="5"/>
      <c r="H77" s="5"/>
    </row>
    <row r="78" customFormat="false" ht="15.75" hidden="false" customHeight="false" outlineLevel="0" collapsed="false">
      <c r="B78" s="5" t="s">
        <v>351</v>
      </c>
      <c r="C78" s="5"/>
      <c r="D78" s="5"/>
      <c r="E78" s="5"/>
      <c r="F78" s="5"/>
      <c r="G78" s="5"/>
      <c r="H78" s="5"/>
    </row>
    <row r="79" customFormat="false" ht="15.75" hidden="false" customHeight="false" outlineLevel="0" collapsed="false">
      <c r="B79" s="3"/>
    </row>
    <row r="80" customFormat="false" ht="15.75" hidden="false" customHeight="false" outlineLevel="0" collapsed="false">
      <c r="B80" s="3" t="s">
        <v>352</v>
      </c>
      <c r="G80" s="102" t="n">
        <v>0.1</v>
      </c>
    </row>
    <row r="81" customFormat="false" ht="15.75" hidden="false" customHeight="false" outlineLevel="0" collapsed="false">
      <c r="B81" s="91" t="s">
        <v>353</v>
      </c>
    </row>
    <row r="82" customFormat="false" ht="15.75" hidden="false" customHeight="false" outlineLevel="0" collapsed="false">
      <c r="B82" s="3"/>
    </row>
    <row r="83" customFormat="false" ht="15.75" hidden="false" customHeight="false" outlineLevel="0" collapsed="false">
      <c r="B83" s="5" t="s">
        <v>354</v>
      </c>
      <c r="C83" s="5"/>
      <c r="D83" s="5"/>
      <c r="E83" s="5"/>
      <c r="F83" s="5"/>
      <c r="G83" s="5"/>
      <c r="H83" s="5"/>
    </row>
    <row r="84" customFormat="false" ht="15.75" hidden="false" customHeight="false" outlineLevel="0" collapsed="false">
      <c r="B84" s="3"/>
    </row>
    <row r="85" s="12" customFormat="true" ht="15.75" hidden="false" customHeight="false" outlineLevel="0" collapsed="false">
      <c r="B85" s="3" t="s">
        <v>355</v>
      </c>
      <c r="F85" s="21"/>
      <c r="G85" s="103" t="n">
        <v>0.35</v>
      </c>
      <c r="O85" s="1"/>
      <c r="P85" s="1"/>
      <c r="Q85" s="1"/>
    </row>
    <row r="87" customFormat="false" ht="15.75" hidden="false" customHeight="false" outlineLevel="0" collapsed="false">
      <c r="B87" s="5" t="s">
        <v>120</v>
      </c>
      <c r="C87" s="5"/>
      <c r="D87" s="5"/>
      <c r="E87" s="5"/>
      <c r="F87" s="5"/>
      <c r="G87" s="5"/>
      <c r="H87" s="5"/>
    </row>
    <row r="88" customFormat="false" ht="15.75" hidden="false" customHeight="false" outlineLevel="0" collapsed="false">
      <c r="B88" s="5" t="s">
        <v>252</v>
      </c>
      <c r="C88" s="5"/>
      <c r="D88" s="5"/>
      <c r="E88" s="5"/>
      <c r="F88" s="5"/>
      <c r="G88" s="5"/>
      <c r="H88" s="5"/>
    </row>
    <row r="89" customFormat="false" ht="15.75" hidden="false" customHeight="false" outlineLevel="0" collapsed="false">
      <c r="B89" s="5" t="s">
        <v>253</v>
      </c>
      <c r="C89" s="5"/>
      <c r="D89" s="5"/>
      <c r="E89" s="5"/>
      <c r="F89" s="5"/>
      <c r="G89" s="5"/>
      <c r="H89" s="5"/>
    </row>
    <row r="91" customFormat="false" ht="15.75" hidden="false" customHeight="false" outlineLevel="0" collapsed="false">
      <c r="B91" s="74" t="s">
        <v>254</v>
      </c>
      <c r="C91" s="74"/>
      <c r="D91" s="74"/>
      <c r="E91" s="74"/>
      <c r="F91" s="74"/>
      <c r="G91" s="74"/>
      <c r="H91" s="74"/>
    </row>
    <row r="93" s="12" customFormat="true" ht="15.75" hidden="false" customHeight="false" outlineLevel="0" collapsed="false">
      <c r="B93" s="12" t="s">
        <v>36</v>
      </c>
      <c r="I93" s="1"/>
      <c r="J93" s="1"/>
      <c r="K93" s="1"/>
      <c r="L93" s="1"/>
      <c r="M93" s="1"/>
      <c r="O93" s="1"/>
      <c r="P93" s="1"/>
      <c r="Q93" s="1"/>
    </row>
    <row r="94" s="12" customFormat="true" ht="15.75" hidden="false" customHeight="false" outlineLevel="0" collapsed="false">
      <c r="B94" s="29" t="s">
        <v>42</v>
      </c>
      <c r="G94" s="75" t="n">
        <f aca="false">IF(G18&gt;0,G18,IF(G19&gt;0,G19*0.0000000000667408,IF(G20&gt;0,IF(F17&gt;0,F17^2*G20*9.80665,1E+018),1E+018)))</f>
        <v>1.459832864336E+018</v>
      </c>
      <c r="H94" s="12" t="s">
        <v>44</v>
      </c>
      <c r="I94" s="1"/>
      <c r="J94" s="1"/>
      <c r="K94" s="1"/>
      <c r="L94" s="1"/>
      <c r="M94" s="1"/>
      <c r="O94" s="1"/>
      <c r="P94" s="1"/>
      <c r="Q94" s="1"/>
    </row>
    <row r="95" s="12" customFormat="true" ht="15.75" hidden="false" customHeight="false" outlineLevel="0" collapsed="false">
      <c r="B95" s="12" t="s">
        <v>237</v>
      </c>
      <c r="I95" s="1"/>
      <c r="J95" s="1"/>
      <c r="K95" s="1"/>
      <c r="L95" s="1"/>
      <c r="M95" s="1"/>
      <c r="O95" s="1"/>
      <c r="P95" s="1"/>
      <c r="Q95" s="1"/>
    </row>
    <row r="96" s="12" customFormat="true" ht="15.75" hidden="false" customHeight="false" outlineLevel="0" collapsed="false">
      <c r="B96" s="29" t="s">
        <v>42</v>
      </c>
      <c r="C96" s="1"/>
      <c r="G96" s="75" t="n">
        <f aca="false">IF(G24&gt;0,G24,IF(G25&gt;0,G25*0.0000000000667408,IF(G26&gt;0,IF(F23&gt;0,F23^2*G26*9.80665,1000000000000),1000000000000)))</f>
        <v>19530226822400</v>
      </c>
      <c r="H96" s="12" t="s">
        <v>44</v>
      </c>
      <c r="I96" s="1"/>
      <c r="J96" s="1"/>
      <c r="K96" s="1"/>
      <c r="L96" s="1"/>
      <c r="M96" s="1"/>
      <c r="O96" s="1"/>
      <c r="P96" s="1"/>
      <c r="Q96" s="1"/>
    </row>
    <row r="97" s="12" customFormat="true" ht="15.75" hidden="false" customHeight="false" outlineLevel="0" collapsed="false">
      <c r="B97" s="29" t="s">
        <v>50</v>
      </c>
      <c r="G97" s="12" t="n">
        <f aca="false">MAX(IF(G24&gt;0,IF(F23&gt;0,G24/F23^2/9.80665,1),IF(G25&gt;0,IF(F23&gt;0,G25*0.0000000000667408/F23^2/9.80665,1),IF(G26&gt;0,G26,1))),IF(F36&gt;0,F36*0.00000001,0.01))</f>
        <v>1.51434252788373</v>
      </c>
      <c r="H97" s="12" t="s">
        <v>51</v>
      </c>
      <c r="I97" s="1"/>
      <c r="J97" s="1"/>
      <c r="K97" s="1"/>
      <c r="L97" s="1"/>
      <c r="M97" s="1"/>
      <c r="O97" s="1"/>
      <c r="P97" s="1"/>
      <c r="Q97" s="1"/>
    </row>
    <row r="98" s="12" customFormat="true" ht="15.75" hidden="false" customHeight="false" outlineLevel="0" collapsed="false">
      <c r="B98" s="29" t="s">
        <v>255</v>
      </c>
      <c r="C98" s="1"/>
      <c r="G98" s="88" t="n">
        <f aca="false">2*PI()*SQRT(F28^3/G94)/3600</f>
        <v>32.6859250005427</v>
      </c>
      <c r="H98" s="12" t="s">
        <v>256</v>
      </c>
      <c r="I98" s="1"/>
      <c r="J98" s="1"/>
      <c r="K98" s="1"/>
      <c r="L98" s="1"/>
      <c r="M98" s="1"/>
      <c r="O98" s="1"/>
      <c r="P98" s="1"/>
      <c r="Q98" s="1"/>
    </row>
    <row r="99" customFormat="false" ht="15.75" hidden="false" customHeight="false" outlineLevel="0" collapsed="false">
      <c r="B99" s="29" t="s">
        <v>257</v>
      </c>
      <c r="G99" s="77" t="n">
        <f aca="false">IF(F15&gt;0,IF(G21&gt;0,IF(F28&gt;0,G21*(F15/F28)^2,1000),1000),1000)</f>
        <v>258.636284216062</v>
      </c>
      <c r="H99" s="1" t="s">
        <v>135</v>
      </c>
      <c r="N99" s="12"/>
      <c r="R99" s="12"/>
    </row>
    <row r="100" customFormat="false" ht="15.75" hidden="false" customHeight="false" outlineLevel="0" collapsed="false">
      <c r="B100" s="78" t="s">
        <v>365</v>
      </c>
      <c r="C100" s="14"/>
      <c r="D100" s="14"/>
      <c r="E100" s="14"/>
      <c r="F100" s="14"/>
      <c r="G100" s="94" t="n">
        <f aca="false">(G99*(1-G27)/(2*0.000000056704))^0.25</f>
        <v>199.887644469326</v>
      </c>
      <c r="H100" s="14" t="s">
        <v>65</v>
      </c>
      <c r="N100" s="12"/>
      <c r="R100" s="12"/>
    </row>
    <row r="101" customFormat="false" ht="15.75" hidden="false" customHeight="false" outlineLevel="0" collapsed="false">
      <c r="B101" s="78" t="s">
        <v>366</v>
      </c>
      <c r="C101" s="14"/>
      <c r="D101" s="14"/>
      <c r="E101" s="14"/>
      <c r="F101" s="14"/>
      <c r="G101" s="94" t="n">
        <f aca="false">(G99*(1-G27)/0.000000056704)^0.25</f>
        <v>237.707809004057</v>
      </c>
      <c r="H101" s="14" t="s">
        <v>65</v>
      </c>
      <c r="N101" s="12"/>
      <c r="R101" s="12"/>
    </row>
    <row r="102" customFormat="false" ht="15.75" hidden="false" customHeight="false" outlineLevel="0" collapsed="false">
      <c r="B102" s="29" t="s">
        <v>127</v>
      </c>
      <c r="F102" s="79"/>
      <c r="G102" s="79" t="n">
        <f aca="false">IF(F70&gt;0,(F48*G48+F49*G49+F50*G50+F51*G51+F52*G52+F53*G53+F54*G54+F55*G55+F56*G56+F57*G57+F58*G58+F59*G59+F60*G60+F61*G61+F62*G62+F63*G63+F64*G64+F65*G65+F66*G66+F67*G67+F68*G68+F69*G69)/(SUM(F48:F65)+IF(G66&gt;0,F66,0)+IF(G67&gt;0,F67,0)+IF(G68&gt;0,F68,0)+IF(G69&gt;0,F69,0)),29)</f>
        <v>28.17670352</v>
      </c>
      <c r="H102" s="1" t="s">
        <v>128</v>
      </c>
      <c r="N102" s="12"/>
      <c r="R102" s="12"/>
    </row>
    <row r="103" customFormat="false" ht="15.75" hidden="false" customHeight="false" outlineLevel="0" collapsed="false">
      <c r="B103" s="78" t="s">
        <v>259</v>
      </c>
      <c r="G103" s="89" t="n">
        <f aca="false">(C147*I147+C148*I148+C149*I149+C150*I150+C151*I151+C152*I152+C153*I153+C154*I154+C155*I155+C156*I156+C157*I157+C158*I158+C159*I159)/SUM(I147:I159)</f>
        <v>213.323200601526</v>
      </c>
      <c r="H103" s="1" t="s">
        <v>65</v>
      </c>
      <c r="N103" s="12"/>
      <c r="R103" s="12"/>
    </row>
    <row r="104" customFormat="false" ht="15.75" hidden="false" customHeight="false" outlineLevel="0" collapsed="false">
      <c r="B104" s="29" t="s">
        <v>130</v>
      </c>
      <c r="G104" s="79" t="n">
        <f aca="false">IF(F70&gt;0,1/(1-8.3144621/((F48*H48+F49*H49+F50*H50+F51*H51+F52*H52+F53*H53+F54*H54+F55*H55+F56*H56+F57*H57+F58*H58+F59*H59+F60*H60+F61*H61+F62*H62+F63*H63+F64*H64+F65*H65+F66*H66+F67*H67+F68*H68+F69*H69)/(SUM(F48:F65)+IF(H66&gt;0,F66,0)+IF(H67&gt;0,F67,0)+IF(H68&gt;0,F68,0)+IF(H69&gt;0,F69,0)))),1.4)</f>
        <v>1.40433324307054</v>
      </c>
      <c r="N104" s="12"/>
      <c r="R104" s="12"/>
    </row>
    <row r="105" customFormat="false" ht="15.75" hidden="false" customHeight="false" outlineLevel="0" collapsed="false">
      <c r="B105" s="29" t="s">
        <v>356</v>
      </c>
      <c r="G105" s="90" t="n">
        <f aca="false">(G42*F53*760)/MAX(IF(G103&lt;381.47,10^(8.07131-1730.63/(233.426+G103-273.15)),10^(8.14019-1810.94/(244.485+G103-273.15))),0.000001)</f>
        <v>0</v>
      </c>
    </row>
    <row r="106" customFormat="false" ht="15.75" hidden="false" customHeight="false" outlineLevel="0" collapsed="false">
      <c r="B106" s="52"/>
      <c r="G106" s="77"/>
    </row>
    <row r="107" customFormat="false" ht="15.75" hidden="false" customHeight="true" outlineLevel="0" collapsed="false">
      <c r="B107" s="80" t="s">
        <v>260</v>
      </c>
      <c r="C107" s="80"/>
      <c r="D107" s="80"/>
      <c r="E107" s="80"/>
      <c r="F107" s="80"/>
      <c r="G107" s="80"/>
      <c r="H107" s="80"/>
    </row>
    <row r="109" customFormat="false" ht="15.75" hidden="false" customHeight="false" outlineLevel="0" collapsed="false">
      <c r="B109" s="12" t="s">
        <v>237</v>
      </c>
    </row>
    <row r="110" customFormat="false" ht="15.75" hidden="false" customHeight="false" outlineLevel="0" collapsed="false">
      <c r="B110" s="29" t="s">
        <v>261</v>
      </c>
      <c r="G110" s="31" t="n">
        <f aca="false">ROUND(70*G99^0.25/5,0)*5</f>
        <v>280</v>
      </c>
      <c r="H110" s="1" t="s">
        <v>65</v>
      </c>
    </row>
    <row r="111" customFormat="false" ht="15.75" hidden="false" customHeight="false" outlineLevel="0" collapsed="false">
      <c r="B111" s="29" t="s">
        <v>318</v>
      </c>
      <c r="F111" s="92" t="n">
        <f aca="false">LOG(IF(G42&gt;0,(((F55+F62+IF(I66="Mild greenhouse",F66,0)+IF(I67="Mild greenhouse",F67,0)+IF(I68="Mild greenhouse",F68,0)+IF(I69="Mild greenhouse",F69,0))*10+(F51+F53+F58+IF(I66="Strong greenhouse",F66,0)+IF(I67="Strong greenhouse",F67,0)+IF(I68="Strong greenhouse",F68,0)+IF(I69="Strong greenhouse",F69,0))*40+(1-F51-F53-F55-F58-F62-IF(I66&lt;&gt;"No greenhouse",F66,0)-IF(I67&lt;&gt;"No greenhouse",F67,0)-IF(I68&lt;&gt;"No greenhouse",F68,0)-IF(I69&lt;&gt;"No greenhouse",F69,0)))*G42/G97),1))</f>
        <v>0.107622381264583</v>
      </c>
      <c r="G111" s="31" t="n">
        <v>61</v>
      </c>
      <c r="H111" s="1" t="s">
        <v>65</v>
      </c>
    </row>
    <row r="112" customFormat="false" ht="15.75" hidden="false" customHeight="false" outlineLevel="0" collapsed="false">
      <c r="B112" s="29" t="s">
        <v>357</v>
      </c>
      <c r="G112" s="31" t="n">
        <f aca="false">G111*IF(G80=10%,-0.03,IF(G80=25%,-0.07,IF(G80=50%,-0.16,IF(G80=75%,-0.29,IF(G80=90%,-0.44,0)))))</f>
        <v>-1.83</v>
      </c>
      <c r="H112" s="1" t="s">
        <v>65</v>
      </c>
    </row>
    <row r="113" customFormat="false" ht="15.75" hidden="false" customHeight="false" outlineLevel="0" collapsed="false">
      <c r="B113" s="29" t="s">
        <v>367</v>
      </c>
      <c r="G113" s="31" t="n">
        <f aca="false">(4*(G101-G100)-0.6*(G42/G97)^(1/3)*(G101-G100))-2/3*G85*(G101-G100)</f>
        <v>118.507730162914</v>
      </c>
      <c r="H113" s="1" t="s">
        <v>65</v>
      </c>
    </row>
    <row r="114" customFormat="false" ht="15.75" hidden="false" customHeight="false" outlineLevel="0" collapsed="false">
      <c r="A114" s="52"/>
      <c r="B114" s="29" t="s">
        <v>266</v>
      </c>
      <c r="G114" s="94" t="n">
        <f aca="false">(COS(RADIANS(38.2425-G30))*G99*(1-G27)/(PI()*0.000000056704))^0.25-(COS(RADIANS(38.2425+G30))*G99*(1-G27)/(PI()*0.000000056704))^0.25</f>
        <v>0</v>
      </c>
      <c r="H114" s="1" t="s">
        <v>65</v>
      </c>
    </row>
    <row r="115" customFormat="false" ht="15.75" hidden="false" customHeight="false" outlineLevel="0" collapsed="false">
      <c r="A115" s="52"/>
      <c r="B115" s="29" t="s">
        <v>267</v>
      </c>
      <c r="G115" s="94" t="n">
        <f aca="false">IF(F28&gt;0,((F15/(F28*(1-G29)))^2*G21*(1-G27)/(4*0.000000056704))^0.25-((F15/(F28*(1+G29)))^2*G21*(1-G27)/(4*0.000000056704))^0.25,0)</f>
        <v>0</v>
      </c>
      <c r="H115" s="1" t="s">
        <v>65</v>
      </c>
    </row>
    <row r="116" customFormat="false" ht="15.75" hidden="false" customHeight="false" outlineLevel="0" collapsed="false">
      <c r="A116" s="52"/>
      <c r="B116" s="29" t="s">
        <v>268</v>
      </c>
      <c r="G116" s="79" t="n">
        <f aca="false">IF(F23&gt;0,IF(G98&gt;0,IF((G98*(F36/F23)^0.5)^(2/3)&lt;400,0.0009*(G98*(F36/F23)^0.5)^(2/3),IF((G98*(F36/F23)^0.5)^(2/3)&lt;1600,-0.0000003333333333*((G98*(F36/F23)^0.5)^(2/3))^2+0.0012*((G98*(F36/F23)^0.5)^(2/3))-0.06666666667,1)),1),1)</f>
        <v>0.019822101517417</v>
      </c>
    </row>
    <row r="117" customFormat="false" ht="15.75" hidden="false" customHeight="false" outlineLevel="0" collapsed="false">
      <c r="A117" s="52"/>
      <c r="G117" s="50"/>
    </row>
    <row r="118" customFormat="false" ht="15.75" hidden="false" customHeight="false" outlineLevel="0" collapsed="false">
      <c r="A118" s="52"/>
      <c r="B118" s="53" t="s">
        <v>138</v>
      </c>
      <c r="C118" s="53"/>
      <c r="D118" s="53"/>
      <c r="E118" s="53"/>
      <c r="F118" s="53"/>
      <c r="G118" s="53"/>
      <c r="H118" s="53"/>
    </row>
    <row r="119" customFormat="false" ht="15.75" hidden="false" customHeight="false" outlineLevel="0" collapsed="false">
      <c r="A119" s="52"/>
      <c r="B119" s="5" t="s">
        <v>140</v>
      </c>
      <c r="C119" s="5"/>
      <c r="D119" s="5"/>
      <c r="E119" s="5"/>
      <c r="F119" s="5"/>
      <c r="G119" s="5"/>
      <c r="H119" s="5"/>
    </row>
    <row r="120" customFormat="false" ht="15.75" hidden="false" customHeight="false" outlineLevel="0" collapsed="false">
      <c r="A120" s="52"/>
      <c r="G120" s="50"/>
    </row>
    <row r="121" customFormat="false" ht="15.75" hidden="false" customHeight="false" outlineLevel="0" collapsed="false">
      <c r="A121" s="52"/>
      <c r="B121" s="29" t="s">
        <v>142</v>
      </c>
      <c r="G121" s="50" t="n">
        <f aca="false">IF(F23&gt;0,IF(F36&gt;0,F23/F36,0.1),0.1)</f>
        <v>0.1</v>
      </c>
    </row>
    <row r="122" customFormat="false" ht="15.75" hidden="false" customHeight="false" outlineLevel="0" collapsed="false">
      <c r="A122" s="52"/>
      <c r="B122" s="29" t="s">
        <v>144</v>
      </c>
      <c r="G122" s="31" t="n">
        <f aca="false">(F147-F163)/LN(H163/H147)</f>
        <v>3318.34187261205</v>
      </c>
      <c r="H122" s="1" t="s">
        <v>33</v>
      </c>
    </row>
    <row r="123" customFormat="false" ht="15.75" hidden="false" customHeight="false" outlineLevel="0" collapsed="false">
      <c r="A123" s="52"/>
      <c r="B123" s="29" t="s">
        <v>146</v>
      </c>
      <c r="G123" s="50" t="n">
        <f aca="false">(G121-0.09412)/0.90588*(1-IF(G122&gt;3344.087,0.16684*LOG(G122)^2-1.8388*LOG(G122)+5.4082,1))+IF(G122&gt;3344.087,0.16684*LOG(G122)^2-1.8388*LOG(G122)+5.4082,1)</f>
        <v>1</v>
      </c>
    </row>
    <row r="124" customFormat="false" ht="15.75" hidden="false" customHeight="false" outlineLevel="0" collapsed="false">
      <c r="A124" s="52"/>
    </row>
    <row r="125" customFormat="false" ht="15.75" hidden="false" customHeight="false" outlineLevel="0" collapsed="false">
      <c r="A125" s="52"/>
      <c r="B125" s="29" t="s">
        <v>149</v>
      </c>
      <c r="F125" s="54" t="s">
        <v>150</v>
      </c>
      <c r="G125" s="55" t="n">
        <f aca="false">G123</f>
        <v>1</v>
      </c>
    </row>
    <row r="126" customFormat="false" ht="15.75" hidden="false" customHeight="false" outlineLevel="0" collapsed="false">
      <c r="A126" s="52"/>
      <c r="B126" s="29" t="s">
        <v>152</v>
      </c>
      <c r="G126" s="95" t="n">
        <f aca="false">'Locked CFG'!B12</f>
        <v>45000</v>
      </c>
      <c r="H126" s="1" t="s">
        <v>33</v>
      </c>
    </row>
    <row r="128" customFormat="false" ht="15.75" hidden="false" customHeight="false" outlineLevel="0" collapsed="false">
      <c r="B128" s="5" t="s">
        <v>358</v>
      </c>
      <c r="C128" s="5"/>
      <c r="D128" s="5"/>
      <c r="E128" s="5"/>
      <c r="F128" s="5"/>
      <c r="G128" s="5"/>
      <c r="H128" s="5"/>
      <c r="I128" s="5"/>
      <c r="J128" s="5"/>
      <c r="K128" s="5"/>
      <c r="L128" s="5"/>
      <c r="M128" s="5"/>
      <c r="N128" s="5"/>
      <c r="O128" s="5"/>
      <c r="P128" s="5"/>
      <c r="Q128" s="5"/>
    </row>
    <row r="129" customFormat="false" ht="15.75" hidden="false" customHeight="false" outlineLevel="0" collapsed="false">
      <c r="B129" s="5" t="s">
        <v>368</v>
      </c>
      <c r="C129" s="5"/>
      <c r="D129" s="5"/>
      <c r="E129" s="5"/>
      <c r="F129" s="5"/>
      <c r="G129" s="5"/>
      <c r="H129" s="5"/>
      <c r="I129" s="5"/>
      <c r="J129" s="5"/>
      <c r="K129" s="5"/>
      <c r="L129" s="5"/>
      <c r="M129" s="5"/>
      <c r="N129" s="5"/>
      <c r="O129" s="5"/>
      <c r="P129" s="5"/>
      <c r="Q129" s="5"/>
    </row>
    <row r="130" customFormat="false" ht="15.75" hidden="false" customHeight="false" outlineLevel="0" collapsed="false">
      <c r="B130" s="5" t="s">
        <v>369</v>
      </c>
      <c r="C130" s="5"/>
      <c r="D130" s="5"/>
      <c r="E130" s="5"/>
      <c r="F130" s="5"/>
      <c r="G130" s="5"/>
      <c r="H130" s="5"/>
      <c r="I130" s="5"/>
      <c r="J130" s="5"/>
      <c r="K130" s="5"/>
      <c r="L130" s="5"/>
      <c r="M130" s="5"/>
      <c r="N130" s="5"/>
      <c r="O130" s="5"/>
      <c r="P130" s="5"/>
      <c r="Q130" s="5"/>
    </row>
    <row r="131" customFormat="false" ht="15.75" hidden="false" customHeight="false" outlineLevel="0" collapsed="false">
      <c r="J131" s="31"/>
    </row>
    <row r="132" customFormat="false" ht="15.75" hidden="false" customHeight="false" outlineLevel="0" collapsed="false">
      <c r="B132" s="29" t="s">
        <v>164</v>
      </c>
      <c r="J132" s="31"/>
    </row>
    <row r="133" customFormat="false" ht="15.75" hidden="false" customHeight="false" outlineLevel="0" collapsed="false">
      <c r="B133" s="29" t="s">
        <v>166</v>
      </c>
      <c r="J133" s="31"/>
    </row>
    <row r="134" customFormat="false" ht="15.75" hidden="false" customHeight="false" outlineLevel="0" collapsed="false">
      <c r="B134" s="29" t="s">
        <v>168</v>
      </c>
      <c r="J134" s="31"/>
    </row>
    <row r="135" customFormat="false" ht="15.75" hidden="false" customHeight="false" outlineLevel="0" collapsed="false">
      <c r="B135" s="29" t="s">
        <v>170</v>
      </c>
      <c r="J135" s="31"/>
    </row>
    <row r="136" customFormat="false" ht="15.75" hidden="false" customHeight="false" outlineLevel="0" collapsed="false">
      <c r="B136" s="29" t="s">
        <v>172</v>
      </c>
      <c r="J136" s="31"/>
    </row>
    <row r="137" customFormat="false" ht="15.75" hidden="false" customHeight="false" outlineLevel="0" collapsed="false">
      <c r="B137" s="29" t="s">
        <v>174</v>
      </c>
      <c r="J137" s="31"/>
    </row>
    <row r="138" customFormat="false" ht="15.75" hidden="false" customHeight="false" outlineLevel="0" collapsed="false">
      <c r="B138" s="29" t="s">
        <v>272</v>
      </c>
      <c r="J138" s="31"/>
    </row>
    <row r="139" customFormat="false" ht="15.75" hidden="false" customHeight="false" outlineLevel="0" collapsed="false">
      <c r="B139" s="29" t="s">
        <v>273</v>
      </c>
      <c r="J139" s="31"/>
    </row>
    <row r="140" customFormat="false" ht="15.75" hidden="false" customHeight="false" outlineLevel="0" collapsed="false">
      <c r="B140" s="29" t="s">
        <v>274</v>
      </c>
      <c r="J140" s="31"/>
    </row>
    <row r="141" customFormat="false" ht="15.75" hidden="false" customHeight="false" outlineLevel="0" collapsed="false">
      <c r="B141" s="29" t="s">
        <v>275</v>
      </c>
      <c r="J141" s="31"/>
      <c r="K141" s="81" t="s">
        <v>322</v>
      </c>
      <c r="L141" s="96" t="n">
        <f aca="false">IF(G121&lt;1,46.5182*LOG(G121)^2+1,1)</f>
        <v>47.5182</v>
      </c>
      <c r="M141" s="1" t="s">
        <v>323</v>
      </c>
    </row>
    <row r="142" customFormat="false" ht="15.75" hidden="false" customHeight="false" outlineLevel="0" collapsed="false">
      <c r="C142" s="9"/>
    </row>
    <row r="143" customFormat="false" ht="15.75" hidden="false" customHeight="false" outlineLevel="0" collapsed="false">
      <c r="B143" s="9"/>
      <c r="C143" s="9" t="s">
        <v>177</v>
      </c>
      <c r="F143" s="9"/>
      <c r="N143" s="9" t="s">
        <v>178</v>
      </c>
      <c r="O143" s="9" t="s">
        <v>278</v>
      </c>
      <c r="P143" s="9" t="s">
        <v>279</v>
      </c>
      <c r="Q143" s="9" t="s">
        <v>280</v>
      </c>
    </row>
    <row r="144" customFormat="false" ht="15.75" hidden="false" customHeight="false" outlineLevel="0" collapsed="false">
      <c r="B144" s="9" t="s">
        <v>180</v>
      </c>
      <c r="C144" s="9" t="s">
        <v>181</v>
      </c>
      <c r="D144" s="9" t="s">
        <v>182</v>
      </c>
      <c r="E144" s="9" t="s">
        <v>183</v>
      </c>
      <c r="F144" s="9" t="s">
        <v>184</v>
      </c>
      <c r="G144" s="9" t="s">
        <v>98</v>
      </c>
      <c r="H144" s="9" t="s">
        <v>185</v>
      </c>
      <c r="I144" s="9" t="s">
        <v>186</v>
      </c>
      <c r="J144" s="9" t="s">
        <v>281</v>
      </c>
      <c r="K144" s="9" t="s">
        <v>282</v>
      </c>
      <c r="L144" s="9" t="s">
        <v>283</v>
      </c>
      <c r="M144" s="9" t="s">
        <v>284</v>
      </c>
      <c r="N144" s="9" t="s">
        <v>187</v>
      </c>
      <c r="O144" s="9" t="s">
        <v>181</v>
      </c>
      <c r="P144" s="9" t="s">
        <v>285</v>
      </c>
      <c r="Q144" s="9" t="s">
        <v>286</v>
      </c>
    </row>
    <row r="145" customFormat="false" ht="15.75" hidden="false" customHeight="false" outlineLevel="0" collapsed="false">
      <c r="B145" s="9" t="s">
        <v>189</v>
      </c>
      <c r="C145" s="9" t="s">
        <v>65</v>
      </c>
      <c r="D145" s="9" t="s">
        <v>190</v>
      </c>
      <c r="E145" s="9" t="s">
        <v>191</v>
      </c>
      <c r="F145" s="9" t="s">
        <v>33</v>
      </c>
      <c r="G145" s="9" t="s">
        <v>33</v>
      </c>
      <c r="H145" s="9" t="s">
        <v>192</v>
      </c>
      <c r="I145" s="9" t="s">
        <v>193</v>
      </c>
      <c r="J145" s="9" t="s">
        <v>287</v>
      </c>
      <c r="K145" s="9" t="s">
        <v>287</v>
      </c>
      <c r="L145" s="9" t="s">
        <v>192</v>
      </c>
      <c r="M145" s="9" t="s">
        <v>135</v>
      </c>
      <c r="N145" s="9" t="s">
        <v>33</v>
      </c>
      <c r="O145" s="9" t="s">
        <v>65</v>
      </c>
      <c r="P145" s="9" t="s">
        <v>288</v>
      </c>
      <c r="Q145" s="9" t="s">
        <v>288</v>
      </c>
    </row>
    <row r="146" customFormat="false" ht="15.75" hidden="false" customHeight="false" outlineLevel="0" collapsed="false">
      <c r="B146" s="9"/>
      <c r="D146" s="9"/>
      <c r="E146" s="57"/>
      <c r="O146" s="9"/>
    </row>
    <row r="147" s="1" customFormat="true" ht="15.75" hidden="false" customHeight="false" outlineLevel="0" collapsed="false">
      <c r="B147" s="58" t="n">
        <f aca="false">LOG(IF(G42&gt;=0.001,G42,0.001))</f>
        <v>0.250420002308894</v>
      </c>
      <c r="C147" s="59" t="n">
        <f aca="false">IF(B147&lt;-10,(0.00109375*B147^3+0.036875*B147^2+0.309375*B147+0.635)*(G$110-0.65*(2*G$100-G$101))+0.65*(2*G$100-G$101),IF(B147&lt;-7.5,(0.00128*B147^3+0.0536*B147^2+0.588*B147+1.935)*(G$110-0.65*(2*G$100-G$101))+0.65*(2*G$100-G$101),0))+IF(B147&lt;-7.5,0,IF(B147&lt;-4,-0.0008163265306*B147^3-0.00693877551*B147^2+0.03367346939*B147+0.9484693878,0))*(2*G$100-G$101)+IF(B147&lt;-4,0,0.00046875*((4/(B$147+4))*(B147-B$147))^3+0.0065625*((4/(B$147+4))*(B147-B$147))^2+0.08*((4/(B$147+4))*(B147-B$147))+1)*(2*G$100-G$101)+IF(B147&gt;-4,0.0625*((4/(B$147+4))*(B147-B$147))^2+0.5*((4/(B$147+4))*(B147-B$147))+1,0)*(G$111+G$112-D$148*(-2000*G$85+2000))+IF(G$42&gt;0,IF(B147&lt;-8,0,IF(B147&lt;-4.5,-0.04664723032*B147^3-0.8746355685*B147^2-5.037900875*B147-8.209912536,IF(B147&lt;IF(LOG(G$42)&lt;0,2/3*LOG(G$42)-1,-1),-2*(1/(-4.5-IF(LOG(G$42)&lt;0,2/3*LOG(G$42)-1,-1))*(B147-IF(LOG(G$42)&lt;0,2/3*LOG(G$42)-1,-1)))^3+3*(1/(-4.5-IF(LOG(G$42)&lt;0,2/3*LOG(G$42)-1,-1))*(B147-IF(LOG(G$42)&lt;0,2/3*LOG(G$42)-1,-1)))^2,0))),0)*IF((2*G$100-G$101)&gt;36,6*(2*G$100-G$101)^0.5,(2*G$100-G$101))*IF(G$80="None",0,G$80)+IF(B147&lt;-5,0,IF(B147&lt;-3,-0.25*B147^3-3*B147^2-11.25*B147-12.5,IF(B147&lt;-1,0.25*B147^3+1.5*B147^2+2.25*B147+1,0)))*IF((G$42/G$97*F$59)&lt;1,0.3645833333*(G$42/G$97*F$59)^3-1.0625*(G$42/G$97*F$59)^2+1.03125*(G$42/G$97*F$59),1/3)*(2*G$100-G$101)*IF(G$80="None",1,1-G$80)</f>
        <v>229.040768533965</v>
      </c>
      <c r="D147" s="9"/>
      <c r="E147" s="57" t="n">
        <v>0</v>
      </c>
      <c r="F147" s="57" t="n">
        <v>0</v>
      </c>
      <c r="G147" s="57" t="n">
        <f aca="false">8314.4621*C147/(G$102*G$97*9.80665)</f>
        <v>4551.05384082675</v>
      </c>
      <c r="H147" s="60" t="n">
        <f aca="false">10^B147*101325</f>
        <v>180358.5</v>
      </c>
      <c r="I147" s="60" t="n">
        <f aca="false">H147/(8314.4621/G$102*C147)</f>
        <v>2.66857766451656</v>
      </c>
      <c r="J147" s="57" t="n">
        <f aca="false">SQRT(8314.4621/G$102*G$104*C147)</f>
        <v>308.079976322291</v>
      </c>
      <c r="K147" s="57" t="n">
        <f aca="false">IF(F$23&gt;0,SQRT(2*G$96/(F$23+N147)),10000)</f>
        <v>5836.171134603</v>
      </c>
      <c r="L147" s="60" t="n">
        <f aca="false">I147*K147^2/2</f>
        <v>45447069.8302981</v>
      </c>
      <c r="M147" s="60" t="n">
        <f aca="false">I147*K147^3/2</f>
        <v>265236877095.873</v>
      </c>
      <c r="N147" s="57" t="n">
        <f aca="false">F147*IF(G$125&gt;0,G$125,0.5)</f>
        <v>0</v>
      </c>
      <c r="O147" s="57" t="n">
        <f aca="false">4*G$100-3*G$101+IF(B147&gt;-4,0.0625*((4/(B$147+4))*(B147-B$147))^2+0.5*((4/(B$147+4))*(B147-B$147))+1,0)*(G$111+G$112+0.3*(G$42/G$97)^(1/3)*(G$101-G$100)+1/3*G$85*(G$101-G$100)-D$148*(-2000*G$85+2000))</f>
        <v>169.786903452509</v>
      </c>
      <c r="P147" s="82" t="n">
        <f aca="false">2*(C147-O147)/G$113</f>
        <v>1</v>
      </c>
      <c r="Q147" s="9" t="str">
        <f aca="false">IF(L147&gt;L$141,"|",IF(L146&gt;L$141,"V",""))</f>
        <v>|</v>
      </c>
    </row>
    <row r="148" customFormat="false" ht="15.75" hidden="false" customHeight="false" outlineLevel="0" collapsed="false">
      <c r="A148" s="31"/>
      <c r="B148" s="58" t="n">
        <f aca="false">B147-0.25</f>
        <v>0.000420002308893941</v>
      </c>
      <c r="C148" s="61" t="n">
        <f aca="false">IF(B148&lt;-10,(0.00109375*B148^3+0.036875*B148^2+0.309375*B148+0.635)*(G$110-0.65*(2*G$100-G$101))+0.65*(2*G$100-G$101),IF(B148&lt;-7.5,(0.00128*B148^3+0.0536*B148^2+0.588*B148+1.935)*(G$110-0.65*(2*G$100-G$101))+0.65*(2*G$100-G$101),0))+IF(B148&lt;-7.5,0,IF(B148&lt;-4,-0.0008163265306*B148^3-0.00693877551*B148^2+0.03367346939*B148+0.9484693878,0))*(2*G$100-G$101)+IF(B148&lt;-4,0,0.00046875*((4/(B$147+4))*(B148-B$147))^3+0.0065625*((4/(B$147+4))*(B148-B$147))^2+0.08*((4/(B$147+4))*(B148-B$147))+1)*(2*G$100-G$101)+IF(B148&gt;-4,0.0625*((4/(B$147+4))*(B148-B$147))^2+0.5*((4/(B$147+4))*(B148-B$147))+1,0)*(G$111+G$112-D$148*(-2000*G$85+2000))+IF(G$42&gt;0,IF(B148&lt;-8,0,IF(B148&lt;-4.5,-0.04664723032*B148^3-0.8746355685*B148^2-5.037900875*B148-8.209912536,IF(B148&lt;IF(LOG(G$42)&lt;0,2/3*LOG(G$42)-1,-1),-2*(1/(-4.5-IF(LOG(G$42)&lt;0,2/3*LOG(G$42)-1,-1))*(B148-IF(LOG(G$42)&lt;0,2/3*LOG(G$42)-1,-1)))^3+3*(1/(-4.5-IF(LOG(G$42)&lt;0,2/3*LOG(G$42)-1,-1))*(B148-IF(LOG(G$42)&lt;0,2/3*LOG(G$42)-1,-1)))^2,0))),0)*IF((2*G$100-G$101)&gt;36,6*(2*G$100-G$101)^0.5,(2*G$100-G$101))*IF(G$80="None",0,G$80)+IF(B148&lt;-5,0,IF(B148&lt;-3,-0.25*B148^3-3*B148^2-11.25*B148-12.5,IF(B148&lt;-1,0.25*B148^3+1.5*B148^2+2.25*B148+1,0)))*IF((G$42/G$97*F$59)&lt;1,0.3645833333*(G$42/G$97*F$59)^3-1.0625*(G$42/G$97*F$59)^2+1.03125*(G$42/G$97*F$59),1/3)*(2*G$100-G$101)*IF(G$80="None",1,1-G$80)</f>
        <v>213.754217695244</v>
      </c>
      <c r="D148" s="60" t="n">
        <f aca="false">(C148-C147)/(E148-E147)</f>
        <v>-0.00600252969182335</v>
      </c>
      <c r="E148" s="57" t="n">
        <f aca="false">IF(D148=0,(8314.4621*C147*LN(H148/H147)/(-G$97*9.80665*G$102)),C147/D148*(1/(H148/H147)^(8314.4621*D148/(G$97*9.80665*G$102))-1))+E147</f>
        <v>2531.20923712629</v>
      </c>
      <c r="F148" s="57" t="n">
        <f aca="false">F$36*E148/(F$36-E148)</f>
        <v>2531.7680555504</v>
      </c>
      <c r="G148" s="57" t="n">
        <f aca="false">8314.4621*C148/(G$102*G$97*9.80665)</f>
        <v>4247.30915662552</v>
      </c>
      <c r="H148" s="60" t="n">
        <f aca="false">10^B148*101325</f>
        <v>101423.037899344</v>
      </c>
      <c r="I148" s="60" t="n">
        <f aca="false">H148/(8314.4621/G$102*C148)</f>
        <v>1.60797001632084</v>
      </c>
      <c r="J148" s="57" t="n">
        <f aca="false">SQRT(8314.4621/G$102*G$104*C148)</f>
        <v>297.621583132221</v>
      </c>
      <c r="K148" s="57" t="n">
        <f aca="false">IF(F$23&gt;0,SQRT(2*G$96/(F$23+N148)),10000)</f>
        <v>5829.73948582132</v>
      </c>
      <c r="L148" s="60" t="n">
        <f aca="false">I148*K148^2/2</f>
        <v>27324123.9173274</v>
      </c>
      <c r="M148" s="60" t="n">
        <f aca="false">I148*K148^3/2</f>
        <v>159292524116.318</v>
      </c>
      <c r="N148" s="57" t="n">
        <f aca="false">F148*IF(G$125&gt;0,G$125,0.5)</f>
        <v>2531.7680555504</v>
      </c>
      <c r="O148" s="57" t="n">
        <f aca="false">4*G$100-3*G$101+IF(B148&gt;-4,0.0625*((4/(B$147+4))*(B148-B$147))^2+0.5*((4/(B$147+4))*(B148-B$147))+1,0)*(G$111+G$112+0.3*(G$42/G$97)^(1/3)*(G$101-G$100)+1/3*G$85*(G$101-G$100)-D$148*(-2000*G$85+2000))</f>
        <v>160.269227860085</v>
      </c>
      <c r="P148" s="82" t="n">
        <f aca="false">2*(C148-O148)/G$113</f>
        <v>0.902641367978822</v>
      </c>
      <c r="Q148" s="9" t="str">
        <f aca="false">IF(L148&gt;L$141,"|",IF(L147&gt;L$141,"V",""))</f>
        <v>|</v>
      </c>
    </row>
    <row r="149" customFormat="false" ht="15.75" hidden="false" customHeight="false" outlineLevel="0" collapsed="false">
      <c r="A149" s="31"/>
      <c r="B149" s="58" t="n">
        <f aca="false">B148-0.25</f>
        <v>-0.249579997691106</v>
      </c>
      <c r="C149" s="61" t="n">
        <f aca="false">IF(B149&lt;-10,(0.00109375*B149^3+0.036875*B149^2+0.309375*B149+0.635)*(G$110-0.65*(2*G$100-G$101))+0.65*(2*G$100-G$101),IF(B149&lt;-7.5,(0.00128*B149^3+0.0536*B149^2+0.588*B149+1.935)*(G$110-0.65*(2*G$100-G$101))+0.65*(2*G$100-G$101),0))+IF(B149&lt;-7.5,0,IF(B149&lt;-4,-0.0008163265306*B149^3-0.00693877551*B149^2+0.03367346939*B149+0.9484693878,0))*(2*G$100-G$101)+IF(B149&lt;-4,0,0.00046875*((4/(B$147+4))*(B149-B$147))^3+0.0065625*((4/(B$147+4))*(B149-B$147))^2+0.08*((4/(B$147+4))*(B149-B$147))+1)*(2*G$100-G$101)+IF(B149&gt;-4,0.0625*((4/(B$147+4))*(B149-B$147))^2+0.5*((4/(B$147+4))*(B149-B$147))+1,0)*(G$111+G$112-D$148*(-2000*G$85+2000))+IF(G$42&gt;0,IF(B149&lt;-8,0,IF(B149&lt;-4.5,-0.04664723032*B149^3-0.8746355685*B149^2-5.037900875*B149-8.209912536,IF(B149&lt;IF(LOG(G$42)&lt;0,2/3*LOG(G$42)-1,-1),-2*(1/(-4.5-IF(LOG(G$42)&lt;0,2/3*LOG(G$42)-1,-1))*(B149-IF(LOG(G$42)&lt;0,2/3*LOG(G$42)-1,-1)))^3+3*(1/(-4.5-IF(LOG(G$42)&lt;0,2/3*LOG(G$42)-1,-1))*(B149-IF(LOG(G$42)&lt;0,2/3*LOG(G$42)-1,-1)))^2,0))),0)*IF((2*G$100-G$101)&gt;36,6*(2*G$100-G$101)^0.5,(2*G$100-G$101))*IF(G$80="None",0,G$80)+IF(B149&lt;-5,0,IF(B149&lt;-3,-0.25*B149^3-3*B149^2-11.25*B149-12.5,IF(B149&lt;-1,0.25*B149^3+1.5*B149^2+2.25*B149+1,0)))*IF((G$42/G$97*F$59)&lt;1,0.3645833333*(G$42/G$97*F$59)^3-1.0625*(G$42/G$97*F$59)^2+1.03125*(G$42/G$97*F$59),1/3)*(2*G$100-G$101)*IF(G$80="None",1,1-G$80)</f>
        <v>206.276830247966</v>
      </c>
      <c r="D149" s="60" t="n">
        <f aca="false">(C149-C148)/(E149-E148)</f>
        <v>-0.00311236935559642</v>
      </c>
      <c r="E149" s="57" t="n">
        <f aca="false">IF(D149=0,(8314.4621*C148*LN(H149/H148)/(-G$97*9.80665*G$102)),C148/D149*(1/(H149/H148)^(8314.4621*D149/(G$97*9.80665*G$102))-1))+E148</f>
        <v>4933.14912037502</v>
      </c>
      <c r="F149" s="57" t="n">
        <f aca="false">F$36*E149/(F$36-E149)</f>
        <v>4935.27214045977</v>
      </c>
      <c r="G149" s="57" t="n">
        <f aca="false">8314.4621*C149/(G$102*G$97*9.80665)</f>
        <v>4098.73301850348</v>
      </c>
      <c r="H149" s="60" t="n">
        <f aca="false">10^B149*101325</f>
        <v>57034.3655371479</v>
      </c>
      <c r="I149" s="60" t="n">
        <f aca="false">H149/(8314.4621/G$102*C149)</f>
        <v>0.937005607246077</v>
      </c>
      <c r="J149" s="57" t="n">
        <f aca="false">SQRT(8314.4621/G$102*G$104*C149)</f>
        <v>292.369658658193</v>
      </c>
      <c r="K149" s="57" t="n">
        <f aca="false">IF(F$23&gt;0,SQRT(2*G$96/(F$23+N149)),10000)</f>
        <v>5823.65330966967</v>
      </c>
      <c r="L149" s="60" t="n">
        <f aca="false">I149*K149^2/2</f>
        <v>15889243.4773708</v>
      </c>
      <c r="M149" s="60" t="n">
        <f aca="false">I149*K149^3/2</f>
        <v>92533445365.1374</v>
      </c>
      <c r="N149" s="57" t="n">
        <f aca="false">F149*IF(G$125&gt;0,G$125,0.5)</f>
        <v>4935.27214045977</v>
      </c>
      <c r="O149" s="57" t="n">
        <f aca="false">4*G$100-3*G$101+IF(B149&gt;-4,0.0625*((4/(B$147+4))*(B149-B$147))^2+0.5*((4/(B$147+4))*(B149-B$147))+1,0)*(G$111+G$112+0.3*(G$42/G$97)^(1/3)*(G$101-G$100)+1/3*G$85*(G$101-G$100)-D$148*(-2000*G$85+2000))</f>
        <v>151.328322365439</v>
      </c>
      <c r="P149" s="82" t="n">
        <f aca="false">2*(C149-O149)/G$113</f>
        <v>0.927340483308369</v>
      </c>
      <c r="Q149" s="9" t="str">
        <f aca="false">IF(L149&gt;L$141,"|",IF(L148&gt;L$141,"V",""))</f>
        <v>|</v>
      </c>
    </row>
    <row r="150" customFormat="false" ht="15.75" hidden="false" customHeight="false" outlineLevel="0" collapsed="false">
      <c r="A150" s="31"/>
      <c r="B150" s="58" t="n">
        <f aca="false">B149-0.25</f>
        <v>-0.499579997691106</v>
      </c>
      <c r="C150" s="61" t="n">
        <f aca="false">IF(B150&lt;-10,(0.00109375*B150^3+0.036875*B150^2+0.309375*B150+0.635)*(G$110-0.65*(2*G$100-G$101))+0.65*(2*G$100-G$101),IF(B150&lt;-7.5,(0.00128*B150^3+0.0536*B150^2+0.588*B150+1.935)*(G$110-0.65*(2*G$100-G$101))+0.65*(2*G$100-G$101),0))+IF(B150&lt;-7.5,0,IF(B150&lt;-4,-0.0008163265306*B150^3-0.00693877551*B150^2+0.03367346939*B150+0.9484693878,0))*(2*G$100-G$101)+IF(B150&lt;-4,0,0.00046875*((4/(B$147+4))*(B150-B$147))^3+0.0065625*((4/(B$147+4))*(B150-B$147))^2+0.08*((4/(B$147+4))*(B150-B$147))+1)*(2*G$100-G$101)+IF(B150&gt;-4,0.0625*((4/(B$147+4))*(B150-B$147))^2+0.5*((4/(B$147+4))*(B150-B$147))+1,0)*(G$111+G$112-D$148*(-2000*G$85+2000))+IF(G$42&gt;0,IF(B150&lt;-8,0,IF(B150&lt;-4.5,-0.04664723032*B150^3-0.8746355685*B150^2-5.037900875*B150-8.209912536,IF(B150&lt;IF(LOG(G$42)&lt;0,2/3*LOG(G$42)-1,-1),-2*(1/(-4.5-IF(LOG(G$42)&lt;0,2/3*LOG(G$42)-1,-1))*(B150-IF(LOG(G$42)&lt;0,2/3*LOG(G$42)-1,-1)))^3+3*(1/(-4.5-IF(LOG(G$42)&lt;0,2/3*LOG(G$42)-1,-1))*(B150-IF(LOG(G$42)&lt;0,2/3*LOG(G$42)-1,-1)))^2,0))),0)*IF((2*G$100-G$101)&gt;36,6*(2*G$100-G$101)^0.5,(2*G$100-G$101))*IF(G$80="None",0,G$80)+IF(B150&lt;-5,0,IF(B150&lt;-3,-0.25*B150^3-3*B150^2-11.25*B150-12.5,IF(B150&lt;-1,0.25*B150^3+1.5*B150^2+2.25*B150+1,0)))*IF((G$42/G$97*F$59)&lt;1,0.3645833333*(G$42/G$97*F$59)^3-1.0625*(G$42/G$97*F$59)^2+1.03125*(G$42/G$97*F$59),1/3)*(2*G$100-G$101)*IF(G$80="None",1,1-G$80)</f>
        <v>197.047622276802</v>
      </c>
      <c r="D150" s="60" t="n">
        <f aca="false">(C150-C149)/(E150-E149)</f>
        <v>-0.0039996411902475</v>
      </c>
      <c r="E150" s="57" t="n">
        <f aca="false">IF(D150=0,(8314.4621*C149*LN(H150/H149)/(-G$97*9.80665*G$102)),C149/D150*(1/(H150/H149)^(8314.4621*D150/(G$97*9.80665*G$102))-1))+E149</f>
        <v>7239.41333765553</v>
      </c>
      <c r="F150" s="57" t="n">
        <f aca="false">F$36*E150/(F$36-E150)</f>
        <v>7243.98632236143</v>
      </c>
      <c r="G150" s="57" t="n">
        <f aca="false">8314.4621*C150/(G$102*G$97*9.80665)</f>
        <v>3915.34810125139</v>
      </c>
      <c r="H150" s="60" t="n">
        <f aca="false">10^B150*101325</f>
        <v>32072.7806975505</v>
      </c>
      <c r="I150" s="60" t="n">
        <f aca="false">H150/(8314.4621/G$102*C150)</f>
        <v>0.551596421860802</v>
      </c>
      <c r="J150" s="57" t="n">
        <f aca="false">SQRT(8314.4621/G$102*G$104*C150)</f>
        <v>285.754234943577</v>
      </c>
      <c r="K150" s="57" t="n">
        <f aca="false">IF(F$23&gt;0,SQRT(2*G$96/(F$23+N150)),10000)</f>
        <v>5817.82507411745</v>
      </c>
      <c r="L150" s="60" t="n">
        <f aca="false">I150*K150^2/2</f>
        <v>9334966.47916037</v>
      </c>
      <c r="M150" s="60" t="n">
        <f aca="false">I150*K150^3/2</f>
        <v>54309202048.5051</v>
      </c>
      <c r="N150" s="57" t="n">
        <f aca="false">F150*IF(G$125&gt;0,G$125,0.5)</f>
        <v>7243.98632236143</v>
      </c>
      <c r="O150" s="57" t="n">
        <f aca="false">4*G$100-3*G$101+IF(B150&gt;-4,0.0625*((4/(B$147+4))*(B150-B$147))^2+0.5*((4/(B$147+4))*(B150-B$147))+1,0)*(G$111+G$112+0.3*(G$42/G$97)^(1/3)*(G$101-G$100)+1/3*G$85*(G$101-G$100)-D$148*(-2000*G$85+2000))</f>
        <v>142.964186968571</v>
      </c>
      <c r="P150" s="82" t="n">
        <f aca="false">2*(C150-O150)/G$113</f>
        <v>0.912741054678572</v>
      </c>
      <c r="Q150" s="9" t="str">
        <f aca="false">IF(L150&gt;L$141,"|",IF(L149&gt;L$141,"V",""))</f>
        <v>|</v>
      </c>
    </row>
    <row r="151" customFormat="false" ht="15.75" hidden="false" customHeight="false" outlineLevel="0" collapsed="false">
      <c r="A151" s="31"/>
      <c r="B151" s="58" t="n">
        <f aca="false">B150-0.25</f>
        <v>-0.749579997691106</v>
      </c>
      <c r="C151" s="61" t="n">
        <f aca="false">IF(B151&lt;-10,(0.00109375*B151^3+0.036875*B151^2+0.309375*B151+0.635)*(G$110-0.65*(2*G$100-G$101))+0.65*(2*G$100-G$101),IF(B151&lt;-7.5,(0.00128*B151^3+0.0536*B151^2+0.588*B151+1.935)*(G$110-0.65*(2*G$100-G$101))+0.65*(2*G$100-G$101),0))+IF(B151&lt;-7.5,0,IF(B151&lt;-4,-0.0008163265306*B151^3-0.00693877551*B151^2+0.03367346939*B151+0.9484693878,0))*(2*G$100-G$101)+IF(B151&lt;-4,0,0.00046875*((4/(B$147+4))*(B151-B$147))^3+0.0065625*((4/(B$147+4))*(B151-B$147))^2+0.08*((4/(B$147+4))*(B151-B$147))+1)*(2*G$100-G$101)+IF(B151&gt;-4,0.0625*((4/(B$147+4))*(B151-B$147))^2+0.5*((4/(B$147+4))*(B151-B$147))+1,0)*(G$111+G$112-D$148*(-2000*G$85+2000))+IF(G$42&gt;0,IF(B151&lt;-8,0,IF(B151&lt;-4.5,-0.04664723032*B151^3-0.8746355685*B151^2-5.037900875*B151-8.209912536,IF(B151&lt;IF(LOG(G$42)&lt;0,2/3*LOG(G$42)-1,-1),-2*(1/(-4.5-IF(LOG(G$42)&lt;0,2/3*LOG(G$42)-1,-1))*(B151-IF(LOG(G$42)&lt;0,2/3*LOG(G$42)-1,-1)))^3+3*(1/(-4.5-IF(LOG(G$42)&lt;0,2/3*LOG(G$42)-1,-1))*(B151-IF(LOG(G$42)&lt;0,2/3*LOG(G$42)-1,-1)))^2,0))),0)*IF((2*G$100-G$101)&gt;36,6*(2*G$100-G$101)^0.5,(2*G$100-G$101))*IF(G$80="None",0,G$80)+IF(B151&lt;-5,0,IF(B151&lt;-3,-0.25*B151^3-3*B151^2-11.25*B151-12.5,IF(B151&lt;-1,0.25*B151^3+1.5*B151^2+2.25*B151+1,0)))*IF((G$42/G$97*F$59)&lt;1,0.3645833333*(G$42/G$97*F$59)^3-1.0625*(G$42/G$97*F$59)^2+1.03125*(G$42/G$97*F$59),1/3)*(2*G$100-G$101)*IF(G$80="None",1,1-G$80)</f>
        <v>188.363426818808</v>
      </c>
      <c r="D151" s="60" t="n">
        <f aca="false">(C151-C150)/(E151-E150)</f>
        <v>-0.00393695794453009</v>
      </c>
      <c r="E151" s="57" t="n">
        <f aca="false">IF(D151=0,(8314.4621*C150*LN(H151/H150)/(-G$97*9.80665*G$102)),C150/D151*(1/(H151/H150)^(8314.4621*D151/(G$97*9.80665*G$102))-1))+E150</f>
        <v>9443.27496142493</v>
      </c>
      <c r="F151" s="57" t="n">
        <f aca="false">F$36*E151/(F$36-E151)</f>
        <v>9451.0575091899</v>
      </c>
      <c r="G151" s="57" t="n">
        <f aca="false">8314.4621*C151/(G$102*G$97*9.80665)</f>
        <v>3742.79261540244</v>
      </c>
      <c r="H151" s="60" t="n">
        <f aca="false">10^B151*101325</f>
        <v>18035.85</v>
      </c>
      <c r="I151" s="60" t="n">
        <f aca="false">H151/(8314.4621/G$102*C151)</f>
        <v>0.324486069029414</v>
      </c>
      <c r="J151" s="57" t="n">
        <f aca="false">SQRT(8314.4621/G$102*G$104*C151)</f>
        <v>279.386468084142</v>
      </c>
      <c r="K151" s="57" t="n">
        <f aca="false">IF(F$23&gt;0,SQRT(2*G$96/(F$23+N151)),10000)</f>
        <v>5812.2697596795</v>
      </c>
      <c r="L151" s="60" t="n">
        <f aca="false">I151*K151^2/2</f>
        <v>5480972.02957804</v>
      </c>
      <c r="M151" s="60" t="n">
        <f aca="false">I151*K151^3/2</f>
        <v>31856887981.1656</v>
      </c>
      <c r="N151" s="57" t="n">
        <f aca="false">F151*IF(G$125&gt;0,G$125,0.5)</f>
        <v>9451.0575091899</v>
      </c>
      <c r="O151" s="57" t="n">
        <f aca="false">4*G$100-3*G$101+IF(B151&gt;-4,0.0625*((4/(B$147+4))*(B151-B$147))^2+0.5*((4/(B$147+4))*(B151-B$147))+1,0)*(G$111+G$112+0.3*(G$42/G$97)^(1/3)*(G$101-G$100)+1/3*G$85*(G$101-G$100)-D$148*(-2000*G$85+2000))</f>
        <v>135.176821669481</v>
      </c>
      <c r="P151" s="82" t="n">
        <f aca="false">2*(C151-O151)/G$113</f>
        <v>0.897605668022003</v>
      </c>
      <c r="Q151" s="9" t="str">
        <f aca="false">IF(L151&gt;L$141,"|",IF(L150&gt;L$141,"V",""))</f>
        <v>|</v>
      </c>
    </row>
    <row r="152" customFormat="false" ht="15.75" hidden="false" customHeight="false" outlineLevel="0" collapsed="false">
      <c r="A152" s="31"/>
      <c r="B152" s="58" t="n">
        <f aca="false">B151-0.25</f>
        <v>-0.999579997691106</v>
      </c>
      <c r="C152" s="61" t="n">
        <f aca="false">IF(B152&lt;-10,(0.00109375*B152^3+0.036875*B152^2+0.309375*B152+0.635)*(G$110-0.65*(2*G$100-G$101))+0.65*(2*G$100-G$101),IF(B152&lt;-7.5,(0.00128*B152^3+0.0536*B152^2+0.588*B152+1.935)*(G$110-0.65*(2*G$100-G$101))+0.65*(2*G$100-G$101),0))+IF(B152&lt;-7.5,0,IF(B152&lt;-4,-0.0008163265306*B152^3-0.00693877551*B152^2+0.03367346939*B152+0.9484693878,0))*(2*G$100-G$101)+IF(B152&lt;-4,0,0.00046875*((4/(B$147+4))*(B152-B$147))^3+0.0065625*((4/(B$147+4))*(B152-B$147))^2+0.08*((4/(B$147+4))*(B152-B$147))+1)*(2*G$100-G$101)+IF(B152&gt;-4,0.0625*((4/(B$147+4))*(B152-B$147))^2+0.5*((4/(B$147+4))*(B152-B$147))+1,0)*(G$111+G$112-D$148*(-2000*G$85+2000))+IF(G$42&gt;0,IF(B152&lt;-8,0,IF(B152&lt;-4.5,-0.04664723032*B152^3-0.8746355685*B152^2-5.037900875*B152-8.209912536,IF(B152&lt;IF(LOG(G$42)&lt;0,2/3*LOG(G$42)-1,-1),-2*(1/(-4.5-IF(LOG(G$42)&lt;0,2/3*LOG(G$42)-1,-1))*(B152-IF(LOG(G$42)&lt;0,2/3*LOG(G$42)-1,-1)))^3+3*(1/(-4.5-IF(LOG(G$42)&lt;0,2/3*LOG(G$42)-1,-1))*(B152-IF(LOG(G$42)&lt;0,2/3*LOG(G$42)-1,-1)))^2,0))),0)*IF((2*G$100-G$101)&gt;36,6*(2*G$100-G$101)^0.5,(2*G$100-G$101))*IF(G$80="None",0,G$80)+IF(B152&lt;-5,0,IF(B152&lt;-3,-0.25*B152^3-3*B152^2-11.25*B152-12.5,IF(B152&lt;-1,0.25*B152^3+1.5*B152^2+2.25*B152+1,0)))*IF((G$42/G$97*F$59)&lt;1,0.3645833333*(G$42/G$97*F$59)^3-1.0625*(G$42/G$97*F$59)^2+1.03125*(G$42/G$97*F$59),1/3)*(2*G$100-G$101)*IF(G$80="None",1,1-G$80)</f>
        <v>180.218307887954</v>
      </c>
      <c r="D152" s="60" t="n">
        <f aca="false">(C152-C151)/(E152-E151)</f>
        <v>-0.00385969587200252</v>
      </c>
      <c r="E152" s="57" t="n">
        <f aca="false">IF(D152=0,(8314.4621*C151*LN(H152/H151)/(-G$97*9.80665*G$102)),C151/D152*(1/(H152/H151)^(8314.4621*D152/(G$97*9.80665*G$102))-1))+E151</f>
        <v>11550.9331530505</v>
      </c>
      <c r="F152" s="57" t="n">
        <f aca="false">F$36*E152/(F$36-E152)</f>
        <v>11562.5795223409</v>
      </c>
      <c r="G152" s="57" t="n">
        <f aca="false">8314.4621*C152/(G$102*G$97*9.80665)</f>
        <v>3580.94861255734</v>
      </c>
      <c r="H152" s="60" t="n">
        <f aca="false">10^B152*101325</f>
        <v>10142.3037899344</v>
      </c>
      <c r="I152" s="60" t="n">
        <f aca="false">H152/(8314.4621/G$102*C152)</f>
        <v>0.190718899175196</v>
      </c>
      <c r="J152" s="57" t="n">
        <f aca="false">SQRT(8314.4621/G$102*G$104*C152)</f>
        <v>273.27916997827</v>
      </c>
      <c r="K152" s="57" t="n">
        <f aca="false">IF(F$23&gt;0,SQRT(2*G$96/(F$23+N152)),10000)</f>
        <v>5806.96981560946</v>
      </c>
      <c r="L152" s="60" t="n">
        <f aca="false">I152*K152^2/2</f>
        <v>3215606.3147804</v>
      </c>
      <c r="M152" s="60" t="n">
        <f aca="false">I152*K152^3/2</f>
        <v>18672928808.813</v>
      </c>
      <c r="N152" s="57" t="n">
        <f aca="false">F152*IF(G$125&gt;0,G$125,0.5)</f>
        <v>11562.5795223409</v>
      </c>
      <c r="O152" s="57" t="n">
        <f aca="false">4*G$100-3*G$101+IF(B152&gt;-4,0.0625*((4/(B$147+4))*(B152-B$147))^2+0.5*((4/(B$147+4))*(B152-B$147))+1,0)*(G$111+G$112+0.3*(G$42/G$97)^(1/3)*(G$101-G$100)+1/3*G$85*(G$101-G$100)-D$148*(-2000*G$85+2000))</f>
        <v>127.966226468169</v>
      </c>
      <c r="P152" s="82" t="n">
        <f aca="false">2*(C152-O152)/G$113</f>
        <v>0.881834144455447</v>
      </c>
      <c r="Q152" s="9" t="str">
        <f aca="false">IF(L152&gt;L$141,"|",IF(L151&gt;L$141,"V",""))</f>
        <v>|</v>
      </c>
    </row>
    <row r="153" customFormat="false" ht="15.75" hidden="false" customHeight="false" outlineLevel="0" collapsed="false">
      <c r="A153" s="31"/>
      <c r="B153" s="58" t="n">
        <f aca="false">B152-0.25</f>
        <v>-1.24957999769111</v>
      </c>
      <c r="C153" s="61" t="n">
        <f aca="false">IF(B153&lt;-10,(0.00109375*B153^3+0.036875*B153^2+0.309375*B153+0.635)*(G$110-0.65*(2*G$100-G$101))+0.65*(2*G$100-G$101),IF(B153&lt;-7.5,(0.00128*B153^3+0.0536*B153^2+0.588*B153+1.935)*(G$110-0.65*(2*G$100-G$101))+0.65*(2*G$100-G$101),0))+IF(B153&lt;-7.5,0,IF(B153&lt;-4,-0.0008163265306*B153^3-0.00693877551*B153^2+0.03367346939*B153+0.9484693878,0))*(2*G$100-G$101)+IF(B153&lt;-4,0,0.00046875*((4/(B$147+4))*(B153-B$147))^3+0.0065625*((4/(B$147+4))*(B153-B$147))^2+0.08*((4/(B$147+4))*(B153-B$147))+1)*(2*G$100-G$101)+IF(B153&gt;-4,0.0625*((4/(B$147+4))*(B153-B$147))^2+0.5*((4/(B$147+4))*(B153-B$147))+1,0)*(G$111+G$112-D$148*(-2000*G$85+2000))+IF(G$42&gt;0,IF(B153&lt;-8,0,IF(B153&lt;-4.5,-0.04664723032*B153^3-0.8746355685*B153^2-5.037900875*B153-8.209912536,IF(B153&lt;IF(LOG(G$42)&lt;0,2/3*LOG(G$42)-1,-1),-2*(1/(-4.5-IF(LOG(G$42)&lt;0,2/3*LOG(G$42)-1,-1))*(B153-IF(LOG(G$42)&lt;0,2/3*LOG(G$42)-1,-1)))^3+3*(1/(-4.5-IF(LOG(G$42)&lt;0,2/3*LOG(G$42)-1,-1))*(B153-IF(LOG(G$42)&lt;0,2/3*LOG(G$42)-1,-1)))^2,0))),0)*IF((2*G$100-G$101)&gt;36,6*(2*G$100-G$101)^0.5,(2*G$100-G$101))*IF(G$80="None",0,G$80)+IF(B153&lt;-5,0,IF(B153&lt;-3,-0.25*B153^3-3*B153^2-11.25*B153-12.5,IF(B153&lt;-1,0.25*B153^3+1.5*B153^2+2.25*B153+1,0)))*IF((G$42/G$97*F$59)&lt;1,0.3645833333*(G$42/G$97*F$59)^3-1.0625*(G$42/G$97*F$59)^2+1.03125*(G$42/G$97*F$59),1/3)*(2*G$100-G$101)*IF(G$80="None",1,1-G$80)</f>
        <v>172.717311125644</v>
      </c>
      <c r="D153" s="60" t="n">
        <f aca="false">(C153-C152)/(E153-E152)</f>
        <v>-0.00371056519225458</v>
      </c>
      <c r="E153" s="57" t="n">
        <f aca="false">IF(D153=0,(8314.4621*C152*LN(H153/H152)/(-G$97*9.80665*G$102)),C152/D153*(1/(H153/H152)^(8314.4621*D153/(G$97*9.80665*G$102))-1))+E152</f>
        <v>13569.1612011073</v>
      </c>
      <c r="F153" s="57" t="n">
        <f aca="false">F$36*E153/(F$36-E153)</f>
        <v>13585.2357552223</v>
      </c>
      <c r="G153" s="57" t="n">
        <f aca="false">8314.4621*C153/(G$102*G$97*9.80665)</f>
        <v>3431.90335592619</v>
      </c>
      <c r="H153" s="60" t="n">
        <f aca="false">10^B153*101325</f>
        <v>5703.43655371479</v>
      </c>
      <c r="I153" s="60" t="n">
        <f aca="false">H153/(8314.4621/G$102*C153)</f>
        <v>0.111906875649939</v>
      </c>
      <c r="J153" s="57" t="n">
        <f aca="false">SQRT(8314.4621/G$102*G$104*C153)</f>
        <v>267.531552770272</v>
      </c>
      <c r="K153" s="57" t="n">
        <f aca="false">IF(F$23&gt;0,SQRT(2*G$96/(F$23+N153)),10000)</f>
        <v>5801.90649767346</v>
      </c>
      <c r="L153" s="60" t="n">
        <f aca="false">I153*K153^2/2</f>
        <v>1883511.28295661</v>
      </c>
      <c r="M153" s="60" t="n">
        <f aca="false">I153*K153^3/2</f>
        <v>10927956351.0272</v>
      </c>
      <c r="N153" s="57" t="n">
        <f aca="false">F153*IF(G$125&gt;0,G$125,0.5)</f>
        <v>13585.2357552223</v>
      </c>
      <c r="O153" s="57" t="n">
        <f aca="false">4*G$100-3*G$101+IF(B153&gt;-4,0.0625*((4/(B$147+4))*(B153-B$147))^2+0.5*((4/(B$147+4))*(B153-B$147))+1,0)*(G$111+G$112+0.3*(G$42/G$97)^(1/3)*(G$101-G$100)+1/3*G$85*(G$101-G$100)-D$148*(-2000*G$85+2000))</f>
        <v>121.332401364634</v>
      </c>
      <c r="P153" s="82" t="n">
        <f aca="false">2*(C153-O153)/G$113</f>
        <v>0.867199290550424</v>
      </c>
      <c r="Q153" s="9" t="str">
        <f aca="false">IF(L153&gt;L$141,"|",IF(L152&gt;L$141,"V",""))</f>
        <v>|</v>
      </c>
    </row>
    <row r="154" customFormat="false" ht="15.75" hidden="false" customHeight="false" outlineLevel="0" collapsed="false">
      <c r="A154" s="31"/>
      <c r="B154" s="58" t="n">
        <f aca="false">B153-0.25</f>
        <v>-1.49957999769111</v>
      </c>
      <c r="C154" s="61" t="n">
        <f aca="false">IF(B154&lt;-10,(0.00109375*B154^3+0.036875*B154^2+0.309375*B154+0.635)*(G$110-0.65*(2*G$100-G$101))+0.65*(2*G$100-G$101),IF(B154&lt;-7.5,(0.00128*B154^3+0.0536*B154^2+0.588*B154+1.935)*(G$110-0.65*(2*G$100-G$101))+0.65*(2*G$100-G$101),0))+IF(B154&lt;-7.5,0,IF(B154&lt;-4,-0.0008163265306*B154^3-0.00693877551*B154^2+0.03367346939*B154+0.9484693878,0))*(2*G$100-G$101)+IF(B154&lt;-4,0,0.00046875*((4/(B$147+4))*(B154-B$147))^3+0.0065625*((4/(B$147+4))*(B154-B$147))^2+0.08*((4/(B$147+4))*(B154-B$147))+1)*(2*G$100-G$101)+IF(B154&gt;-4,0.0625*((4/(B$147+4))*(B154-B$147))^2+0.5*((4/(B$147+4))*(B154-B$147))+1,0)*(G$111+G$112-D$148*(-2000*G$85+2000))+IF(G$42&gt;0,IF(B154&lt;-8,0,IF(B154&lt;-4.5,-0.04664723032*B154^3-0.8746355685*B154^2-5.037900875*B154-8.209912536,IF(B154&lt;IF(LOG(G$42)&lt;0,2/3*LOG(G$42)-1,-1),-2*(1/(-4.5-IF(LOG(G$42)&lt;0,2/3*LOG(G$42)-1,-1))*(B154-IF(LOG(G$42)&lt;0,2/3*LOG(G$42)-1,-1)))^3+3*(1/(-4.5-IF(LOG(G$42)&lt;0,2/3*LOG(G$42)-1,-1))*(B154-IF(LOG(G$42)&lt;0,2/3*LOG(G$42)-1,-1)))^2,0))),0)*IF((2*G$100-G$101)&gt;36,6*(2*G$100-G$101)^0.5,(2*G$100-G$101))*IF(G$80="None",0,G$80)+IF(B154&lt;-5,0,IF(B154&lt;-3,-0.25*B154^3-3*B154^2-11.25*B154-12.5,IF(B154&lt;-1,0.25*B154^3+1.5*B154^2+2.25*B154+1,0)))*IF((G$42/G$97*F$59)&lt;1,0.3645833333*(G$42/G$97*F$59)^3-1.0625*(G$42/G$97*F$59)^2+1.03125*(G$42/G$97*F$59),1/3)*(2*G$100-G$101)*IF(G$80="None",1,1-G$80)</f>
        <v>165.943997716769</v>
      </c>
      <c r="D154" s="60" t="n">
        <f aca="false">(C154-C153)/(E154-E153)</f>
        <v>-0.0034904190428833</v>
      </c>
      <c r="E154" s="57" t="n">
        <f aca="false">IF(D154=0,(8314.4621*C153*LN(H154/H153)/(-G$97*9.80665*G$102)),C153/D154*(1/(H154/H153)^(8314.4621*D154/(G$97*9.80665*G$102))-1))+E153</f>
        <v>15505.8071633028</v>
      </c>
      <c r="F154" s="57" t="n">
        <f aca="false">F$36*E154/(F$36-E154)</f>
        <v>15526.8011599569</v>
      </c>
      <c r="G154" s="57" t="n">
        <f aca="false">8314.4621*C154/(G$102*G$97*9.80665)</f>
        <v>3297.31721127654</v>
      </c>
      <c r="H154" s="60" t="n">
        <f aca="false">10^B154*101325</f>
        <v>3207.27806975505</v>
      </c>
      <c r="I154" s="60" t="n">
        <f aca="false">H154/(8314.4621/G$102*C154)</f>
        <v>0.0654984602513763</v>
      </c>
      <c r="J154" s="57" t="n">
        <f aca="false">SQRT(8314.4621/G$102*G$104*C154)</f>
        <v>262.233306062491</v>
      </c>
      <c r="K154" s="57" t="n">
        <f aca="false">IF(F$23&gt;0,SQRT(2*G$96/(F$23+N154)),10000)</f>
        <v>5797.05861239523</v>
      </c>
      <c r="L154" s="60" t="n">
        <f aca="false">I154*K154^2/2</f>
        <v>1100566.9778838</v>
      </c>
      <c r="M154" s="60" t="n">
        <f aca="false">I154*K154^3/2</f>
        <v>6380051277.65905</v>
      </c>
      <c r="N154" s="57" t="n">
        <f aca="false">F154*IF(G$125&gt;0,G$125,0.5)</f>
        <v>15526.8011599569</v>
      </c>
      <c r="O154" s="57" t="n">
        <f aca="false">4*G$100-3*G$101+IF(B154&gt;-4,0.0625*((4/(B$147+4))*(B154-B$147))^2+0.5*((4/(B$147+4))*(B154-B$147))+1,0)*(G$111+G$112+0.3*(G$42/G$97)^(1/3)*(G$101-G$100)+1/3*G$85*(G$101-G$100)-D$148*(-2000*G$85+2000))</f>
        <v>115.275346358877</v>
      </c>
      <c r="P154" s="82" t="n">
        <f aca="false">2*(C154-O154)/G$113</f>
        <v>0.855111329670025</v>
      </c>
      <c r="Q154" s="9" t="str">
        <f aca="false">IF(L154&gt;L$141,"|",IF(L153&gt;L$141,"V",""))</f>
        <v>|</v>
      </c>
    </row>
    <row r="155" customFormat="false" ht="15.75" hidden="false" customHeight="false" outlineLevel="0" collapsed="false">
      <c r="A155" s="31"/>
      <c r="B155" s="58" t="n">
        <f aca="false">B154-0.25</f>
        <v>-1.74957999769111</v>
      </c>
      <c r="C155" s="61" t="n">
        <f aca="false">IF(B155&lt;-10,(0.00109375*B155^3+0.036875*B155^2+0.309375*B155+0.635)*(G$110-0.65*(2*G$100-G$101))+0.65*(2*G$100-G$101),IF(B155&lt;-7.5,(0.00128*B155^3+0.0536*B155^2+0.588*B155+1.935)*(G$110-0.65*(2*G$100-G$101))+0.65*(2*G$100-G$101),0))+IF(B155&lt;-7.5,0,IF(B155&lt;-4,-0.0008163265306*B155^3-0.00693877551*B155^2+0.03367346939*B155+0.9484693878,0))*(2*G$100-G$101)+IF(B155&lt;-4,0,0.00046875*((4/(B$147+4))*(B155-B$147))^3+0.0065625*((4/(B$147+4))*(B155-B$147))^2+0.08*((4/(B$147+4))*(B155-B$147))+1)*(2*G$100-G$101)+IF(B155&gt;-4,0.0625*((4/(B$147+4))*(B155-B$147))^2+0.5*((4/(B$147+4))*(B155-B$147))+1,0)*(G$111+G$112-D$148*(-2000*G$85+2000))+IF(G$42&gt;0,IF(B155&lt;-8,0,IF(B155&lt;-4.5,-0.04664723032*B155^3-0.8746355685*B155^2-5.037900875*B155-8.209912536,IF(B155&lt;IF(LOG(G$42)&lt;0,2/3*LOG(G$42)-1,-1),-2*(1/(-4.5-IF(LOG(G$42)&lt;0,2/3*LOG(G$42)-1,-1))*(B155-IF(LOG(G$42)&lt;0,2/3*LOG(G$42)-1,-1)))^3+3*(1/(-4.5-IF(LOG(G$42)&lt;0,2/3*LOG(G$42)-1,-1))*(B155-IF(LOG(G$42)&lt;0,2/3*LOG(G$42)-1,-1)))^2,0))),0)*IF((2*G$100-G$101)&gt;36,6*(2*G$100-G$101)^0.5,(2*G$100-G$101))*IF(G$80="None",0,G$80)+IF(B155&lt;-5,0,IF(B155&lt;-3,-0.25*B155^3-3*B155^2-11.25*B155-12.5,IF(B155&lt;-1,0.25*B155^3+1.5*B155^2+2.25*B155+1,0)))*IF((G$42/G$97*F$59)&lt;1,0.3645833333*(G$42/G$97*F$59)^3-1.0625*(G$42/G$97*F$59)^2+1.03125*(G$42/G$97*F$59),1/3)*(2*G$100-G$101)*IF(G$80="None",1,1-G$80)</f>
        <v>159.859028170372</v>
      </c>
      <c r="D155" s="60" t="n">
        <f aca="false">(C155-C154)/(E155-E154)</f>
        <v>-0.00325817334071439</v>
      </c>
      <c r="E155" s="57" t="n">
        <f aca="false">IF(D155=0,(8314.4621*C154*LN(H155/H154)/(-G$97*9.80665*G$102)),C154/D155*(1/(H155/H154)^(8314.4621*D155/(G$97*9.80665*G$102))-1))+E154</f>
        <v>17368.9624206822</v>
      </c>
      <c r="F155" s="57" t="n">
        <f aca="false">F$36*E155/(F$36-E155)</f>
        <v>17395.3090328039</v>
      </c>
      <c r="G155" s="57" t="n">
        <f aca="false">8314.4621*C155/(G$102*G$97*9.80665)</f>
        <v>3176.40850055791</v>
      </c>
      <c r="H155" s="60" t="n">
        <f aca="false">10^B155*101325</f>
        <v>1803.585</v>
      </c>
      <c r="I155" s="60" t="n">
        <f aca="false">H155/(8314.4621/G$102*C155)</f>
        <v>0.0382345048740092</v>
      </c>
      <c r="J155" s="57" t="n">
        <f aca="false">SQRT(8314.4621/G$102*G$104*C155)</f>
        <v>257.380511910548</v>
      </c>
      <c r="K155" s="57" t="n">
        <f aca="false">IF(F$23&gt;0,SQRT(2*G$96/(F$23+N155)),10000)</f>
        <v>5792.40460048505</v>
      </c>
      <c r="L155" s="60" t="n">
        <f aca="false">I155*K155^2/2</f>
        <v>641421.11808623</v>
      </c>
      <c r="M155" s="60" t="n">
        <f aca="false">I155*K155^3/2</f>
        <v>3715370635.25095</v>
      </c>
      <c r="N155" s="57" t="n">
        <f aca="false">F155*IF(G$125&gt;0,G$125,0.5)</f>
        <v>17395.3090328039</v>
      </c>
      <c r="O155" s="57" t="n">
        <f aca="false">4*G$100-3*G$101+IF(B155&gt;-4,0.0625*((4/(B$147+4))*(B155-B$147))^2+0.5*((4/(B$147+4))*(B155-B$147))+1,0)*(G$111+G$112+0.3*(G$42/G$97)^(1/3)*(G$101-G$100)+1/3*G$85*(G$101-G$100)-D$148*(-2000*G$85+2000))</f>
        <v>109.795061450897</v>
      </c>
      <c r="P155" s="82" t="n">
        <f aca="false">2*(C155-O155)/G$113</f>
        <v>0.844906347470355</v>
      </c>
      <c r="Q155" s="9" t="str">
        <f aca="false">IF(L155&gt;L$141,"|",IF(L154&gt;L$141,"V",""))</f>
        <v>|</v>
      </c>
    </row>
    <row r="156" s="1" customFormat="true" ht="15.75" hidden="false" customHeight="false" outlineLevel="0" collapsed="false">
      <c r="B156" s="58" t="n">
        <f aca="false">B155-0.25</f>
        <v>-1.99957999769111</v>
      </c>
      <c r="C156" s="61" t="n">
        <f aca="false">IF(B156&lt;-10,(0.00109375*B156^3+0.036875*B156^2+0.309375*B156+0.635)*(G$110-0.65*(2*G$100-G$101))+0.65*(2*G$100-G$101),IF(B156&lt;-7.5,(0.00128*B156^3+0.0536*B156^2+0.588*B156+1.935)*(G$110-0.65*(2*G$100-G$101))+0.65*(2*G$100-G$101),0))+IF(B156&lt;-7.5,0,IF(B156&lt;-4,-0.0008163265306*B156^3-0.00693877551*B156^2+0.03367346939*B156+0.9484693878,0))*(2*G$100-G$101)+IF(B156&lt;-4,0,0.00046875*((4/(B$147+4))*(B156-B$147))^3+0.0065625*((4/(B$147+4))*(B156-B$147))^2+0.08*((4/(B$147+4))*(B156-B$147))+1)*(2*G$100-G$101)+IF(B156&gt;-4,0.0625*((4/(B$147+4))*(B156-B$147))^2+0.5*((4/(B$147+4))*(B156-B$147))+1,0)*(G$111+G$112-D$148*(-2000*G$85+2000))+IF(G$42&gt;0,IF(B156&lt;-8,0,IF(B156&lt;-4.5,-0.04664723032*B156^3-0.8746355685*B156^2-5.037900875*B156-8.209912536,IF(B156&lt;IF(LOG(G$42)&lt;0,2/3*LOG(G$42)-1,-1),-2*(1/(-4.5-IF(LOG(G$42)&lt;0,2/3*LOG(G$42)-1,-1))*(B156-IF(LOG(G$42)&lt;0,2/3*LOG(G$42)-1,-1)))^3+3*(1/(-4.5-IF(LOG(G$42)&lt;0,2/3*LOG(G$42)-1,-1))*(B156-IF(LOG(G$42)&lt;0,2/3*LOG(G$42)-1,-1)))^2,0))),0)*IF((2*G$100-G$101)&gt;36,6*(2*G$100-G$101)^0.5,(2*G$100-G$101))*IF(G$80="None",0,G$80)+IF(B156&lt;-5,0,IF(B156&lt;-3,-0.25*B156^3-3*B156^2-11.25*B156-12.5,IF(B156&lt;-1,0.25*B156^3+1.5*B156^2+2.25*B156+1,0)))*IF((G$42/G$97*F$59)&lt;1,0.3645833333*(G$42/G$97*F$59)^3-1.0625*(G$42/G$97*F$59)^2+1.03125*(G$42/G$97*F$59),1/3)*(2*G$100-G$101)*IF(G$80="None",1,1-G$80)</f>
        <v>154.423062665486</v>
      </c>
      <c r="D156" s="60" t="n">
        <f aca="false">(C156-C155)/(E156-E155)</f>
        <v>-0.00301622146992906</v>
      </c>
      <c r="E156" s="57" t="n">
        <f aca="false">IF(D156=0,(8314.4621*C155*LN(H156/H155)/(-G$97*9.80665*G$102)),C155/D156*(1/(H156/H155)^(8314.4621*D156/(G$97*9.80665*G$102))-1))+E155</f>
        <v>19166.2684126843</v>
      </c>
      <c r="F156" s="57" t="n">
        <f aca="false">F$36*E156/(F$36-E156)</f>
        <v>19198.3547638498</v>
      </c>
      <c r="G156" s="57" t="n">
        <f aca="false">8314.4621*C156/(G$102*G$97*9.80665)</f>
        <v>3068.39553916259</v>
      </c>
      <c r="H156" s="60" t="n">
        <f aca="false">10^B156*101325</f>
        <v>1014.23037899344</v>
      </c>
      <c r="I156" s="60" t="n">
        <f aca="false">H156/(8314.4621/G$102*C156)</f>
        <v>0.022257709890175</v>
      </c>
      <c r="J156" s="57" t="n">
        <f aca="false">SQRT(8314.4621/G$102*G$104*C156)</f>
        <v>252.966584402929</v>
      </c>
      <c r="K156" s="57" t="n">
        <f aca="false">IF(F$23&gt;0,SQRT(2*G$96/(F$23+N156)),10000)</f>
        <v>5787.92424964318</v>
      </c>
      <c r="L156" s="60" t="n">
        <f aca="false">I156*K156^2/2</f>
        <v>372817.387624808</v>
      </c>
      <c r="M156" s="60" t="n">
        <f aca="false">I156*K156^3/2</f>
        <v>2157838798.52225</v>
      </c>
      <c r="N156" s="57" t="n">
        <f aca="false">F156*IF(G$125&gt;0,G$125,0.5)</f>
        <v>19198.3547638498</v>
      </c>
      <c r="O156" s="57" t="n">
        <f aca="false">4*G$100-3*G$101+IF(B156&gt;-4,0.0625*((4/(B$147+4))*(B156-B$147))^2+0.5*((4/(B$147+4))*(B156-B$147))+1,0)*(G$111+G$112+0.3*(G$42/G$97)^(1/3)*(G$101-G$100)+1/3*G$85*(G$101-G$100)-D$148*(-2000*G$85+2000))</f>
        <v>104.891546640696</v>
      </c>
      <c r="P156" s="82" t="n">
        <f aca="false">2*(C156-O156)/G$113</f>
        <v>0.835920424038148</v>
      </c>
      <c r="Q156" s="9" t="str">
        <f aca="false">IF(L156&gt;L$141,"|",IF(L155&gt;L$141,"V",""))</f>
        <v>|</v>
      </c>
    </row>
    <row r="157" customFormat="false" ht="15.75" hidden="false" customHeight="false" outlineLevel="0" collapsed="false">
      <c r="B157" s="58" t="n">
        <f aca="false">B156-0.25</f>
        <v>-2.24957999769111</v>
      </c>
      <c r="C157" s="61" t="n">
        <f aca="false">IF(B157&lt;-10,(0.00109375*B157^3+0.036875*B157^2+0.309375*B157+0.635)*(G$110-0.65*(2*G$100-G$101))+0.65*(2*G$100-G$101),IF(B157&lt;-7.5,(0.00128*B157^3+0.0536*B157^2+0.588*B157+1.935)*(G$110-0.65*(2*G$100-G$101))+0.65*(2*G$100-G$101),0))+IF(B157&lt;-7.5,0,IF(B157&lt;-4,-0.0008163265306*B157^3-0.00693877551*B157^2+0.03367346939*B157+0.9484693878,0))*(2*G$100-G$101)+IF(B157&lt;-4,0,0.00046875*((4/(B$147+4))*(B157-B$147))^3+0.0065625*((4/(B$147+4))*(B157-B$147))^2+0.08*((4/(B$147+4))*(B157-B$147))+1)*(2*G$100-G$101)+IF(B157&gt;-4,0.0625*((4/(B$147+4))*(B157-B$147))^2+0.5*((4/(B$147+4))*(B157-B$147))+1,0)*(G$111+G$112-D$148*(-2000*G$85+2000))+IF(G$42&gt;0,IF(B157&lt;-8,0,IF(B157&lt;-4.5,-0.04664723032*B157^3-0.8746355685*B157^2-5.037900875*B157-8.209912536,IF(B157&lt;IF(LOG(G$42)&lt;0,2/3*LOG(G$42)-1,-1),-2*(1/(-4.5-IF(LOG(G$42)&lt;0,2/3*LOG(G$42)-1,-1))*(B157-IF(LOG(G$42)&lt;0,2/3*LOG(G$42)-1,-1)))^3+3*(1/(-4.5-IF(LOG(G$42)&lt;0,2/3*LOG(G$42)-1,-1))*(B157-IF(LOG(G$42)&lt;0,2/3*LOG(G$42)-1,-1)))^2,0))),0)*IF((2*G$100-G$101)&gt;36,6*(2*G$100-G$101)^0.5,(2*G$100-G$101))*IF(G$80="None",0,G$80)+IF(B157&lt;-5,0,IF(B157&lt;-3,-0.25*B157^3-3*B157^2-11.25*B157-12.5,IF(B157&lt;-1,0.25*B157^3+1.5*B157^2+2.25*B157+1,0)))*IF((G$42/G$97*F$59)&lt;1,0.3645833333*(G$42/G$97*F$59)^3-1.0625*(G$42/G$97*F$59)^2+1.03125*(G$42/G$97*F$59),1/3)*(2*G$100-G$101)*IF(G$80="None",1,1-G$80)</f>
        <v>149.596761381146</v>
      </c>
      <c r="D157" s="60" t="n">
        <v>0</v>
      </c>
      <c r="E157" s="57" t="n">
        <f aca="false">IF(D157=0,(8314.4621*C156*LN(H157/H156)/(-G$97*9.80665*G$102)),C156/D157*(1/(H157/H156)^(8314.4621*D157/(G$97*9.80665*G$102))-1))+E156</f>
        <v>20932.5788696556</v>
      </c>
      <c r="F157" s="57" t="n">
        <f aca="false">F$36*E157/(F$36-E157)</f>
        <v>20970.857613844</v>
      </c>
      <c r="G157" s="57" t="n">
        <f aca="false">8314.4621*C157/(G$102*G$97*9.80665)</f>
        <v>2972.49664248287</v>
      </c>
      <c r="H157" s="60" t="n">
        <f aca="false">10^B157*101325</f>
        <v>570.343655371479</v>
      </c>
      <c r="I157" s="60" t="n">
        <f aca="false">H157/(8314.4621/G$102*C157)</f>
        <v>0.0129202360266906</v>
      </c>
      <c r="J157" s="57" t="n">
        <f aca="false">SQRT(8314.4621/G$102*G$104*C157)</f>
        <v>248.982126539448</v>
      </c>
      <c r="K157" s="57" t="n">
        <f aca="false">IF(F$23&gt;0,SQRT(2*G$96/(F$23+N157)),10000)</f>
        <v>5783.52991254569</v>
      </c>
      <c r="L157" s="60" t="n">
        <f aca="false">I157*K157^2/2</f>
        <v>216085.89734469</v>
      </c>
      <c r="M157" s="60" t="n">
        <f aca="false">I157*K157^3/2</f>
        <v>1249739250.97229</v>
      </c>
      <c r="N157" s="57" t="n">
        <f aca="false">F157*IF(G$125&gt;0,G$125,0.5)</f>
        <v>20970.857613844</v>
      </c>
      <c r="O157" s="57" t="n">
        <f aca="false">4*G$100-3*G$101+IF(B157&gt;-4,0.0625*((4/(B$147+4))*(B157-B$147))^2+0.5*((4/(B$147+4))*(B157-B$147))+1,0)*(G$111+G$112+0.3*(G$42/G$97)^(1/3)*(G$101-G$100)+1/3*G$85*(G$101-G$100)-D$148*(-2000*G$85+2000))</f>
        <v>100.564801928272</v>
      </c>
      <c r="P157" s="82" t="n">
        <f aca="false">2*(C157-O157)/G$113</f>
        <v>0.827489639460139</v>
      </c>
      <c r="Q157" s="9" t="str">
        <f aca="false">IF(L157&gt;L$141,"|",IF(L156&gt;L$141,"V",""))</f>
        <v>|</v>
      </c>
    </row>
    <row r="158" customFormat="false" ht="15.75" hidden="false" customHeight="false" outlineLevel="0" collapsed="false">
      <c r="B158" s="58" t="n">
        <f aca="false">B157-0.25</f>
        <v>-2.49957999769111</v>
      </c>
      <c r="C158" s="61" t="n">
        <f aca="false">IF(B158&lt;-10,(0.00109375*B158^3+0.036875*B158^2+0.309375*B158+0.635)*(G$110-0.65*(2*G$100-G$101))+0.65*(2*G$100-G$101),IF(B158&lt;-7.5,(0.00128*B158^3+0.0536*B158^2+0.588*B158+1.935)*(G$110-0.65*(2*G$100-G$101))+0.65*(2*G$100-G$101),0))+IF(B158&lt;-7.5,0,IF(B158&lt;-4,-0.0008163265306*B158^3-0.00693877551*B158^2+0.03367346939*B158+0.9484693878,0))*(2*G$100-G$101)+IF(B158&lt;-4,0,0.00046875*((4/(B$147+4))*(B158-B$147))^3+0.0065625*((4/(B$147+4))*(B158-B$147))^2+0.08*((4/(B$147+4))*(B158-B$147))+1)*(2*G$100-G$101)+IF(B158&gt;-4,0.0625*((4/(B$147+4))*(B158-B$147))^2+0.5*((4/(B$147+4))*(B158-B$147))+1,0)*(G$111+G$112-D$148*(-2000*G$85+2000))+IF(G$42&gt;0,IF(B158&lt;-8,0,IF(B158&lt;-4.5,-0.04664723032*B158^3-0.8746355685*B158^2-5.037900875*B158-8.209912536,IF(B158&lt;IF(LOG(G$42)&lt;0,2/3*LOG(G$42)-1,-1),-2*(1/(-4.5-IF(LOG(G$42)&lt;0,2/3*LOG(G$42)-1,-1))*(B158-IF(LOG(G$42)&lt;0,2/3*LOG(G$42)-1,-1)))^3+3*(1/(-4.5-IF(LOG(G$42)&lt;0,2/3*LOG(G$42)-1,-1))*(B158-IF(LOG(G$42)&lt;0,2/3*LOG(G$42)-1,-1)))^2,0))),0)*IF((2*G$100-G$101)&gt;36,6*(2*G$100-G$101)^0.5,(2*G$100-G$101))*IF(G$80="None",0,G$80)+IF(B158&lt;-5,0,IF(B158&lt;-3,-0.25*B158^3-3*B158^2-11.25*B158-12.5,IF(B158&lt;-1,0.25*B158^3+1.5*B158^2+2.25*B158+1,0)))*IF((G$42/G$97*F$59)&lt;1,0.3645833333*(G$42/G$97*F$59)^3-1.0625*(G$42/G$97*F$59)^2+1.03125*(G$42/G$97*F$59),1/3)*(2*G$100-G$101)*IF(G$80="None",1,1-G$80)</f>
        <v>145.340784496386</v>
      </c>
      <c r="D158" s="60" t="n">
        <f aca="false">(C158-C157)/(E158-E157)</f>
        <v>-0.00251526571977431</v>
      </c>
      <c r="E158" s="57" t="n">
        <f aca="false">IF(D158=0,(8314.4621*C157*LN(H158/H157)/(-G$97*9.80665*G$102)),C157/D158*(1/(H158/H157)^(8314.4621*D158/(G$97*9.80665*G$102))-1))+E157</f>
        <v>22619.3056400564</v>
      </c>
      <c r="F158" s="57" t="n">
        <f aca="false">F$36*E158/(F$36-E158)</f>
        <v>22664.0084420669</v>
      </c>
      <c r="G158" s="57" t="n">
        <f aca="false">8314.4621*C158/(G$102*G$97*9.80665)</f>
        <v>2887.93012591102</v>
      </c>
      <c r="H158" s="60" t="n">
        <f aca="false">10^B158*101325</f>
        <v>320.727806975505</v>
      </c>
      <c r="I158" s="60" t="n">
        <f aca="false">H158/(8314.4621/G$102*C158)</f>
        <v>0.00747833884072405</v>
      </c>
      <c r="J158" s="57" t="n">
        <f aca="false">SQRT(8314.4621/G$102*G$104*C158)</f>
        <v>245.414843141969</v>
      </c>
      <c r="K158" s="57" t="n">
        <f aca="false">IF(F$23&gt;0,SQRT(2*G$96/(F$23+N158)),10000)</f>
        <v>5779.341635793</v>
      </c>
      <c r="L158" s="60" t="n">
        <f aca="false">I158*K158^2/2</f>
        <v>124891.211623754</v>
      </c>
      <c r="M158" s="60" t="n">
        <f aca="false">I158*K158^3/2</f>
        <v>721788979.281798</v>
      </c>
      <c r="N158" s="57" t="n">
        <f aca="false">F158*IF(G$125&gt;0,G$125,0.5)</f>
        <v>22664.0084420669</v>
      </c>
      <c r="O158" s="57" t="n">
        <f aca="false">4*G$100-3*G$101+IF(B158&gt;-4,0.0625*((4/(B$147+4))*(B158-B$147))^2+0.5*((4/(B$147+4))*(B158-B$147))+1,0)*(G$111+G$112+0.3*(G$42/G$97)^(1/3)*(G$101-G$100)+1/3*G$85*(G$101-G$100)-D$148*(-2000*G$85+2000))</f>
        <v>96.8148273136253</v>
      </c>
      <c r="P158" s="82" t="n">
        <f aca="false">2*(C158-O158)/G$113</f>
        <v>0.818950073823065</v>
      </c>
      <c r="Q158" s="9" t="str">
        <f aca="false">IF(L158&gt;L$141,"|",IF(L157&gt;L$141,"V",""))</f>
        <v>|</v>
      </c>
    </row>
    <row r="159" customFormat="false" ht="15.75" hidden="false" customHeight="false" outlineLevel="0" collapsed="false">
      <c r="B159" s="58" t="n">
        <f aca="false">B158-0.25</f>
        <v>-2.74957999769111</v>
      </c>
      <c r="C159" s="61" t="n">
        <f aca="false">IF(B159&lt;-10,(0.00109375*B159^3+0.036875*B159^2+0.309375*B159+0.635)*(G$110-0.65*(2*G$100-G$101))+0.65*(2*G$100-G$101),IF(B159&lt;-7.5,(0.00128*B159^3+0.0536*B159^2+0.588*B159+1.935)*(G$110-0.65*(2*G$100-G$101))+0.65*(2*G$100-G$101),0))+IF(B159&lt;-7.5,0,IF(B159&lt;-4,-0.0008163265306*B159^3-0.00693877551*B159^2+0.03367346939*B159+0.9484693878,0))*(2*G$100-G$101)+IF(B159&lt;-4,0,0.00046875*((4/(B$147+4))*(B159-B$147))^3+0.0065625*((4/(B$147+4))*(B159-B$147))^2+0.08*((4/(B$147+4))*(B159-B$147))+1)*(2*G$100-G$101)+IF(B159&gt;-4,0.0625*((4/(B$147+4))*(B159-B$147))^2+0.5*((4/(B$147+4))*(B159-B$147))+1,0)*(G$111+G$112-D$148*(-2000*G$85+2000))+IF(G$42&gt;0,IF(B159&lt;-8,0,IF(B159&lt;-4.5,-0.04664723032*B159^3-0.8746355685*B159^2-5.037900875*B159-8.209912536,IF(B159&lt;IF(LOG(G$42)&lt;0,2/3*LOG(G$42)-1,-1),-2*(1/(-4.5-IF(LOG(G$42)&lt;0,2/3*LOG(G$42)-1,-1))*(B159-IF(LOG(G$42)&lt;0,2/3*LOG(G$42)-1,-1)))^3+3*(1/(-4.5-IF(LOG(G$42)&lt;0,2/3*LOG(G$42)-1,-1))*(B159-IF(LOG(G$42)&lt;0,2/3*LOG(G$42)-1,-1)))^2,0))),0)*IF((2*G$100-G$101)&gt;36,6*(2*G$100-G$101)^0.5,(2*G$100-G$101))*IF(G$80="None",0,G$80)+IF(B159&lt;-5,0,IF(B159&lt;-3,-0.25*B159^3-3*B159^2-11.25*B159-12.5,IF(B159&lt;-1,0.25*B159^3+1.5*B159^2+2.25*B159+1,0)))*IF((G$42/G$97*F$59)&lt;1,0.3645833333*(G$42/G$97*F$59)^3-1.0625*(G$42/G$97*F$59)^2+1.03125*(G$42/G$97*F$59),1/3)*(2*G$100-G$101)*IF(G$80="None",1,1-G$80)</f>
        <v>141.615792190242</v>
      </c>
      <c r="D159" s="60" t="n">
        <f aca="false">(C159-C158)/(E159-E158)</f>
        <v>-0.00226199025016129</v>
      </c>
      <c r="E159" s="57" t="n">
        <f aca="false">IF(D159=0,(8314.4621*C158*LN(H159/H158)/(-G$97*9.80665*G$102)),C158/D159*(1/(H159/H158)^(8314.4621*D159/(G$97*9.80665*G$102))-1))+E158</f>
        <v>24260.4102164127</v>
      </c>
      <c r="F159" s="57" t="n">
        <f aca="false">F$36*E159/(F$36-E159)</f>
        <v>24311.8423765661</v>
      </c>
      <c r="G159" s="57" t="n">
        <f aca="false">8314.4621*C159/(G$102*G$97*9.80665)</f>
        <v>2813.91430483934</v>
      </c>
      <c r="H159" s="60" t="n">
        <f aca="false">10^B159*101325</f>
        <v>180.3585</v>
      </c>
      <c r="I159" s="60" t="n">
        <f aca="false">H159/(8314.4621/G$102*C159)</f>
        <v>0.00431599519884311</v>
      </c>
      <c r="J159" s="57" t="n">
        <f aca="false">SQRT(8314.4621/G$102*G$104*C159)</f>
        <v>242.249516630177</v>
      </c>
      <c r="K159" s="57" t="n">
        <f aca="false">IF(F$23&gt;0,SQRT(2*G$96/(F$23+N159)),10000)</f>
        <v>5775.27418226769</v>
      </c>
      <c r="L159" s="60" t="n">
        <f aca="false">I159*K159^2/2</f>
        <v>71977.4028094397</v>
      </c>
      <c r="M159" s="60" t="n">
        <f aca="false">I159*K159^3/2</f>
        <v>415689236.152039</v>
      </c>
      <c r="N159" s="57" t="n">
        <f aca="false">F159*IF(G$125&gt;0,G$125,0.5)</f>
        <v>24311.8423765661</v>
      </c>
      <c r="O159" s="57" t="n">
        <f aca="false">4*G$100-3*G$101+IF(B159&gt;-4,0.0625*((4/(B$147+4))*(B159-B$147))^2+0.5*((4/(B$147+4))*(B159-B$147))+1,0)*(G$111+G$112+0.3*(G$42/G$97)^(1/3)*(G$101-G$100)+1/3*G$85*(G$101-G$100)-D$148*(-2000*G$85+2000))</f>
        <v>93.6416227967568</v>
      </c>
      <c r="P159" s="82" t="n">
        <f aca="false">2*(C159-O159)/G$113</f>
        <v>0.809637807213661</v>
      </c>
      <c r="Q159" s="9" t="str">
        <f aca="false">IF(L159&gt;L$141,"|",IF(L158&gt;L$141,"V",""))</f>
        <v>|</v>
      </c>
    </row>
    <row r="160" customFormat="false" ht="15.75" hidden="false" customHeight="false" outlineLevel="0" collapsed="false">
      <c r="B160" s="58" t="n">
        <f aca="false">B159-0.25</f>
        <v>-2.99957999769111</v>
      </c>
      <c r="C160" s="61" t="n">
        <f aca="false">IF(B160&lt;-10,(0.00109375*B160^3+0.036875*B160^2+0.309375*B160+0.635)*(G$110-0.65*(2*G$100-G$101))+0.65*(2*G$100-G$101),IF(B160&lt;-7.5,(0.00128*B160^3+0.0536*B160^2+0.588*B160+1.935)*(G$110-0.65*(2*G$100-G$101))+0.65*(2*G$100-G$101),0))+IF(B160&lt;-7.5,0,IF(B160&lt;-4,-0.0008163265306*B160^3-0.00693877551*B160^2+0.03367346939*B160+0.9484693878,0))*(2*G$100-G$101)+IF(B160&lt;-4,0,0.00046875*((4/(B$147+4))*(B160-B$147))^3+0.0065625*((4/(B$147+4))*(B160-B$147))^2+0.08*((4/(B$147+4))*(B160-B$147))+1)*(2*G$100-G$101)+IF(B160&gt;-4,0.0625*((4/(B$147+4))*(B160-B$147))^2+0.5*((4/(B$147+4))*(B160-B$147))+1,0)*(G$111+G$112-D$148*(-2000*G$85+2000))+IF(G$42&gt;0,IF(B160&lt;-8,0,IF(B160&lt;-4.5,-0.04664723032*B160^3-0.8746355685*B160^2-5.037900875*B160-8.209912536,IF(B160&lt;IF(LOG(G$42)&lt;0,2/3*LOG(G$42)-1,-1),-2*(1/(-4.5-IF(LOG(G$42)&lt;0,2/3*LOG(G$42)-1,-1))*(B160-IF(LOG(G$42)&lt;0,2/3*LOG(G$42)-1,-1)))^3+3*(1/(-4.5-IF(LOG(G$42)&lt;0,2/3*LOG(G$42)-1,-1))*(B160-IF(LOG(G$42)&lt;0,2/3*LOG(G$42)-1,-1)))^2,0))),0)*IF((2*G$100-G$101)&gt;36,6*(2*G$100-G$101)^0.5,(2*G$100-G$101))*IF(G$80="None",0,G$80)+IF(B160&lt;-5,0,IF(B160&lt;-3,-0.25*B160^3-3*B160^2-11.25*B160-12.5,IF(B160&lt;-1,0.25*B160^3+1.5*B160^2+2.25*B160+1,0)))*IF((G$42/G$97*F$59)&lt;1,0.3645833333*(G$42/G$97*F$59)^3-1.0625*(G$42/G$97*F$59)^2+1.03125*(G$42/G$97*F$59),1/3)*(2*G$100-G$101)*IF(G$80="None",1,1-G$80)</f>
        <v>138.529071139525</v>
      </c>
      <c r="D160" s="60" t="n">
        <f aca="false">(C160-C159)/(E160-E159)</f>
        <v>-0.00191948714445308</v>
      </c>
      <c r="E160" s="57" t="n">
        <f aca="false">IF(D160=0,(8314.4621*C159*LN(H160/H159)/(-G$97*9.80665*G$102)),C159/D160*(1/(H160/H159)^(8314.4621*D160/(G$97*9.80665*G$102))-1))+E159</f>
        <v>25862.5770852328</v>
      </c>
      <c r="F160" s="57" t="n">
        <f aca="false">F$36*E160/(F$36-E160)</f>
        <v>25921.0349420651</v>
      </c>
      <c r="G160" s="57" t="n">
        <f aca="false">8314.4621*C160/(G$102*G$97*9.80665)</f>
        <v>2752.58097198625</v>
      </c>
      <c r="H160" s="60" t="n">
        <f aca="false">10^B160*101325</f>
        <v>101.423037899344</v>
      </c>
      <c r="I160" s="60" t="n">
        <f aca="false">H160/(8314.4621/G$102*C160)</f>
        <v>0.00248114255072054</v>
      </c>
      <c r="J160" s="57" t="n">
        <f aca="false">SQRT(8314.4621/G$102*G$104*C160)</f>
        <v>239.594882211057</v>
      </c>
      <c r="K160" s="57" t="n">
        <f aca="false">IF(F$23&gt;0,SQRT(2*G$96/(F$23+N160)),10000)</f>
        <v>5771.31038647992</v>
      </c>
      <c r="L160" s="60" t="n">
        <f aca="false">I160*K160^2/2</f>
        <v>41320.9772887618</v>
      </c>
      <c r="M160" s="60" t="n">
        <f aca="false">I160*K160^3/2</f>
        <v>238476185.406131</v>
      </c>
      <c r="N160" s="57" t="n">
        <f aca="false">F160*IF(G$125&gt;0,G$125,0.5)</f>
        <v>25921.0349420651</v>
      </c>
      <c r="O160" s="57" t="n">
        <f aca="false">4*G$100-3*G$101+IF(B160&gt;-4,0.0625*((4/(B$147+4))*(B160-B$147))^2+0.5*((4/(B$147+4))*(B160-B$147))+1,0)*(G$111+G$112+0.3*(G$42/G$97)^(1/3)*(G$101-G$100)+1/3*G$85*(G$101-G$100)-D$148*(-2000*G$85+2000))</f>
        <v>91.045188377666</v>
      </c>
      <c r="P160" s="82" t="n">
        <f aca="false">2*(C160-O160)/G$113</f>
        <v>0.801363467118691</v>
      </c>
      <c r="Q160" s="9" t="str">
        <f aca="false">IF(L160&gt;L$141,"|",IF(L159&gt;L$141,"V",""))</f>
        <v>|</v>
      </c>
    </row>
    <row r="161" s="1" customFormat="true" ht="15.75" hidden="false" customHeight="false" outlineLevel="0" collapsed="false">
      <c r="B161" s="58" t="n">
        <f aca="false">B160-0.25</f>
        <v>-3.24957999769111</v>
      </c>
      <c r="C161" s="61" t="n">
        <f aca="false">IF(B161&lt;-10,(0.00109375*B161^3+0.036875*B161^2+0.309375*B161+0.635)*(G$110-0.65*(2*G$100-G$101))+0.65*(2*G$100-G$101),IF(B161&lt;-7.5,(0.00128*B161^3+0.0536*B161^2+0.588*B161+1.935)*(G$110-0.65*(2*G$100-G$101))+0.65*(2*G$100-G$101),0))+IF(B161&lt;-7.5,0,IF(B161&lt;-4,-0.0008163265306*B161^3-0.00693877551*B161^2+0.03367346939*B161+0.9484693878,0))*(2*G$100-G$101)+IF(B161&lt;-4,0,0.00046875*((4/(B$147+4))*(B161-B$147))^3+0.0065625*((4/(B$147+4))*(B161-B$147))^2+0.08*((4/(B$147+4))*(B161-B$147))+1)*(2*G$100-G$101)+IF(B161&gt;-4,0.0625*((4/(B$147+4))*(B161-B$147))^2+0.5*((4/(B$147+4))*(B161-B$147))+1,0)*(G$111+G$112-D$148*(-2000*G$85+2000))+IF(G$42&gt;0,IF(B161&lt;-8,0,IF(B161&lt;-4.5,-0.04664723032*B161^3-0.8746355685*B161^2-5.037900875*B161-8.209912536,IF(B161&lt;IF(LOG(G$42)&lt;0,2/3*LOG(G$42)-1,-1),-2*(1/(-4.5-IF(LOG(G$42)&lt;0,2/3*LOG(G$42)-1,-1))*(B161-IF(LOG(G$42)&lt;0,2/3*LOG(G$42)-1,-1)))^3+3*(1/(-4.5-IF(LOG(G$42)&lt;0,2/3*LOG(G$42)-1,-1))*(B161-IF(LOG(G$42)&lt;0,2/3*LOG(G$42)-1,-1)))^2,0))),0)*IF((2*G$100-G$101)&gt;36,6*(2*G$100-G$101)^0.5,(2*G$100-G$101))*IF(G$80="None",0,G$80)+IF(B161&lt;-5,0,IF(B161&lt;-3,-0.25*B161^3-3*B161^2-11.25*B161-12.5,IF(B161&lt;-1,0.25*B161^3+1.5*B161^2+2.25*B161+1,0)))*IF((G$42/G$97*F$59)&lt;1,0.3645833333*(G$42/G$97*F$59)^3-1.0625*(G$42/G$97*F$59)^2+1.03125*(G$42/G$97*F$59),1/3)*(2*G$100-G$101)*IF(G$80="None",1,1-G$80)</f>
        <v>135.683902520656</v>
      </c>
      <c r="D161" s="60" t="n">
        <f aca="false">(C161-C160)/(E161-E160)</f>
        <v>-0.0018071648447731</v>
      </c>
      <c r="E161" s="57" t="n">
        <f aca="false">IF(D161=0,(8314.4621*C160*LN(H161/H160)/(-G$97*9.80665*G$102)),C160/D161*(1/(H161/H160)^(8314.4621*D161/(G$97*9.80665*G$102))-1))+E160</f>
        <v>27430.8259188504</v>
      </c>
      <c r="F161" s="57" t="n">
        <f aca="false">F$36*E161/(F$36-E161)</f>
        <v>27496.5972437089</v>
      </c>
      <c r="G161" s="57" t="n">
        <f aca="false">8314.4621*C161/(G$102*G$97*9.80665)</f>
        <v>2696.04730047621</v>
      </c>
      <c r="H161" s="60" t="n">
        <f aca="false">10^B161*101325</f>
        <v>57.0343655371479</v>
      </c>
      <c r="I161" s="60" t="n">
        <f aca="false">H161/(8314.4621/G$102*C161)</f>
        <v>0.00142450609834035</v>
      </c>
      <c r="J161" s="57" t="n">
        <f aca="false">SQRT(8314.4621/G$102*G$104*C161)</f>
        <v>237.121666859448</v>
      </c>
      <c r="K161" s="57" t="n">
        <f aca="false">IF(F$23&gt;0,SQRT(2*G$96/(F$23+N161)),10000)</f>
        <v>5767.43732624564</v>
      </c>
      <c r="L161" s="60" t="n">
        <f aca="false">I161*K161^2/2</f>
        <v>23691.910577158</v>
      </c>
      <c r="M161" s="60" t="n">
        <f aca="false">I161*K161^3/2</f>
        <v>136641609.392775</v>
      </c>
      <c r="N161" s="57" t="n">
        <f aca="false">F161*IF(G$125&gt;0,G$125,0.5)</f>
        <v>27496.5972437089</v>
      </c>
      <c r="O161" s="57" t="n">
        <f aca="false">4*G$100-3*G$101+IF(B161&gt;-4,0.0625*((4/(B$147+4))*(B161-B$147))^2+0.5*((4/(B$147+4))*(B161-B$147))+1,0)*(G$111+G$112+0.3*(G$42/G$97)^(1/3)*(G$101-G$100)+1/3*G$85*(G$101-G$100)-D$148*(-2000*G$85+2000))</f>
        <v>89.0255240563529</v>
      </c>
      <c r="P161" s="82" t="n">
        <f aca="false">2*(C161-O161)/G$113</f>
        <v>0.787431813944311</v>
      </c>
      <c r="Q161" s="9" t="str">
        <f aca="false">IF(L161&gt;L$141,"|",IF(L160&gt;L$141,"V",""))</f>
        <v>|</v>
      </c>
    </row>
    <row r="162" s="1" customFormat="true" ht="15.75" hidden="false" customHeight="false" outlineLevel="0" collapsed="false">
      <c r="B162" s="58" t="n">
        <f aca="false">B161-0.25</f>
        <v>-3.49957999769111</v>
      </c>
      <c r="C162" s="61" t="n">
        <f aca="false">IF(B162&lt;-10,(0.00109375*B162^3+0.036875*B162^2+0.309375*B162+0.635)*(G$110-0.65*(2*G$100-G$101))+0.65*(2*G$100-G$101),IF(B162&lt;-7.5,(0.00128*B162^3+0.0536*B162^2+0.588*B162+1.935)*(G$110-0.65*(2*G$100-G$101))+0.65*(2*G$100-G$101),0))+IF(B162&lt;-7.5,0,IF(B162&lt;-4,-0.0008163265306*B162^3-0.00693877551*B162^2+0.03367346939*B162+0.9484693878,0))*(2*G$100-G$101)+IF(B162&lt;-4,0,0.00046875*((4/(B$147+4))*(B162-B$147))^3+0.0065625*((4/(B$147+4))*(B162-B$147))^2+0.08*((4/(B$147+4))*(B162-B$147))+1)*(2*G$100-G$101)+IF(B162&gt;-4,0.0625*((4/(B$147+4))*(B162-B$147))^2+0.5*((4/(B$147+4))*(B162-B$147))+1,0)*(G$111+G$112-D$148*(-2000*G$85+2000))+IF(G$42&gt;0,IF(B162&lt;-8,0,IF(B162&lt;-4.5,-0.04664723032*B162^3-0.8746355685*B162^2-5.037900875*B162-8.209912536,IF(B162&lt;IF(LOG(G$42)&lt;0,2/3*LOG(G$42)-1,-1),-2*(1/(-4.5-IF(LOG(G$42)&lt;0,2/3*LOG(G$42)-1,-1))*(B162-IF(LOG(G$42)&lt;0,2/3*LOG(G$42)-1,-1)))^3+3*(1/(-4.5-IF(LOG(G$42)&lt;0,2/3*LOG(G$42)-1,-1))*(B162-IF(LOG(G$42)&lt;0,2/3*LOG(G$42)-1,-1)))^2,0))),0)*IF((2*G$100-G$101)&gt;36,6*(2*G$100-G$101)^0.5,(2*G$100-G$101))*IF(G$80="None",0,G$80)+IF(B162&lt;-5,0,IF(B162&lt;-3,-0.25*B162^3-3*B162^2-11.25*B162-12.5,IF(B162&lt;-1,0.25*B162^3+1.5*B162^2+2.25*B162+1,0)))*IF((G$42/G$97*F$59)&lt;1,0.3645833333*(G$42/G$97*F$59)^3-1.0625*(G$42/G$97*F$59)^2+1.03125*(G$42/G$97*F$59),1/3)*(2*G$100-G$101)*IF(G$80="None",1,1-G$80)</f>
        <v>133.270011943554</v>
      </c>
      <c r="D162" s="60" t="n">
        <f aca="false">(C162-C161)/(E162-E161)</f>
        <v>-0.00156292720434804</v>
      </c>
      <c r="E162" s="57" t="n">
        <f aca="false">IF(D162=0,(8314.4621*C161*LN(H162/H161)/(-G$97*9.80665*G$102)),C161/D162*(1/(H162/H161)^(8314.4621*D162/(G$97*9.80665*G$102))-1))+E161</f>
        <v>28969.0055484676</v>
      </c>
      <c r="F162" s="57" t="n">
        <f aca="false">F$36*E162/(F$36-E162)</f>
        <v>29042.3697831475</v>
      </c>
      <c r="G162" s="57" t="n">
        <f aca="false">8314.4621*C162/(G$102*G$97*9.80665)</f>
        <v>2648.08314958478</v>
      </c>
      <c r="H162" s="60" t="n">
        <f aca="false">10^B162*101325</f>
        <v>32.0727806975505</v>
      </c>
      <c r="I162" s="60" t="n">
        <f aca="false">H162/(8314.4621/G$102*C162)</f>
        <v>0.000815568047147007</v>
      </c>
      <c r="J162" s="57" t="n">
        <f aca="false">SQRT(8314.4621/G$102*G$104*C162)</f>
        <v>235.002939396358</v>
      </c>
      <c r="K162" s="57" t="n">
        <f aca="false">IF(F$23&gt;0,SQRT(2*G$96/(F$23+N162)),10000)</f>
        <v>5763.6450632009</v>
      </c>
      <c r="L162" s="60" t="n">
        <f aca="false">I162*K162^2/2</f>
        <v>13546.4239496894</v>
      </c>
      <c r="M162" s="60" t="n">
        <f aca="false">I162*K162^3/2</f>
        <v>78076779.5216539</v>
      </c>
      <c r="N162" s="57" t="n">
        <f aca="false">F162*IF(G$125&gt;0,G$125,0.5)</f>
        <v>29042.3697831475</v>
      </c>
      <c r="O162" s="57" t="n">
        <f aca="false">4*G$100-3*G$101+IF(B162&gt;-4,0.0625*((4/(B$147+4))*(B162-B$147))^2+0.5*((4/(B$147+4))*(B162-B$147))+1,0)*(G$111+G$112+0.3*(G$42/G$97)^(1/3)*(G$101-G$100)+1/3*G$85*(G$101-G$100)-D$148*(-2000*G$85+2000))</f>
        <v>87.5826298328176</v>
      </c>
      <c r="P162" s="82" t="n">
        <f aca="false">2*(C162-O162)/G$113</f>
        <v>0.771044758817506</v>
      </c>
      <c r="Q162" s="9" t="str">
        <f aca="false">IF(L162&gt;L$141,"|",IF(L161&gt;L$141,"V",""))</f>
        <v>|</v>
      </c>
    </row>
    <row r="163" s="1" customFormat="true" ht="15.75" hidden="false" customHeight="false" outlineLevel="0" collapsed="false">
      <c r="B163" s="58" t="n">
        <f aca="false">B162-0.25</f>
        <v>-3.74957999769111</v>
      </c>
      <c r="C163" s="61" t="n">
        <f aca="false">IF(B163&lt;-10,(0.00109375*B163^3+0.036875*B163^2+0.309375*B163+0.635)*(G$110-0.65*(2*G$100-G$101))+0.65*(2*G$100-G$101),IF(B163&lt;-7.5,(0.00128*B163^3+0.0536*B163^2+0.588*B163+1.935)*(G$110-0.65*(2*G$100-G$101))+0.65*(2*G$100-G$101),0))+IF(B163&lt;-7.5,0,IF(B163&lt;-4,-0.0008163265306*B163^3-0.00693877551*B163^2+0.03367346939*B163+0.9484693878,0))*(2*G$100-G$101)+IF(B163&lt;-4,0,0.00046875*((4/(B$147+4))*(B163-B$147))^3+0.0065625*((4/(B$147+4))*(B163-B$147))^2+0.08*((4/(B$147+4))*(B163-B$147))+1)*(2*G$100-G$101)+IF(B163&gt;-4,0.0625*((4/(B$147+4))*(B163-B$147))^2+0.5*((4/(B$147+4))*(B163-B$147))+1,0)*(G$111+G$112-D$148*(-2000*G$85+2000))+IF(G$42&gt;0,IF(B163&lt;-8,0,IF(B163&lt;-4.5,-0.04664723032*B163^3-0.8746355685*B163^2-5.037900875*B163-8.209912536,IF(B163&lt;IF(LOG(G$42)&lt;0,2/3*LOG(G$42)-1,-1),-2*(1/(-4.5-IF(LOG(G$42)&lt;0,2/3*LOG(G$42)-1,-1))*(B163-IF(LOG(G$42)&lt;0,2/3*LOG(G$42)-1,-1)))^3+3*(1/(-4.5-IF(LOG(G$42)&lt;0,2/3*LOG(G$42)-1,-1))*(B163-IF(LOG(G$42)&lt;0,2/3*LOG(G$42)-1,-1)))^2,0))),0)*IF((2*G$100-G$101)&gt;36,6*(2*G$100-G$101)^0.5,(2*G$100-G$101))*IF(G$80="None",0,G$80)+IF(B163&lt;-5,0,IF(B163&lt;-3,-0.25*B163^3-3*B163^2-11.25*B163-12.5,IF(B163&lt;-1,0.25*B163^3+1.5*B163^2+2.25*B163+1,0)))*IF((G$42/G$97*F$59)&lt;1,0.3645833333*(G$42/G$97*F$59)^3-1.0625*(G$42/G$97*F$59)^2+1.03125*(G$42/G$97*F$59),1/3)*(2*G$100-G$101)*IF(G$80="None",1,1-G$80)</f>
        <v>131.248059587256</v>
      </c>
      <c r="D163" s="60" t="n">
        <f aca="false">(C163-C162)/(E163-E162)</f>
        <v>-0.00133091184918398</v>
      </c>
      <c r="E163" s="57" t="n">
        <f aca="false">IF(D163=0,(8314.4621*C162*LN(H163/H162)/(-G$97*9.80665*G$102)),C162/D163*(1/(H163/H162)^(8314.4621*D163/(G$97*9.80665*G$102))-1))+E162</f>
        <v>30481.82063339</v>
      </c>
      <c r="F163" s="57" t="n">
        <f aca="false">F$36*E163/(F$36-E163)</f>
        <v>30563.0581173378</v>
      </c>
      <c r="G163" s="57" t="n">
        <f aca="false">8314.4621*C163/(G$102*G$97*9.80665)</f>
        <v>2607.90683470423</v>
      </c>
      <c r="H163" s="60" t="n">
        <f aca="false">10^B163*101325</f>
        <v>18.03585</v>
      </c>
      <c r="I163" s="60" t="n">
        <f aca="false">H163/(8314.4621/G$102*C163)</f>
        <v>0.00046569304041185</v>
      </c>
      <c r="J163" s="57" t="n">
        <f aca="false">SQRT(8314.4621/G$102*G$104*C163)</f>
        <v>233.213411411313</v>
      </c>
      <c r="K163" s="57" t="n">
        <f aca="false">IF(F$23&gt;0,SQRT(2*G$96/(F$23+N163)),10000)</f>
        <v>5759.92162957007</v>
      </c>
      <c r="L163" s="60" t="n">
        <f aca="false">I163*K163^2/2</f>
        <v>7725.07849000678</v>
      </c>
      <c r="M163" s="60" t="n">
        <f aca="false">I163*K163^3/2</f>
        <v>44495846.6847165</v>
      </c>
      <c r="N163" s="57" t="n">
        <f aca="false">F163*IF(G$125&gt;0,G$125,0.5)</f>
        <v>30563.0581173378</v>
      </c>
      <c r="O163" s="57" t="n">
        <f aca="false">4*G$100-3*G$101+IF(B163&gt;-4,0.0625*((4/(B$147+4))*(B163-B$147))^2+0.5*((4/(B$147+4))*(B163-B$147))+1,0)*(G$111+G$112+0.3*(G$42/G$97)^(1/3)*(G$101-G$100)+1/3*G$85*(G$101-G$100)-D$148*(-2000*G$85+2000))</f>
        <v>86.7165057070599</v>
      </c>
      <c r="P163" s="82" t="n">
        <f aca="false">2*(C163-O163)/G$113</f>
        <v>0.751538381825013</v>
      </c>
      <c r="Q163" s="9" t="str">
        <f aca="false">IF(L163&gt;L$141,"|",IF(L162&gt;L$141,"V",""))</f>
        <v>|</v>
      </c>
    </row>
    <row r="164" s="1" customFormat="true" ht="15.75" hidden="false" customHeight="false" outlineLevel="0" collapsed="false">
      <c r="B164" s="58" t="n">
        <f aca="false">B163-0.25</f>
        <v>-3.99957999769111</v>
      </c>
      <c r="C164" s="61" t="n">
        <f aca="false">IF(B164&lt;-10,(0.00109375*B164^3+0.036875*B164^2+0.309375*B164+0.635)*(G$110-0.65*(2*G$100-G$101))+0.65*(2*G$100-G$101),IF(B164&lt;-7.5,(0.00128*B164^3+0.0536*B164^2+0.588*B164+1.935)*(G$110-0.65*(2*G$100-G$101))+0.65*(2*G$100-G$101),0))+IF(B164&lt;-7.5,0,IF(B164&lt;-4,-0.0008163265306*B164^3-0.00693877551*B164^2+0.03367346939*B164+0.9484693878,0))*(2*G$100-G$101)+IF(B164&lt;-4,0,0.00046875*((4/(B$147+4))*(B164-B$147))^3+0.0065625*((4/(B$147+4))*(B164-B$147))^2+0.08*((4/(B$147+4))*(B164-B$147))+1)*(2*G$100-G$101)+IF(B164&gt;-4,0.0625*((4/(B$147+4))*(B164-B$147))^2+0.5*((4/(B$147+4))*(B164-B$147))+1,0)*(G$111+G$112-D$148*(-2000*G$85+2000))+IF(G$42&gt;0,IF(B164&lt;-8,0,IF(B164&lt;-4.5,-0.04664723032*B164^3-0.8746355685*B164^2-5.037900875*B164-8.209912536,IF(B164&lt;IF(LOG(G$42)&lt;0,2/3*LOG(G$42)-1,-1),-2*(1/(-4.5-IF(LOG(G$42)&lt;0,2/3*LOG(G$42)-1,-1))*(B164-IF(LOG(G$42)&lt;0,2/3*LOG(G$42)-1,-1)))^3+3*(1/(-4.5-IF(LOG(G$42)&lt;0,2/3*LOG(G$42)-1,-1))*(B164-IF(LOG(G$42)&lt;0,2/3*LOG(G$42)-1,-1)))^2,0))),0)*IF((2*G$100-G$101)&gt;36,6*(2*G$100-G$101)^0.5,(2*G$100-G$101))*IF(G$80="None",0,G$80)+IF(B164&lt;-5,0,IF(B164&lt;-3,-0.25*B164^3-3*B164^2-11.25*B164-12.5,IF(B164&lt;-1,0.25*B164^3+1.5*B164^2+2.25*B164+1,0)))*IF((G$42/G$97*F$59)&lt;1,0.3645833333*(G$42/G$97*F$59)^3-1.0625*(G$42/G$97*F$59)^2+1.03125*(G$42/G$97*F$59),1/3)*(2*G$100-G$101)*IF(G$80="None",1,1-G$80)</f>
        <v>129.578705630794</v>
      </c>
      <c r="D164" s="60" t="n">
        <v>0</v>
      </c>
      <c r="E164" s="57" t="n">
        <f aca="false">IF(D164=0,(8314.4621*C163*LN(H164/H163)/(-G$97*9.80665*G$102)),C163/D164*(1/(H164/H163)^(8314.4621*D164/(G$97*9.80665*G$102))-1))+E163</f>
        <v>31983.0524837668</v>
      </c>
      <c r="F164" s="57" t="n">
        <f aca="false">F$36*E164/(F$36-E164)</f>
        <v>32072.5006593916</v>
      </c>
      <c r="G164" s="57" t="n">
        <f aca="false">8314.4621*C164/(G$102*G$97*9.80665)</f>
        <v>2574.73667122686</v>
      </c>
      <c r="H164" s="60" t="n">
        <f aca="false">10^B164*101325</f>
        <v>10.1423037899344</v>
      </c>
      <c r="I164" s="60" t="n">
        <f aca="false">H164/(8314.4621/G$102*C164)</f>
        <v>0.000265252204243649</v>
      </c>
      <c r="J164" s="57" t="n">
        <f aca="false">SQRT(8314.4621/G$102*G$104*C164)</f>
        <v>231.725535696696</v>
      </c>
      <c r="K164" s="57" t="n">
        <f aca="false">IF(F$23&gt;0,SQRT(2*G$96/(F$23+N164)),10000)</f>
        <v>5756.23285871254</v>
      </c>
      <c r="L164" s="60" t="n">
        <f aca="false">I164*K164^2/2</f>
        <v>4394.46201092701</v>
      </c>
      <c r="M164" s="60" t="n">
        <f aca="false">I164*K164^3/2</f>
        <v>25295546.623662</v>
      </c>
      <c r="N164" s="57" t="n">
        <f aca="false">F164*IF(G$125&gt;0,G$125,0.5)</f>
        <v>32072.5006593916</v>
      </c>
      <c r="O164" s="57" t="n">
        <f aca="false">4*G$100-3*G$101+IF(B164&gt;-4,0.0625*((4/(B$147+4))*(B164-B$147))^2+0.5*((4/(B$147+4))*(B164-B$147))+1,0)*(G$111+G$112+0.3*(G$42/G$97)^(1/3)*(G$101-G$100)+1/3*G$85*(G$101-G$100)-D$148*(-2000*G$85+2000))</f>
        <v>86.42715167908</v>
      </c>
      <c r="P164" s="82" t="n">
        <f aca="false">2*(C164-O164)/G$113</f>
        <v>0.728248763053565</v>
      </c>
      <c r="Q164" s="9" t="str">
        <f aca="false">IF(L164&gt;L$141,"|",IF(L163&gt;L$141,"V",""))</f>
        <v>|</v>
      </c>
    </row>
    <row r="165" s="1" customFormat="true" ht="15.75" hidden="false" customHeight="false" outlineLevel="0" collapsed="false">
      <c r="B165" s="58" t="n">
        <f aca="false">B164-0.25</f>
        <v>-4.24957999769111</v>
      </c>
      <c r="C165" s="61" t="n">
        <f aca="false">IF(B165&lt;-10,(0.00109375*B165^3+0.036875*B165^2+0.309375*B165+0.635)*(G$110-0.65*(2*G$100-G$101))+0.65*(2*G$100-G$101),IF(B165&lt;-7.5,(0.00128*B165^3+0.0536*B165^2+0.588*B165+1.935)*(G$110-0.65*(2*G$100-G$101))+0.65*(2*G$100-G$101),0))+IF(B165&lt;-7.5,0,IF(B165&lt;-4,-0.0008163265306*B165^3-0.00693877551*B165^2+0.03367346939*B165+0.9484693878,0))*(2*G$100-G$101)+IF(B165&lt;-4,0,0.00046875*((4/(B$147+4))*(B165-B$147))^3+0.0065625*((4/(B$147+4))*(B165-B$147))^2+0.08*((4/(B$147+4))*(B165-B$147))+1)*(2*G$100-G$101)+IF(B165&gt;-4,0.0625*((4/(B$147+4))*(B165-B$147))^2+0.5*((4/(B$147+4))*(B165-B$147))+1,0)*(G$111+G$112-D$148*(-2000*G$85+2000))+IF(G$42&gt;0,IF(B165&lt;-8,0,IF(B165&lt;-4.5,-0.04664723032*B165^3-0.8746355685*B165^2-5.037900875*B165-8.209912536,IF(B165&lt;IF(LOG(G$42)&lt;0,2/3*LOG(G$42)-1,-1),-2*(1/(-4.5-IF(LOG(G$42)&lt;0,2/3*LOG(G$42)-1,-1))*(B165-IF(LOG(G$42)&lt;0,2/3*LOG(G$42)-1,-1)))^3+3*(1/(-4.5-IF(LOG(G$42)&lt;0,2/3*LOG(G$42)-1,-1))*(B165-IF(LOG(G$42)&lt;0,2/3*LOG(G$42)-1,-1)))^2,0))),0)*IF((2*G$100-G$101)&gt;36,6*(2*G$100-G$101)^0.5,(2*G$100-G$101))*IF(G$80="None",0,G$80)+IF(B165&lt;-5,0,IF(B165&lt;-3,-0.25*B165^3-3*B165^2-11.25*B165-12.5,IF(B165&lt;-1,0.25*B165^3+1.5*B165^2+2.25*B165+1,0)))*IF((G$42/G$97*F$59)&lt;1,0.3645833333*(G$42/G$97*F$59)^3-1.0625*(G$42/G$97*F$59)^2+1.03125*(G$42/G$97*F$59),1/3)*(2*G$100-G$101)*IF(G$80="None",1,1-G$80)</f>
        <v>127.896039958918</v>
      </c>
      <c r="D165" s="60" t="n">
        <v>0</v>
      </c>
      <c r="E165" s="57" t="n">
        <f aca="false">IF(D165=0,(8314.4621*C164*LN(H165/H164)/(-G$97*9.80665*G$102)),C164/D165*(1/(H165/H164)^(8314.4621*D165/(G$97*9.80665*G$102))-1))+E164</f>
        <v>33465.1900531548</v>
      </c>
      <c r="F165" s="57" t="n">
        <f aca="false">F$36*E165/(F$36-E165)</f>
        <v>33563.1333113863</v>
      </c>
      <c r="G165" s="57" t="n">
        <f aca="false">8314.4621*C165/(G$102*G$97*9.80665)</f>
        <v>2541.30200316391</v>
      </c>
      <c r="H165" s="60" t="n">
        <f aca="false">10^B165*101325</f>
        <v>5.70343655371479</v>
      </c>
      <c r="I165" s="60" t="n">
        <f aca="false">H165/(8314.4621/G$102*C165)</f>
        <v>0.000151124731187436</v>
      </c>
      <c r="J165" s="57" t="n">
        <f aca="false">SQRT(8314.4621/G$102*G$104*C165)</f>
        <v>230.216064213454</v>
      </c>
      <c r="K165" s="57" t="n">
        <f aca="false">IF(F$23&gt;0,SQRT(2*G$96/(F$23+N165)),10000)</f>
        <v>5752.59700176809</v>
      </c>
      <c r="L165" s="60" t="n">
        <f aca="false">I165*K165^2/2</f>
        <v>2500.53793143255</v>
      </c>
      <c r="M165" s="60" t="n">
        <f aca="false">I165*K165^3/2</f>
        <v>14384587.0071662</v>
      </c>
      <c r="N165" s="57" t="n">
        <f aca="false">F165*IF(G$125&gt;0,G$125,0.5)</f>
        <v>33563.1333113863</v>
      </c>
      <c r="O165" s="57" t="n">
        <f aca="false">4*G$100-3*G$101+IF(B165&gt;-4,0.0625*((4/(B$147+4))*(B165-B$147))^2+0.5*((4/(B$147+4))*(B165-B$147))+1,0)*(G$111+G$112+0.3*(G$42/G$97)^(1/3)*(G$101-G$100)+1/3*G$85*(G$101-G$100)-D$148*(-2000*G$85+2000))</f>
        <v>86.4271508651331</v>
      </c>
      <c r="P165" s="82" t="n">
        <f aca="false">2*(C165-O165)/G$113</f>
        <v>0.699851208638926</v>
      </c>
      <c r="Q165" s="9" t="str">
        <f aca="false">IF(L165&gt;L$141,"|",IF(L164&gt;L$141,"V",""))</f>
        <v>|</v>
      </c>
    </row>
    <row r="166" s="1" customFormat="true" ht="15.75" hidden="false" customHeight="false" outlineLevel="0" collapsed="false">
      <c r="B166" s="58" t="n">
        <f aca="false">B165-0.25</f>
        <v>-4.49957999769111</v>
      </c>
      <c r="C166" s="61" t="n">
        <f aca="false">IF(B166&lt;-10,(0.00109375*B166^3+0.036875*B166^2+0.309375*B166+0.635)*(G$110-0.65*(2*G$100-G$101))+0.65*(2*G$100-G$101),IF(B166&lt;-7.5,(0.00128*B166^3+0.0536*B166^2+0.588*B166+1.935)*(G$110-0.65*(2*G$100-G$101))+0.65*(2*G$100-G$101),0))+IF(B166&lt;-7.5,0,IF(B166&lt;-4,-0.0008163265306*B166^3-0.00693877551*B166^2+0.03367346939*B166+0.9484693878,0))*(2*G$100-G$101)+IF(B166&lt;-4,0,0.00046875*((4/(B$147+4))*(B166-B$147))^3+0.0065625*((4/(B$147+4))*(B166-B$147))^2+0.08*((4/(B$147+4))*(B166-B$147))+1)*(2*G$100-G$101)+IF(B166&gt;-4,0.0625*((4/(B$147+4))*(B166-B$147))^2+0.5*((4/(B$147+4))*(B166-B$147))+1,0)*(G$111+G$112-D$148*(-2000*G$85+2000))+IF(G$42&gt;0,IF(B166&lt;-8,0,IF(B166&lt;-4.5,-0.04664723032*B166^3-0.8746355685*B166^2-5.037900875*B166-8.209912536,IF(B166&lt;IF(LOG(G$42)&lt;0,2/3*LOG(G$42)-1,-1),-2*(1/(-4.5-IF(LOG(G$42)&lt;0,2/3*LOG(G$42)-1,-1))*(B166-IF(LOG(G$42)&lt;0,2/3*LOG(G$42)-1,-1)))^3+3*(1/(-4.5-IF(LOG(G$42)&lt;0,2/3*LOG(G$42)-1,-1))*(B166-IF(LOG(G$42)&lt;0,2/3*LOG(G$42)-1,-1)))^2,0))),0)*IF((2*G$100-G$101)&gt;36,6*(2*G$100-G$101)^0.5,(2*G$100-G$101))*IF(G$80="None",0,G$80)+IF(B166&lt;-5,0,IF(B166&lt;-3,-0.25*B166^3-3*B166^2-11.25*B166-12.5,IF(B166&lt;-1,0.25*B166^3+1.5*B166^2+2.25*B166+1,0)))*IF((G$42/G$97*F$59)&lt;1,0.3645833333*(G$42/G$97*F$59)^3-1.0625*(G$42/G$97*F$59)^2+1.03125*(G$42/G$97*F$59),1/3)*(2*G$100-G$101)*IF(G$80="None",1,1-G$80)</f>
        <v>126.08307099628</v>
      </c>
      <c r="D166" s="60" t="n">
        <v>0</v>
      </c>
      <c r="E166" s="57" t="n">
        <f aca="false">IF(D166=0,(8314.4621*C165*LN(H166/H165)/(-G$97*9.80665*G$102)),C165/D166*(1/(H166/H165)^(8314.4621*D166/(G$97*9.80665*G$102))-1))+E165</f>
        <v>34928.0810804751</v>
      </c>
      <c r="F166" s="57" t="n">
        <f aca="false">F$36*E166/(F$36-E166)</f>
        <v>35034.788096473</v>
      </c>
      <c r="G166" s="57" t="n">
        <f aca="false">8314.4621*C166/(G$102*G$97*9.80665)</f>
        <v>2505.27820087959</v>
      </c>
      <c r="H166" s="60" t="n">
        <f aca="false">10^B166*101325</f>
        <v>3.20727806975505</v>
      </c>
      <c r="I166" s="60" t="n">
        <f aca="false">H166/(8314.4621/G$102*C166)</f>
        <v>8.620567577012E-005</v>
      </c>
      <c r="J166" s="57" t="n">
        <f aca="false">SQRT(8314.4621/G$102*G$104*C166)</f>
        <v>228.578545716436</v>
      </c>
      <c r="K166" s="57" t="n">
        <f aca="false">IF(F$23&gt;0,SQRT(2*G$96/(F$23+N166)),10000)</f>
        <v>5749.01418462578</v>
      </c>
      <c r="L166" s="60" t="n">
        <f aca="false">I166*K166^2/2</f>
        <v>1424.59896790052</v>
      </c>
      <c r="M166" s="60" t="n">
        <f aca="false">I166*K166^3/2</f>
        <v>8190039.67386335</v>
      </c>
      <c r="N166" s="57" t="n">
        <f aca="false">F166*IF(G$125&gt;0,G$125,0.5)</f>
        <v>35034.788096473</v>
      </c>
      <c r="O166" s="57" t="n">
        <f aca="false">4*G$100-3*G$101+IF(B166&gt;-4,0.0625*((4/(B$147+4))*(B166-B$147))^2+0.5*((4/(B$147+4))*(B166-B$147))+1,0)*(G$111+G$112+0.3*(G$42/G$97)^(1/3)*(G$101-G$100)+1/3*G$85*(G$101-G$100)-D$148*(-2000*G$85+2000))</f>
        <v>86.4271508651331</v>
      </c>
      <c r="P166" s="82" t="n">
        <f aca="false">2*(C166-O166)/G$113</f>
        <v>0.669254572282016</v>
      </c>
      <c r="Q166" s="9" t="str">
        <f aca="false">IF(L166&gt;L$141,"|",IF(L165&gt;L$141,"V",""))</f>
        <v>|</v>
      </c>
    </row>
    <row r="167" s="1" customFormat="true" ht="15.75" hidden="false" customHeight="false" outlineLevel="0" collapsed="false">
      <c r="B167" s="58" t="n">
        <f aca="false">B166-0.25</f>
        <v>-4.74957999769111</v>
      </c>
      <c r="C167" s="61" t="n">
        <f aca="false">IF(B167&lt;-10,(0.00109375*B167^3+0.036875*B167^2+0.309375*B167+0.635)*(G$110-0.65*(2*G$100-G$101))+0.65*(2*G$100-G$101),IF(B167&lt;-7.5,(0.00128*B167^3+0.0536*B167^2+0.588*B167+1.935)*(G$110-0.65*(2*G$100-G$101))+0.65*(2*G$100-G$101),0))+IF(B167&lt;-7.5,0,IF(B167&lt;-4,-0.0008163265306*B167^3-0.00693877551*B167^2+0.03367346939*B167+0.9484693878,0))*(2*G$100-G$101)+IF(B167&lt;-4,0,0.00046875*((4/(B$147+4))*(B167-B$147))^3+0.0065625*((4/(B$147+4))*(B167-B$147))^2+0.08*((4/(B$147+4))*(B167-B$147))+1)*(2*G$100-G$101)+IF(B167&gt;-4,0.0625*((4/(B$147+4))*(B167-B$147))^2+0.5*((4/(B$147+4))*(B167-B$147))+1,0)*(G$111+G$112-D$148*(-2000*G$85+2000))+IF(G$42&gt;0,IF(B167&lt;-8,0,IF(B167&lt;-4.5,-0.04664723032*B167^3-0.8746355685*B167^2-5.037900875*B167-8.209912536,IF(B167&lt;IF(LOG(G$42)&lt;0,2/3*LOG(G$42)-1,-1),-2*(1/(-4.5-IF(LOG(G$42)&lt;0,2/3*LOG(G$42)-1,-1))*(B167-IF(LOG(G$42)&lt;0,2/3*LOG(G$42)-1,-1)))^3+3*(1/(-4.5-IF(LOG(G$42)&lt;0,2/3*LOG(G$42)-1,-1))*(B167-IF(LOG(G$42)&lt;0,2/3*LOG(G$42)-1,-1)))^2,0))),0)*IF((2*G$100-G$101)&gt;36,6*(2*G$100-G$101)^0.5,(2*G$100-G$101))*IF(G$80="None",0,G$80)+IF(B167&lt;-5,0,IF(B167&lt;-3,-0.25*B167^3-3*B167^2-11.25*B167-12.5,IF(B167&lt;-1,0.25*B167^3+1.5*B167^2+2.25*B167+1,0)))*IF((G$42/G$97*F$59)&lt;1,0.3645833333*(G$42/G$97*F$59)^3-1.0625*(G$42/G$97*F$59)^2+1.03125*(G$42/G$97*F$59),1/3)*(2*G$100-G$101)*IF(G$80="None",1,1-G$80)</f>
        <v>124.130076565662</v>
      </c>
      <c r="D167" s="60" t="n">
        <v>0</v>
      </c>
      <c r="E167" s="57" t="n">
        <f aca="false">IF(D167=0,(8314.4621*C166*LN(H167/H166)/(-G$97*9.80665*G$102)),C166/D167*(1/(H167/H166)^(8314.4621*D167/(G$97*9.80665*G$102))-1))+E166</f>
        <v>36370.2351402622</v>
      </c>
      <c r="F167" s="57" t="n">
        <f aca="false">F$36*E167/(F$36-E167)</f>
        <v>36485.9503709823</v>
      </c>
      <c r="G167" s="57" t="n">
        <f aca="false">8314.4621*C167/(G$102*G$97*9.80665)</f>
        <v>2466.47208412811</v>
      </c>
      <c r="H167" s="60" t="n">
        <f aca="false">10^B167*101325</f>
        <v>1.803585</v>
      </c>
      <c r="I167" s="60" t="n">
        <f aca="false">H167/(8314.4621/G$102*C167)</f>
        <v>4.9239724656911E-005</v>
      </c>
      <c r="J167" s="57" t="n">
        <f aca="false">SQRT(8314.4621/G$102*G$104*C167)</f>
        <v>226.801325162143</v>
      </c>
      <c r="K167" s="57" t="n">
        <f aca="false">IF(F$23&gt;0,SQRT(2*G$96/(F$23+N167)),10000)</f>
        <v>5745.48780460984</v>
      </c>
      <c r="L167" s="60" t="n">
        <f aca="false">I167*K167^2/2</f>
        <v>812.717168755667</v>
      </c>
      <c r="M167" s="60" t="n">
        <f aca="false">I167*K167^3/2</f>
        <v>4669456.58168272</v>
      </c>
      <c r="N167" s="57" t="n">
        <f aca="false">F167*IF(G$125&gt;0,G$125,0.5)</f>
        <v>36485.9503709823</v>
      </c>
      <c r="O167" s="57" t="n">
        <f aca="false">4*G$100-3*G$101+IF(B167&gt;-4,0.0625*((4/(B$147+4))*(B167-B$147))^2+0.5*((4/(B$147+4))*(B167-B$147))+1,0)*(G$111+G$112+0.3*(G$42/G$97)^(1/3)*(G$101-G$100)+1/3*G$85*(G$101-G$100)-D$148*(-2000*G$85+2000))</f>
        <v>86.4271508651331</v>
      </c>
      <c r="P167" s="82" t="n">
        <f aca="false">2*(C167-O167)/G$113</f>
        <v>0.636294791043558</v>
      </c>
      <c r="Q167" s="9" t="str">
        <f aca="false">IF(L167&gt;L$141,"|",IF(L166&gt;L$141,"V",""))</f>
        <v>|</v>
      </c>
    </row>
    <row r="168" s="1" customFormat="true" ht="15.75" hidden="false" customHeight="false" outlineLevel="0" collapsed="false">
      <c r="B168" s="58" t="n">
        <f aca="false">B167-0.25</f>
        <v>-4.99957999769111</v>
      </c>
      <c r="C168" s="61" t="n">
        <f aca="false">IF(B168&lt;-10,(0.00109375*B168^3+0.036875*B168^2+0.309375*B168+0.635)*(G$110-0.65*(2*G$100-G$101))+0.65*(2*G$100-G$101),IF(B168&lt;-7.5,(0.00128*B168^3+0.0536*B168^2+0.588*B168+1.935)*(G$110-0.65*(2*G$100-G$101))+0.65*(2*G$100-G$101),0))+IF(B168&lt;-7.5,0,IF(B168&lt;-4,-0.0008163265306*B168^3-0.00693877551*B168^2+0.03367346939*B168+0.9484693878,0))*(2*G$100-G$101)+IF(B168&lt;-4,0,0.00046875*((4/(B$147+4))*(B168-B$147))^3+0.0065625*((4/(B$147+4))*(B168-B$147))^2+0.08*((4/(B$147+4))*(B168-B$147))+1)*(2*G$100-G$101)+IF(B168&gt;-4,0.0625*((4/(B$147+4))*(B168-B$147))^2+0.5*((4/(B$147+4))*(B168-B$147))+1,0)*(G$111+G$112-D$148*(-2000*G$85+2000))+IF(G$42&gt;0,IF(B168&lt;-8,0,IF(B168&lt;-4.5,-0.04664723032*B168^3-0.8746355685*B168^2-5.037900875*B168-8.209912536,IF(B168&lt;IF(LOG(G$42)&lt;0,2/3*LOG(G$42)-1,-1),-2*(1/(-4.5-IF(LOG(G$42)&lt;0,2/3*LOG(G$42)-1,-1))*(B168-IF(LOG(G$42)&lt;0,2/3*LOG(G$42)-1,-1)))^3+3*(1/(-4.5-IF(LOG(G$42)&lt;0,2/3*LOG(G$42)-1,-1))*(B168-IF(LOG(G$42)&lt;0,2/3*LOG(G$42)-1,-1)))^2,0))),0)*IF((2*G$100-G$101)&gt;36,6*(2*G$100-G$101)^0.5,(2*G$100-G$101))*IF(G$80="None",0,G$80)+IF(B168&lt;-5,0,IF(B168&lt;-3,-0.25*B168^3-3*B168^2-11.25*B168-12.5,IF(B168&lt;-1,0.25*B168^3+1.5*B168^2+2.25*B168+1,0)))*IF((G$42/G$97*F$59)&lt;1,0.3645833333*(G$42/G$97*F$59)^3-1.0625*(G$42/G$97*F$59)^2+1.03125*(G$42/G$97*F$59),1/3)*(2*G$100-G$101)*IF(G$80="None",1,1-G$80)</f>
        <v>122.07167276515</v>
      </c>
      <c r="D168" s="60" t="n">
        <f aca="false">(C168-C167)/(E168-E167)</f>
        <v>-0.00146170659499805</v>
      </c>
      <c r="E168" s="57" t="n">
        <f aca="false">IF(D168=0,(8314.4621*C167*LN(H168/H167)/(-G$97*9.80665*G$102)),C167/D168*(1/(H168/H167)^(8314.4621*D168/(G$97*9.80665*G$102))-1))+E167</f>
        <v>37778.2473969081</v>
      </c>
      <c r="F168" s="57" t="n">
        <f aca="false">F$36*E168/(F$36-E168)</f>
        <v>37903.1108714814</v>
      </c>
      <c r="G168" s="57" t="n">
        <f aca="false">8314.4621*C168/(G$102*G$97*9.80665)</f>
        <v>2425.57147685958</v>
      </c>
      <c r="H168" s="60" t="n">
        <f aca="false">10^B168*101325</f>
        <v>1.01423037899344</v>
      </c>
      <c r="I168" s="60" t="n">
        <f aca="false">H168/(8314.4621/G$102*C168)</f>
        <v>2.81564399938488E-005</v>
      </c>
      <c r="J168" s="57" t="n">
        <f aca="false">SQRT(8314.4621/G$102*G$104*C168)</f>
        <v>224.912982169954</v>
      </c>
      <c r="K168" s="57" t="n">
        <f aca="false">IF(F$23&gt;0,SQRT(2*G$96/(F$23+N168)),10000)</f>
        <v>5742.05030552426</v>
      </c>
      <c r="L168" s="60" t="n">
        <f aca="false">I168*K168^2/2</f>
        <v>464.17498655964</v>
      </c>
      <c r="M168" s="60" t="n">
        <f aca="false">I168*K168^3/2</f>
        <v>2665316.1233915</v>
      </c>
      <c r="N168" s="57" t="n">
        <f aca="false">F168*IF(G$125&gt;0,G$125,0.5)</f>
        <v>37903.1108714814</v>
      </c>
      <c r="O168" s="57" t="n">
        <f aca="false">4*G$100-3*G$101+IF(B168&gt;-4,0.0625*((4/(B$147+4))*(B168-B$147))^2+0.5*((4/(B$147+4))*(B168-B$147))+1,0)*(G$111+G$112+0.3*(G$42/G$97)^(1/3)*(G$101-G$100)+1/3*G$85*(G$101-G$100)-D$148*(-2000*G$85+2000))</f>
        <v>86.4271508651331</v>
      </c>
      <c r="P168" s="82" t="n">
        <f aca="false">2*(C168-O168)/G$113</f>
        <v>0.60155606475656</v>
      </c>
      <c r="Q168" s="9" t="str">
        <f aca="false">IF(L168&gt;L$141,"|",IF(L167&gt;L$141,"V",""))</f>
        <v>|</v>
      </c>
    </row>
    <row r="169" s="1" customFormat="true" ht="15.75" hidden="false" customHeight="false" outlineLevel="0" collapsed="false">
      <c r="B169" s="58" t="n">
        <f aca="false">B168-0.25</f>
        <v>-5.24957999769111</v>
      </c>
      <c r="C169" s="61" t="n">
        <f aca="false">IF(B169&lt;-10,(0.00109375*B169^3+0.036875*B169^2+0.309375*B169+0.635)*(G$110-0.65*(2*G$100-G$101))+0.65*(2*G$100-G$101),IF(B169&lt;-7.5,(0.00128*B169^3+0.0536*B169^2+0.588*B169+1.935)*(G$110-0.65*(2*G$100-G$101))+0.65*(2*G$100-G$101),0))+IF(B169&lt;-7.5,0,IF(B169&lt;-4,-0.0008163265306*B169^3-0.00693877551*B169^2+0.03367346939*B169+0.9484693878,0))*(2*G$100-G$101)+IF(B169&lt;-4,0,0.00046875*((4/(B$147+4))*(B169-B$147))^3+0.0065625*((4/(B$147+4))*(B169-B$147))^2+0.08*((4/(B$147+4))*(B169-B$147))+1)*(2*G$100-G$101)+IF(B169&gt;-4,0.0625*((4/(B$147+4))*(B169-B$147))^2+0.5*((4/(B$147+4))*(B169-B$147))+1,0)*(G$111+G$112-D$148*(-2000*G$85+2000))+IF(G$42&gt;0,IF(B169&lt;-8,0,IF(B169&lt;-4.5,-0.04664723032*B169^3-0.8746355685*B169^2-5.037900875*B169-8.209912536,IF(B169&lt;IF(LOG(G$42)&lt;0,2/3*LOG(G$42)-1,-1),-2*(1/(-4.5-IF(LOG(G$42)&lt;0,2/3*LOG(G$42)-1,-1))*(B169-IF(LOG(G$42)&lt;0,2/3*LOG(G$42)-1,-1)))^3+3*(1/(-4.5-IF(LOG(G$42)&lt;0,2/3*LOG(G$42)-1,-1))*(B169-IF(LOG(G$42)&lt;0,2/3*LOG(G$42)-1,-1)))^2,0))),0)*IF((2*G$100-G$101)&gt;36,6*(2*G$100-G$101)^0.5,(2*G$100-G$101))*IF(G$80="None",0,G$80)+IF(B169&lt;-5,0,IF(B169&lt;-3,-0.25*B169^3-3*B169^2-11.25*B169-12.5,IF(B169&lt;-1,0.25*B169^3+1.5*B169^2+2.25*B169+1,0)))*IF((G$42/G$97*F$59)&lt;1,0.3645833333*(G$42/G$97*F$59)^3-1.0625*(G$42/G$97*F$59)^2+1.03125*(G$42/G$97*F$59),1/3)*(2*G$100-G$101)*IF(G$80="None",1,1-G$80)</f>
        <v>119.953666570544</v>
      </c>
      <c r="D169" s="60" t="n">
        <f aca="false">(C169-C168)/(E169-E168)</f>
        <v>-0.00152998039653442</v>
      </c>
      <c r="E169" s="57" t="n">
        <f aca="false">IF(D169=0,(8314.4621*C168*LN(H169/H168)/(-G$97*9.80665*G$102)),C168/D169*(1/(H169/H168)^(8314.4621*D169/(G$97*9.80665*G$102))-1))+E168</f>
        <v>39162.3720875567</v>
      </c>
      <c r="F169" s="57" t="n">
        <f aca="false">F$36*E169/(F$36-E169)</f>
        <v>39296.5689543707</v>
      </c>
      <c r="G169" s="57" t="n">
        <f aca="false">8314.4621*C169/(G$102*G$97*9.80665)</f>
        <v>2383.48656643705</v>
      </c>
      <c r="H169" s="60" t="n">
        <f aca="false">10^B169*101325</f>
        <v>0.570343655371479</v>
      </c>
      <c r="I169" s="60" t="n">
        <f aca="false">H169/(8314.4621/G$102*C169)</f>
        <v>1.61131003422579E-005</v>
      </c>
      <c r="J169" s="57" t="n">
        <f aca="false">SQRT(8314.4621/G$102*G$104*C169)</f>
        <v>222.953266600688</v>
      </c>
      <c r="K169" s="57" t="n">
        <f aca="false">IF(F$23&gt;0,SQRT(2*G$96/(F$23+N169)),10000)</f>
        <v>5738.67630850389</v>
      </c>
      <c r="L169" s="60" t="n">
        <f aca="false">I169*K169^2/2</f>
        <v>265.321579372467</v>
      </c>
      <c r="M169" s="60" t="n">
        <f aca="false">I169*K169^3/2</f>
        <v>1522594.66167961</v>
      </c>
      <c r="N169" s="57" t="n">
        <f aca="false">F169*IF(G$125&gt;0,G$125,0.5)</f>
        <v>39296.5689543707</v>
      </c>
      <c r="O169" s="57" t="n">
        <f aca="false">4*G$100-3*G$101+IF(B169&gt;-4,0.0625*((4/(B$147+4))*(B169-B$147))^2+0.5*((4/(B$147+4))*(B169-B$147))+1,0)*(G$111+G$112+0.3*(G$42/G$97)^(1/3)*(G$101-G$100)+1/3*G$85*(G$101-G$100)-D$148*(-2000*G$85+2000))</f>
        <v>86.4271508651331</v>
      </c>
      <c r="P169" s="82" t="n">
        <f aca="false">2*(C169-O169)/G$113</f>
        <v>0.565811456507036</v>
      </c>
      <c r="Q169" s="9" t="str">
        <f aca="false">IF(L169&gt;L$141,"|",IF(L168&gt;L$141,"V",""))</f>
        <v>|</v>
      </c>
    </row>
    <row r="170" s="1" customFormat="true" ht="15.75" hidden="false" customHeight="false" outlineLevel="0" collapsed="false">
      <c r="B170" s="58" t="n">
        <f aca="false">B169-0.25</f>
        <v>-5.49957999769111</v>
      </c>
      <c r="C170" s="61" t="n">
        <f aca="false">IF(B170&lt;-10,(0.00109375*B170^3+0.036875*B170^2+0.309375*B170+0.635)*(G$110-0.65*(2*G$100-G$101))+0.65*(2*G$100-G$101),IF(B170&lt;-7.5,(0.00128*B170^3+0.0536*B170^2+0.588*B170+1.935)*(G$110-0.65*(2*G$100-G$101))+0.65*(2*G$100-G$101),0))+IF(B170&lt;-7.5,0,IF(B170&lt;-4,-0.0008163265306*B170^3-0.00693877551*B170^2+0.03367346939*B170+0.9484693878,0))*(2*G$100-G$101)+IF(B170&lt;-4,0,0.00046875*((4/(B$147+4))*(B170-B$147))^3+0.0065625*((4/(B$147+4))*(B170-B$147))^2+0.08*((4/(B$147+4))*(B170-B$147))+1)*(2*G$100-G$101)+IF(B170&gt;-4,0.0625*((4/(B$147+4))*(B170-B$147))^2+0.5*((4/(B$147+4))*(B170-B$147))+1,0)*(G$111+G$112-D$148*(-2000*G$85+2000))+IF(G$42&gt;0,IF(B170&lt;-8,0,IF(B170&lt;-4.5,-0.04664723032*B170^3-0.8746355685*B170^2-5.037900875*B170-8.209912536,IF(B170&lt;IF(LOG(G$42)&lt;0,2/3*LOG(G$42)-1,-1),-2*(1/(-4.5-IF(LOG(G$42)&lt;0,2/3*LOG(G$42)-1,-1))*(B170-IF(LOG(G$42)&lt;0,2/3*LOG(G$42)-1,-1)))^3+3*(1/(-4.5-IF(LOG(G$42)&lt;0,2/3*LOG(G$42)-1,-1))*(B170-IF(LOG(G$42)&lt;0,2/3*LOG(G$42)-1,-1)))^2,0))),0)*IF((2*G$100-G$101)&gt;36,6*(2*G$100-G$101)^0.5,(2*G$100-G$101))*IF(G$80="None",0,G$80)+IF(B170&lt;-5,0,IF(B170&lt;-3,-0.25*B170^3-3*B170^2-11.25*B170-12.5,IF(B170&lt;-1,0.25*B170^3+1.5*B170^2+2.25*B170+1,0)))*IF((G$42/G$97*F$59)&lt;1,0.3645833333*(G$42/G$97*F$59)^3-1.0625*(G$42/G$97*F$59)^2+1.03125*(G$42/G$97*F$59),1/3)*(2*G$100-G$101)*IF(G$80="None",1,1-G$80)</f>
        <v>117.82186494024</v>
      </c>
      <c r="D170" s="60" t="n">
        <f aca="false">(C170-C169)/(E170-E169)</f>
        <v>-0.00156746846343337</v>
      </c>
      <c r="E170" s="57" t="n">
        <f aca="false">IF(D170=0,(8314.4621*C169*LN(H170/H169)/(-G$97*9.80665*G$102)),C169/D170*(1/(H170/H169)^(8314.4621*D170/(G$97*9.80665*G$102))-1))+E169</f>
        <v>40522.1907933503</v>
      </c>
      <c r="F170" s="57" t="n">
        <f aca="false">F$36*E170/(F$36-E170)</f>
        <v>40665.8858765763</v>
      </c>
      <c r="G170" s="57" t="n">
        <f aca="false">8314.4621*C170/(G$102*G$97*9.80665)</f>
        <v>2341.12753987784</v>
      </c>
      <c r="H170" s="60" t="n">
        <f aca="false">10^B170*101325</f>
        <v>0.320727806975505</v>
      </c>
      <c r="I170" s="60" t="n">
        <f aca="false">H170/(8314.4621/G$102*C170)</f>
        <v>9.22500789129347E-006</v>
      </c>
      <c r="J170" s="57" t="n">
        <f aca="false">SQRT(8314.4621/G$102*G$104*C170)</f>
        <v>220.963236472368</v>
      </c>
      <c r="K170" s="57" t="n">
        <f aca="false">IF(F$23&gt;0,SQRT(2*G$96/(F$23+N170)),10000)</f>
        <v>5735.36655202502</v>
      </c>
      <c r="L170" s="60" t="n">
        <f aca="false">I170*K170^2/2</f>
        <v>151.725685794376</v>
      </c>
      <c r="M170" s="60" t="n">
        <f aca="false">I170*K170^3/2</f>
        <v>870202.423388122</v>
      </c>
      <c r="N170" s="57" t="n">
        <f aca="false">F170*IF(G$125&gt;0,G$125,0.5)</f>
        <v>40665.8858765763</v>
      </c>
      <c r="O170" s="57" t="n">
        <f aca="false">4*G$100-3*G$101+IF(B170&gt;-4,0.0625*((4/(B$147+4))*(B170-B$147))^2+0.5*((4/(B$147+4))*(B170-B$147))+1,0)*(G$111+G$112+0.3*(G$42/G$97)^(1/3)*(G$101-G$100)+1/3*G$85*(G$101-G$100)-D$148*(-2000*G$85+2000))</f>
        <v>86.4271508651331</v>
      </c>
      <c r="P170" s="82" t="n">
        <f aca="false">2*(C170-O170)/G$113</f>
        <v>0.529834029087365</v>
      </c>
      <c r="Q170" s="9" t="str">
        <f aca="false">IF(L170&gt;L$141,"|",IF(L169&gt;L$141,"V",""))</f>
        <v>|</v>
      </c>
    </row>
    <row r="171" s="1" customFormat="true" ht="15.75" hidden="false" customHeight="false" outlineLevel="0" collapsed="false">
      <c r="B171" s="58" t="n">
        <f aca="false">B170-0.25</f>
        <v>-5.74957999769111</v>
      </c>
      <c r="C171" s="61" t="n">
        <f aca="false">IF(B171&lt;-10,(0.00109375*B171^3+0.036875*B171^2+0.309375*B171+0.635)*(G$110-0.65*(2*G$100-G$101))+0.65*(2*G$100-G$101),IF(B171&lt;-7.5,(0.00128*B171^3+0.0536*B171^2+0.588*B171+1.935)*(G$110-0.65*(2*G$100-G$101))+0.65*(2*G$100-G$101),0))+IF(B171&lt;-7.5,0,IF(B171&lt;-4,-0.0008163265306*B171^3-0.00693877551*B171^2+0.03367346939*B171+0.9484693878,0))*(2*G$100-G$101)+IF(B171&lt;-4,0,0.00046875*((4/(B$147+4))*(B171-B$147))^3+0.0065625*((4/(B$147+4))*(B171-B$147))^2+0.08*((4/(B$147+4))*(B171-B$147))+1)*(2*G$100-G$101)+IF(B171&gt;-4,0.0625*((4/(B$147+4))*(B171-B$147))^2+0.5*((4/(B$147+4))*(B171-B$147))+1,0)*(G$111+G$112-D$148*(-2000*G$85+2000))+IF(G$42&gt;0,IF(B171&lt;-8,0,IF(B171&lt;-4.5,-0.04664723032*B171^3-0.8746355685*B171^2-5.037900875*B171-8.209912536,IF(B171&lt;IF(LOG(G$42)&lt;0,2/3*LOG(G$42)-1,-1),-2*(1/(-4.5-IF(LOG(G$42)&lt;0,2/3*LOG(G$42)-1,-1))*(B171-IF(LOG(G$42)&lt;0,2/3*LOG(G$42)-1,-1)))^3+3*(1/(-4.5-IF(LOG(G$42)&lt;0,2/3*LOG(G$42)-1,-1))*(B171-IF(LOG(G$42)&lt;0,2/3*LOG(G$42)-1,-1)))^2,0))),0)*IF((2*G$100-G$101)&gt;36,6*(2*G$100-G$101)^0.5,(2*G$100-G$101))*IF(G$80="None",0,G$80)+IF(B171&lt;-5,0,IF(B171&lt;-3,-0.25*B171^3-3*B171^2-11.25*B171-12.5,IF(B171&lt;-1,0.25*B171^3+1.5*B171^2+2.25*B171+1,0)))*IF((G$42/G$97*F$59)&lt;1,0.3645833333*(G$42/G$97*F$59)^3-1.0625*(G$42/G$97*F$59)^2+1.03125*(G$42/G$97*F$59),1/3)*(2*G$100-G$101)*IF(G$80="None",1,1-G$80)</f>
        <v>115.72207483264</v>
      </c>
      <c r="D171" s="60" t="n">
        <f aca="false">(C171-C170)/(E171-E170)</f>
        <v>-0.00157190802746267</v>
      </c>
      <c r="E171" s="57" t="n">
        <f aca="false">IF(D171=0,(8314.4621*C170*LN(H171/H170)/(-G$97*9.80665*G$102)),C170/D171*(1/(H171/H170)^(8314.4621*D171/(G$97*9.80665*G$102))-1))+E170</f>
        <v>41857.8091598784</v>
      </c>
      <c r="F171" s="57" t="n">
        <f aca="false">F$36*E171/(F$36-E171)</f>
        <v>42011.1507012721</v>
      </c>
      <c r="G171" s="57" t="n">
        <f aca="false">8314.4621*C171/(G$102*G$97*9.80665)</f>
        <v>2299.40458419928</v>
      </c>
      <c r="H171" s="60" t="n">
        <f aca="false">10^B171*101325</f>
        <v>0.1803585</v>
      </c>
      <c r="I171" s="60" t="n">
        <f aca="false">H171/(8314.4621/G$102*C171)</f>
        <v>5.28173280730922E-006</v>
      </c>
      <c r="J171" s="57" t="n">
        <f aca="false">SQRT(8314.4621/G$102*G$104*C171)</f>
        <v>218.985410611969</v>
      </c>
      <c r="K171" s="57" t="n">
        <f aca="false">IF(F$23&gt;0,SQRT(2*G$96/(F$23+N171)),10000)</f>
        <v>5732.12050186098</v>
      </c>
      <c r="L171" s="60" t="n">
        <f aca="false">I171*K171^2/2</f>
        <v>86.7714899852175</v>
      </c>
      <c r="M171" s="60" t="n">
        <f aca="false">I171*K171^3/2</f>
        <v>497384.63672129</v>
      </c>
      <c r="N171" s="57" t="n">
        <f aca="false">F171*IF(G$125&gt;0,G$125,0.5)</f>
        <v>42011.1507012721</v>
      </c>
      <c r="O171" s="57" t="n">
        <f aca="false">4*G$100-3*G$101+IF(B171&gt;-4,0.0625*((4/(B$147+4))*(B171-B$147))^2+0.5*((4/(B$147+4))*(B171-B$147))+1,0)*(G$111+G$112+0.3*(G$42/G$97)^(1/3)*(G$101-G$100)+1/3*G$85*(G$101-G$100)-D$148*(-2000*G$85+2000))</f>
        <v>86.4271508651331</v>
      </c>
      <c r="P171" s="82" t="n">
        <f aca="false">2*(C171-O171)/G$113</f>
        <v>0.494396845289922</v>
      </c>
      <c r="Q171" s="9" t="str">
        <f aca="false">IF(L171&gt;L$141,"|",IF(L170&gt;L$141,"V",""))</f>
        <v>|</v>
      </c>
    </row>
    <row r="172" s="1" customFormat="true" ht="15.75" hidden="false" customHeight="false" outlineLevel="0" collapsed="false">
      <c r="B172" s="58" t="n">
        <f aca="false">B171-0.25</f>
        <v>-5.99957999769111</v>
      </c>
      <c r="C172" s="61" t="n">
        <f aca="false">IF(B172&lt;-10,(0.00109375*B172^3+0.036875*B172^2+0.309375*B172+0.635)*(G$110-0.65*(2*G$100-G$101))+0.65*(2*G$100-G$101),IF(B172&lt;-7.5,(0.00128*B172^3+0.0536*B172^2+0.588*B172+1.935)*(G$110-0.65*(2*G$100-G$101))+0.65*(2*G$100-G$101),0))+IF(B172&lt;-7.5,0,IF(B172&lt;-4,-0.0008163265306*B172^3-0.00693877551*B172^2+0.03367346939*B172+0.9484693878,0))*(2*G$100-G$101)+IF(B172&lt;-4,0,0.00046875*((4/(B$147+4))*(B172-B$147))^3+0.0065625*((4/(B$147+4))*(B172-B$147))^2+0.08*((4/(B$147+4))*(B172-B$147))+1)*(2*G$100-G$101)+IF(B172&gt;-4,0.0625*((4/(B$147+4))*(B172-B$147))^2+0.5*((4/(B$147+4))*(B172-B$147))+1,0)*(G$111+G$112-D$148*(-2000*G$85+2000))+IF(G$42&gt;0,IF(B172&lt;-8,0,IF(B172&lt;-4.5,-0.04664723032*B172^3-0.8746355685*B172^2-5.037900875*B172-8.209912536,IF(B172&lt;IF(LOG(G$42)&lt;0,2/3*LOG(G$42)-1,-1),-2*(1/(-4.5-IF(LOG(G$42)&lt;0,2/3*LOG(G$42)-1,-1))*(B172-IF(LOG(G$42)&lt;0,2/3*LOG(G$42)-1,-1)))^3+3*(1/(-4.5-IF(LOG(G$42)&lt;0,2/3*LOG(G$42)-1,-1))*(B172-IF(LOG(G$42)&lt;0,2/3*LOG(G$42)-1,-1)))^2,0))),0)*IF((2*G$100-G$101)&gt;36,6*(2*G$100-G$101)^0.5,(2*G$100-G$101))*IF(G$80="None",0,G$80)+IF(B172&lt;-5,0,IF(B172&lt;-3,-0.25*B172^3-3*B172^2-11.25*B172-12.5,IF(B172&lt;-1,0.25*B172^3+1.5*B172^2+2.25*B172+1,0)))*IF((G$42/G$97*F$59)&lt;1,0.3645833333*(G$42/G$97*F$59)^3-1.0625*(G$42/G$97*F$59)^2+1.03125*(G$42/G$97*F$59),1/3)*(2*G$100-G$101)*IF(G$80="None",1,1-G$80)</f>
        <v>113.700103206141</v>
      </c>
      <c r="D172" s="60" t="n">
        <f aca="false">(C172-C171)/(E172-E171)</f>
        <v>-0.00154085271726136</v>
      </c>
      <c r="E172" s="57" t="n">
        <f aca="false">IF(D172=0,(8314.4621*C171*LN(H172/H171)/(-G$97*9.80665*G$102)),C171/D172*(1/(H172/H171)^(8314.4621*D172/(G$97*9.80665*G$102))-1))+E171</f>
        <v>43169.8568064535</v>
      </c>
      <c r="F172" s="57" t="n">
        <f aca="false">F$36*E172/(F$36-E172)</f>
        <v>43332.9808305672</v>
      </c>
      <c r="G172" s="57" t="n">
        <f aca="false">8314.4621*C172/(G$102*G$97*9.80665)</f>
        <v>2259.22788641871</v>
      </c>
      <c r="H172" s="60" t="n">
        <f aca="false">10^B172*101325</f>
        <v>0.101423037899344</v>
      </c>
      <c r="I172" s="60" t="n">
        <f aca="false">H172/(8314.4621/G$102*C172)</f>
        <v>3.02295568098926E-006</v>
      </c>
      <c r="J172" s="57" t="n">
        <f aca="false">SQRT(8314.4621/G$102*G$104*C172)</f>
        <v>217.063851925185</v>
      </c>
      <c r="K172" s="57" t="n">
        <f aca="false">IF(F$23&gt;0,SQRT(2*G$96/(F$23+N172)),10000)</f>
        <v>5728.93636067738</v>
      </c>
      <c r="L172" s="60" t="n">
        <f aca="false">I172*K172^2/2</f>
        <v>49.6077786322812</v>
      </c>
      <c r="M172" s="60" t="n">
        <f aca="false">I172*K172^3/2</f>
        <v>284199.80677891</v>
      </c>
      <c r="N172" s="57" t="n">
        <f aca="false">F172*IF(G$125&gt;0,G$125,0.5)</f>
        <v>43332.9808305672</v>
      </c>
      <c r="O172" s="57" t="n">
        <f aca="false">4*G$100-3*G$101+IF(B172&gt;-4,0.0625*((4/(B$147+4))*(B172-B$147))^2+0.5*((4/(B$147+4))*(B172-B$147))+1,0)*(G$111+G$112+0.3*(G$42/G$97)^(1/3)*(G$101-G$100)+1/3*G$85*(G$101-G$100)-D$148*(-2000*G$85+2000))</f>
        <v>86.4271508651331</v>
      </c>
      <c r="P172" s="82" t="n">
        <f aca="false">2*(C172-O172)/G$113</f>
        <v>0.460272967907085</v>
      </c>
      <c r="Q172" s="9" t="str">
        <f aca="false">IF(L172&gt;L$141,"|",IF(L171&gt;L$141,"V",""))</f>
        <v>|</v>
      </c>
    </row>
    <row r="173" s="1" customFormat="true" ht="15.75" hidden="false" customHeight="false" outlineLevel="0" collapsed="false">
      <c r="B173" s="58" t="n">
        <f aca="false">B172-0.25</f>
        <v>-6.24957999769111</v>
      </c>
      <c r="C173" s="61" t="n">
        <f aca="false">IF(B173&lt;-10,(0.00109375*B173^3+0.036875*B173^2+0.309375*B173+0.635)*(G$110-0.65*(2*G$100-G$101))+0.65*(2*G$100-G$101),IF(B173&lt;-7.5,(0.00128*B173^3+0.0536*B173^2+0.588*B173+1.935)*(G$110-0.65*(2*G$100-G$101))+0.65*(2*G$100-G$101),0))+IF(B173&lt;-7.5,0,IF(B173&lt;-4,-0.0008163265306*B173^3-0.00693877551*B173^2+0.03367346939*B173+0.9484693878,0))*(2*G$100-G$101)+IF(B173&lt;-4,0,0.00046875*((4/(B$147+4))*(B173-B$147))^3+0.0065625*((4/(B$147+4))*(B173-B$147))^2+0.08*((4/(B$147+4))*(B173-B$147))+1)*(2*G$100-G$101)+IF(B173&gt;-4,0.0625*((4/(B$147+4))*(B173-B$147))^2+0.5*((4/(B$147+4))*(B173-B$147))+1,0)*(G$111+G$112-D$148*(-2000*G$85+2000))+IF(G$42&gt;0,IF(B173&lt;-8,0,IF(B173&lt;-4.5,-0.04664723032*B173^3-0.8746355685*B173^2-5.037900875*B173-8.209912536,IF(B173&lt;IF(LOG(G$42)&lt;0,2/3*LOG(G$42)-1,-1),-2*(1/(-4.5-IF(LOG(G$42)&lt;0,2/3*LOG(G$42)-1,-1))*(B173-IF(LOG(G$42)&lt;0,2/3*LOG(G$42)-1,-1)))^3+3*(1/(-4.5-IF(LOG(G$42)&lt;0,2/3*LOG(G$42)-1,-1))*(B173-IF(LOG(G$42)&lt;0,2/3*LOG(G$42)-1,-1)))^2,0))),0)*IF((2*G$100-G$101)&gt;36,6*(2*G$100-G$101)^0.5,(2*G$100-G$101))*IF(G$80="None",0,G$80)+IF(B173&lt;-5,0,IF(B173&lt;-3,-0.25*B173^3-3*B173^2-11.25*B173-12.5,IF(B173&lt;-1,0.25*B173^3+1.5*B173^2+2.25*B173+1,0)))*IF((G$42/G$97*F$59)&lt;1,0.3645833333*(G$42/G$97*F$59)^3-1.0625*(G$42/G$97*F$59)^2+1.03125*(G$42/G$97*F$59),1/3)*(2*G$100-G$101)*IF(G$80="None",1,1-G$80)</f>
        <v>111.801757019143</v>
      </c>
      <c r="D173" s="60" t="n">
        <f aca="false">(C173-C172)/(E173-E172)</f>
        <v>-0.00147180190844563</v>
      </c>
      <c r="E173" s="57" t="n">
        <f aca="false">IF(D173=0,(8314.4621*C172*LN(H173/H172)/(-G$97*9.80665*G$102)),C172/D173*(1/(H173/H172)^(8314.4621*D173/(G$97*9.80665*G$102))-1))+E172</f>
        <v>44459.4872204175</v>
      </c>
      <c r="F173" s="57" t="n">
        <f aca="false">F$36*E173/(F$36-E173)</f>
        <v>44632.5224906725</v>
      </c>
      <c r="G173" s="57" t="n">
        <f aca="false">8314.4621*C173/(G$102*G$97*9.80665)</f>
        <v>2221.50763355344</v>
      </c>
      <c r="H173" s="60" t="n">
        <f aca="false">10^B173*101325</f>
        <v>0.0570343655371479</v>
      </c>
      <c r="I173" s="60" t="n">
        <f aca="false">H173/(8314.4621/G$102*C173)</f>
        <v>1.72879703987298E-006</v>
      </c>
      <c r="J173" s="57" t="n">
        <f aca="false">SQRT(8314.4621/G$102*G$104*C173)</f>
        <v>215.244166672395</v>
      </c>
      <c r="K173" s="57" t="n">
        <f aca="false">IF(F$23&gt;0,SQRT(2*G$96/(F$23+N173)),10000)</f>
        <v>5725.81107709648</v>
      </c>
      <c r="L173" s="60" t="n">
        <f aca="false">I173*K173^2/2</f>
        <v>28.3392298331225</v>
      </c>
      <c r="M173" s="60" t="n">
        <f aca="false">I173*K173^3/2</f>
        <v>162265.076094876</v>
      </c>
      <c r="N173" s="57" t="n">
        <f aca="false">F173*IF(G$125&gt;0,G$125,0.5)</f>
        <v>44632.5224906725</v>
      </c>
      <c r="O173" s="57" t="n">
        <f aca="false">4*G$100-3*G$101+IF(B173&gt;-4,0.0625*((4/(B$147+4))*(B173-B$147))^2+0.5*((4/(B$147+4))*(B173-B$147))+1,0)*(G$111+G$112+0.3*(G$42/G$97)^(1/3)*(G$101-G$100)+1/3*G$85*(G$101-G$100)-D$148*(-2000*G$85+2000))</f>
        <v>86.4271508651331</v>
      </c>
      <c r="P173" s="82" t="n">
        <f aca="false">2*(C173-O173)/G$113</f>
        <v>0.428235459731229</v>
      </c>
      <c r="Q173" s="9" t="str">
        <f aca="false">IF(L173&gt;L$141,"|",IF(L172&gt;L$141,"V",""))</f>
        <v>V</v>
      </c>
    </row>
    <row r="174" s="1" customFormat="true" ht="15.75" hidden="false" customHeight="false" outlineLevel="0" collapsed="false">
      <c r="B174" s="58" t="n">
        <f aca="false">B173-0.25</f>
        <v>-6.49957999769111</v>
      </c>
      <c r="C174" s="61" t="n">
        <f aca="false">IF(B174&lt;-10,(0.00109375*B174^3+0.036875*B174^2+0.309375*B174+0.635)*(G$110-0.65*(2*G$100-G$101))+0.65*(2*G$100-G$101),IF(B174&lt;-7.5,(0.00128*B174^3+0.0536*B174^2+0.588*B174+1.935)*(G$110-0.65*(2*G$100-G$101))+0.65*(2*G$100-G$101),0))+IF(B174&lt;-7.5,0,IF(B174&lt;-4,-0.0008163265306*B174^3-0.00693877551*B174^2+0.03367346939*B174+0.9484693878,0))*(2*G$100-G$101)+IF(B174&lt;-4,0,0.00046875*((4/(B$147+4))*(B174-B$147))^3+0.0065625*((4/(B$147+4))*(B174-B$147))^2+0.08*((4/(B$147+4))*(B174-B$147))+1)*(2*G$100-G$101)+IF(B174&gt;-4,0.0625*((4/(B$147+4))*(B174-B$147))^2+0.5*((4/(B$147+4))*(B174-B$147))+1,0)*(G$111+G$112-D$148*(-2000*G$85+2000))+IF(G$42&gt;0,IF(B174&lt;-8,0,IF(B174&lt;-4.5,-0.04664723032*B174^3-0.8746355685*B174^2-5.037900875*B174-8.209912536,IF(B174&lt;IF(LOG(G$42)&lt;0,2/3*LOG(G$42)-1,-1),-2*(1/(-4.5-IF(LOG(G$42)&lt;0,2/3*LOG(G$42)-1,-1))*(B174-IF(LOG(G$42)&lt;0,2/3*LOG(G$42)-1,-1)))^3+3*(1/(-4.5-IF(LOG(G$42)&lt;0,2/3*LOG(G$42)-1,-1))*(B174-IF(LOG(G$42)&lt;0,2/3*LOG(G$42)-1,-1)))^2,0))),0)*IF((2*G$100-G$101)&gt;36,6*(2*G$100-G$101)^0.5,(2*G$100-G$101))*IF(G$80="None",0,G$80)+IF(B174&lt;-5,0,IF(B174&lt;-3,-0.25*B174^3-3*B174^2-11.25*B174-12.5,IF(B174&lt;-1,0.25*B174^3+1.5*B174^2+2.25*B174+1,0)))*IF((G$42/G$97*F$59)&lt;1,0.3645833333*(G$42/G$97*F$59)^3-1.0625*(G$42/G$97*F$59)^2+1.03125*(G$42/G$97*F$59),1/3)*(2*G$100-G$101)*IF(G$80="None",1,1-G$80)</f>
        <v>110.072843230044</v>
      </c>
      <c r="D174" s="60" t="n">
        <f aca="false">(C174-C173)/(E174-E173)</f>
        <v>-0.00136236504314265</v>
      </c>
      <c r="E174" s="57" t="n">
        <f aca="false">IF(D174=0,(8314.4621*C173*LN(H174/H173)/(-G$97*9.80665*G$102)),C173/D174*(1/(H174/H173)^(8314.4621*D174/(G$97*9.80665*G$102))-1))+E173</f>
        <v>45728.3776358515</v>
      </c>
      <c r="F174" s="57" t="n">
        <f aca="false">F$36*E174/(F$36-E174)</f>
        <v>45911.4511708578</v>
      </c>
      <c r="G174" s="57" t="n">
        <f aca="false">8314.4621*C174/(G$102*G$97*9.80665)</f>
        <v>2187.1540126208</v>
      </c>
      <c r="H174" s="60" t="n">
        <f aca="false">10^B174*101325</f>
        <v>0.0320727806975505</v>
      </c>
      <c r="I174" s="60" t="n">
        <f aca="false">H174/(8314.4621/G$102*C174)</f>
        <v>9.87443952518855E-007</v>
      </c>
      <c r="J174" s="57" t="n">
        <f aca="false">SQRT(8314.4621/G$102*G$104*C174)</f>
        <v>213.573403404102</v>
      </c>
      <c r="K174" s="57" t="n">
        <f aca="false">IF(F$23&gt;0,SQRT(2*G$96/(F$23+N174)),10000)</f>
        <v>5722.74035427176</v>
      </c>
      <c r="L174" s="60" t="n">
        <f aca="false">I174*K174^2/2</f>
        <v>16.1692748282416</v>
      </c>
      <c r="M174" s="60" t="n">
        <f aca="false">I174*K174^3/2</f>
        <v>92532.5615588889</v>
      </c>
      <c r="N174" s="57" t="n">
        <f aca="false">F174*IF(G$125&gt;0,G$125,0.5)</f>
        <v>45911.4511708578</v>
      </c>
      <c r="O174" s="57" t="n">
        <f aca="false">4*G$100-3*G$101+IF(B174&gt;-4,0.0625*((4/(B$147+4))*(B174-B$147))^2+0.5*((4/(B$147+4))*(B174-B$147))+1,0)*(G$111+G$112+0.3*(G$42/G$97)^(1/3)*(G$101-G$100)+1/3*G$85*(G$101-G$100)-D$148*(-2000*G$85+2000))</f>
        <v>86.4271508651331</v>
      </c>
      <c r="P174" s="82" t="n">
        <f aca="false">2*(C174-O174)/G$113</f>
        <v>0.39905738355473</v>
      </c>
      <c r="Q174" s="9" t="str">
        <f aca="false">IF(L174&gt;L$141,"|",IF(L173&gt;L$141,"V",""))</f>
        <v/>
      </c>
    </row>
    <row r="175" s="1" customFormat="true" ht="15.75" hidden="false" customHeight="false" outlineLevel="0" collapsed="false">
      <c r="B175" s="58" t="n">
        <f aca="false">B174-0.25</f>
        <v>-6.74957999769111</v>
      </c>
      <c r="C175" s="61" t="n">
        <f aca="false">IF(B175&lt;-10,(0.00109375*B175^3+0.036875*B175^2+0.309375*B175+0.635)*(G$110-0.65*(2*G$100-G$101))+0.65*(2*G$100-G$101),IF(B175&lt;-7.5,(0.00128*B175^3+0.0536*B175^2+0.588*B175+1.935)*(G$110-0.65*(2*G$100-G$101))+0.65*(2*G$100-G$101),0))+IF(B175&lt;-7.5,0,IF(B175&lt;-4,-0.0008163265306*B175^3-0.00693877551*B175^2+0.03367346939*B175+0.9484693878,0))*(2*G$100-G$101)+IF(B175&lt;-4,0,0.00046875*((4/(B$147+4))*(B175-B$147))^3+0.0065625*((4/(B$147+4))*(B175-B$147))^2+0.08*((4/(B$147+4))*(B175-B$147))+1)*(2*G$100-G$101)+IF(B175&gt;-4,0.0625*((4/(B$147+4))*(B175-B$147))^2+0.5*((4/(B$147+4))*(B175-B$147))+1,0)*(G$111+G$112-D$148*(-2000*G$85+2000))+IF(G$42&gt;0,IF(B175&lt;-8,0,IF(B175&lt;-4.5,-0.04664723032*B175^3-0.8746355685*B175^2-5.037900875*B175-8.209912536,IF(B175&lt;IF(LOG(G$42)&lt;0,2/3*LOG(G$42)-1,-1),-2*(1/(-4.5-IF(LOG(G$42)&lt;0,2/3*LOG(G$42)-1,-1))*(B175-IF(LOG(G$42)&lt;0,2/3*LOG(G$42)-1,-1)))^3+3*(1/(-4.5-IF(LOG(G$42)&lt;0,2/3*LOG(G$42)-1,-1))*(B175-IF(LOG(G$42)&lt;0,2/3*LOG(G$42)-1,-1)))^2,0))),0)*IF((2*G$100-G$101)&gt;36,6*(2*G$100-G$101)^0.5,(2*G$100-G$101))*IF(G$80="None",0,G$80)+IF(B175&lt;-5,0,IF(B175&lt;-3,-0.25*B175^3-3*B175^2-11.25*B175-12.5,IF(B175&lt;-1,0.25*B175^3+1.5*B175^2+2.25*B175+1,0)))*IF((G$42/G$97*F$59)&lt;1,0.3645833333*(G$42/G$97*F$59)^3-1.0625*(G$42/G$97*F$59)^2+1.03125*(G$42/G$97*F$59),1/3)*(2*G$100-G$101)*IF(G$80="None",1,1-G$80)</f>
        <v>108.559168797244</v>
      </c>
      <c r="D175" s="60" t="n">
        <f aca="false">(C175-C174)/(E175-E174)</f>
        <v>-0.00121046244041427</v>
      </c>
      <c r="E175" s="57" t="n">
        <f aca="false">IF(D175=0,(8314.4621*C174*LN(H175/H174)/(-G$97*9.80665*G$102)),C174/D175*(1/(H175/H174)^(8314.4621*D175/(G$97*9.80665*G$102))-1))+E174</f>
        <v>46978.7288979622</v>
      </c>
      <c r="F175" s="57" t="n">
        <f aca="false">F$36*E175/(F$36-E175)</f>
        <v>47171.9720211304</v>
      </c>
      <c r="G175" s="57" t="n">
        <f aca="false">8314.4621*C175/(G$102*G$97*9.80665)</f>
        <v>2157.07721063812</v>
      </c>
      <c r="H175" s="60" t="n">
        <f aca="false">10^B175*101325</f>
        <v>0.01803585</v>
      </c>
      <c r="I175" s="60" t="n">
        <f aca="false">H175/(8314.4621/G$102*C175)</f>
        <v>5.63022991005955E-007</v>
      </c>
      <c r="J175" s="57" t="n">
        <f aca="false">SQRT(8314.4621/G$102*G$104*C175)</f>
        <v>212.09983507062</v>
      </c>
      <c r="K175" s="57" t="n">
        <f aca="false">IF(F$23&gt;0,SQRT(2*G$96/(F$23+N175)),10000)</f>
        <v>5719.71865803328</v>
      </c>
      <c r="L175" s="60" t="n">
        <f aca="false">I175*K175^2/2</f>
        <v>9.20969967733237</v>
      </c>
      <c r="M175" s="60" t="n">
        <f aca="false">I175*K175^3/2</f>
        <v>52676.891079321</v>
      </c>
      <c r="N175" s="57" t="n">
        <f aca="false">F175*IF(G$125&gt;0,G$125,0.5)</f>
        <v>47171.9720211304</v>
      </c>
      <c r="O175" s="57" t="n">
        <f aca="false">4*G$100-3*G$101+IF(B175&gt;-4,0.0625*((4/(B$147+4))*(B175-B$147))^2+0.5*((4/(B$147+4))*(B175-B$147))+1,0)*(G$111+G$112+0.3*(G$42/G$97)^(1/3)*(G$101-G$100)+1/3*G$85*(G$101-G$100)-D$148*(-2000*G$85+2000))</f>
        <v>86.4271508651331</v>
      </c>
      <c r="P175" s="82" t="n">
        <f aca="false">2*(C175-O175)/G$113</f>
        <v>0.373511802169968</v>
      </c>
      <c r="Q175" s="9" t="str">
        <f aca="false">IF(L175&gt;L$141,"|",IF(L174&gt;L$141,"V",""))</f>
        <v/>
      </c>
    </row>
    <row r="176" s="1" customFormat="true" ht="15.75" hidden="false" customHeight="false" outlineLevel="0" collapsed="false">
      <c r="B176" s="58" t="n">
        <f aca="false">B175-0.25</f>
        <v>-6.99957999769111</v>
      </c>
      <c r="C176" s="61" t="n">
        <f aca="false">IF(B176&lt;-10,(0.00109375*B176^3+0.036875*B176^2+0.309375*B176+0.635)*(G$110-0.65*(2*G$100-G$101))+0.65*(2*G$100-G$101),IF(B176&lt;-7.5,(0.00128*B176^3+0.0536*B176^2+0.588*B176+1.935)*(G$110-0.65*(2*G$100-G$101))+0.65*(2*G$100-G$101),0))+IF(B176&lt;-7.5,0,IF(B176&lt;-4,-0.0008163265306*B176^3-0.00693877551*B176^2+0.03367346939*B176+0.9484693878,0))*(2*G$100-G$101)+IF(B176&lt;-4,0,0.00046875*((4/(B$147+4))*(B176-B$147))^3+0.0065625*((4/(B$147+4))*(B176-B$147))^2+0.08*((4/(B$147+4))*(B176-B$147))+1)*(2*G$100-G$101)+IF(B176&gt;-4,0.0625*((4/(B$147+4))*(B176-B$147))^2+0.5*((4/(B$147+4))*(B176-B$147))+1,0)*(G$111+G$112-D$148*(-2000*G$85+2000))+IF(G$42&gt;0,IF(B176&lt;-8,0,IF(B176&lt;-4.5,-0.04664723032*B176^3-0.8746355685*B176^2-5.037900875*B176-8.209912536,IF(B176&lt;IF(LOG(G$42)&lt;0,2/3*LOG(G$42)-1,-1),-2*(1/(-4.5-IF(LOG(G$42)&lt;0,2/3*LOG(G$42)-1,-1))*(B176-IF(LOG(G$42)&lt;0,2/3*LOG(G$42)-1,-1)))^3+3*(1/(-4.5-IF(LOG(G$42)&lt;0,2/3*LOG(G$42)-1,-1))*(B176-IF(LOG(G$42)&lt;0,2/3*LOG(G$42)-1,-1)))^2,0))),0)*IF((2*G$100-G$101)&gt;36,6*(2*G$100-G$101)^0.5,(2*G$100-G$101))*IF(G$80="None",0,G$80)+IF(B176&lt;-5,0,IF(B176&lt;-3,-0.25*B176^3-3*B176^2-11.25*B176-12.5,IF(B176&lt;-1,0.25*B176^3+1.5*B176^2+2.25*B176+1,0)))*IF((G$42/G$97*F$59)&lt;1,0.3645833333*(G$42/G$97*F$59)^3-1.0625*(G$42/G$97*F$59)^2+1.03125*(G$42/G$97*F$59),1/3)*(2*G$100-G$101)*IF(G$80="None",1,1-G$80)</f>
        <v>107.306540679141</v>
      </c>
      <c r="D176" s="60" t="n">
        <f aca="false">(C176-C175)/(E176-E175)</f>
        <v>-0.00101455903884493</v>
      </c>
      <c r="E176" s="57" t="n">
        <f aca="false">IF(D176=0,(8314.4621*C175*LN(H176/H175)/(-G$97*9.80665*G$102)),C175/D176*(1/(H176/H175)^(8314.4621*D176/(G$97*9.80665*G$102))-1))+E175</f>
        <v>48213.2653169205</v>
      </c>
      <c r="F176" s="57" t="n">
        <f aca="false">F$36*E176/(F$36-E176)</f>
        <v>48416.8202178008</v>
      </c>
      <c r="G176" s="57" t="n">
        <f aca="false">8314.4621*C176/(G$102*G$97*9.80665)</f>
        <v>2132.18741462273</v>
      </c>
      <c r="H176" s="60" t="n">
        <f aca="false">10^B176*101325</f>
        <v>0.0101423037899344</v>
      </c>
      <c r="I176" s="60" t="n">
        <f aca="false">H176/(8314.4621/G$102*C176)</f>
        <v>3.203070108688E-007</v>
      </c>
      <c r="J176" s="57" t="n">
        <f aca="false">SQRT(8314.4621/G$102*G$104*C176)</f>
        <v>210.872609960719</v>
      </c>
      <c r="K176" s="57" t="n">
        <f aca="false">IF(F$23&gt;0,SQRT(2*G$96/(F$23+N176)),10000)</f>
        <v>5716.73922468219</v>
      </c>
      <c r="L176" s="60" t="n">
        <f aca="false">I176*K176^2/2</f>
        <v>5.23399390566561</v>
      </c>
      <c r="M176" s="60" t="n">
        <f aca="false">I176*K176^3/2</f>
        <v>29921.3782622661</v>
      </c>
      <c r="N176" s="57" t="n">
        <f aca="false">F176*IF(G$125&gt;0,G$125,0.5)</f>
        <v>48416.8202178008</v>
      </c>
      <c r="O176" s="57" t="n">
        <f aca="false">4*G$100-3*G$101+IF(B176&gt;-4,0.0625*((4/(B$147+4))*(B176-B$147))^2+0.5*((4/(B$147+4))*(B176-B$147))+1,0)*(G$111+G$112+0.3*(G$42/G$97)^(1/3)*(G$101-G$100)+1/3*G$85*(G$101-G$100)-D$148*(-2000*G$85+2000))</f>
        <v>86.4271508651331</v>
      </c>
      <c r="P176" s="82" t="n">
        <f aca="false">2*(C176-O176)/G$113</f>
        <v>0.352371778369313</v>
      </c>
      <c r="Q176" s="9" t="str">
        <f aca="false">IF(L176&gt;L$141,"|",IF(L175&gt;L$141,"V",""))</f>
        <v/>
      </c>
    </row>
    <row r="177" s="1" customFormat="true" ht="15.75" hidden="false" customHeight="false" outlineLevel="0" collapsed="false">
      <c r="B177" s="58" t="n">
        <f aca="false">B176-0.25</f>
        <v>-7.24957999769111</v>
      </c>
      <c r="C177" s="61" t="n">
        <f aca="false">IF(B177&lt;-10,(0.00109375*B177^3+0.036875*B177^2+0.309375*B177+0.635)*(G$110-0.65*(2*G$100-G$101))+0.65*(2*G$100-G$101),IF(B177&lt;-7.5,(0.00128*B177^3+0.0536*B177^2+0.588*B177+1.935)*(G$110-0.65*(2*G$100-G$101))+0.65*(2*G$100-G$101),0))+IF(B177&lt;-7.5,0,IF(B177&lt;-4,-0.0008163265306*B177^3-0.00693877551*B177^2+0.03367346939*B177+0.9484693878,0))*(2*G$100-G$101)+IF(B177&lt;-4,0,0.00046875*((4/(B$147+4))*(B177-B$147))^3+0.0065625*((4/(B$147+4))*(B177-B$147))^2+0.08*((4/(B$147+4))*(B177-B$147))+1)*(2*G$100-G$101)+IF(B177&gt;-4,0.0625*((4/(B$147+4))*(B177-B$147))^2+0.5*((4/(B$147+4))*(B177-B$147))+1,0)*(G$111+G$112-D$148*(-2000*G$85+2000))+IF(G$42&gt;0,IF(B177&lt;-8,0,IF(B177&lt;-4.5,-0.04664723032*B177^3-0.8746355685*B177^2-5.037900875*B177-8.209912536,IF(B177&lt;IF(LOG(G$42)&lt;0,2/3*LOG(G$42)-1,-1),-2*(1/(-4.5-IF(LOG(G$42)&lt;0,2/3*LOG(G$42)-1,-1))*(B177-IF(LOG(G$42)&lt;0,2/3*LOG(G$42)-1,-1)))^3+3*(1/(-4.5-IF(LOG(G$42)&lt;0,2/3*LOG(G$42)-1,-1))*(B177-IF(LOG(G$42)&lt;0,2/3*LOG(G$42)-1,-1)))^2,0))),0)*IF((2*G$100-G$101)&gt;36,6*(2*G$100-G$101)^0.5,(2*G$100-G$101))*IF(G$80="None",0,G$80)+IF(B177&lt;-5,0,IF(B177&lt;-3,-0.25*B177^3-3*B177^2-11.25*B177-12.5,IF(B177&lt;-1,0.25*B177^3+1.5*B177^2+2.25*B177+1,0)))*IF((G$42/G$97*F$59)&lt;1,0.3645833333*(G$42/G$97*F$59)^3-1.0625*(G$42/G$97*F$59)^2+1.03125*(G$42/G$97*F$59),1/3)*(2*G$100-G$101)*IF(G$80="None",1,1-G$80)</f>
        <v>106.360765834135</v>
      </c>
      <c r="D177" s="60" t="n">
        <f aca="false">(C177-C176)/(E177-E176)</f>
        <v>-0.000773920564715292</v>
      </c>
      <c r="E177" s="57" t="n">
        <f aca="false">IF(D177=0,(8314.4621*C176*LN(H177/H176)/(-G$97*9.80665*G$102)),C176/D177*(1/(H177/H176)^(8314.4621*D177/(G$97*9.80665*G$102))-1))+E176</f>
        <v>49435.2345179401</v>
      </c>
      <c r="F177" s="57" t="n">
        <f aca="false">F$36*E177/(F$36-E177)</f>
        <v>49649.2613108507</v>
      </c>
      <c r="G177" s="57" t="n">
        <f aca="false">8314.4621*C177/(G$102*G$97*9.80665)</f>
        <v>2113.39481159195</v>
      </c>
      <c r="H177" s="60" t="n">
        <f aca="false">10^B177*101325</f>
        <v>0.00570343655371479</v>
      </c>
      <c r="I177" s="60" t="n">
        <f aca="false">H177/(8314.4621/G$102*C177)</f>
        <v>1.81723537877405E-007</v>
      </c>
      <c r="J177" s="57" t="n">
        <f aca="false">SQRT(8314.4621/G$102*G$104*C177)</f>
        <v>209.941262225004</v>
      </c>
      <c r="K177" s="57" t="n">
        <f aca="false">IF(F$23&gt;0,SQRT(2*G$96/(F$23+N177)),10000)</f>
        <v>5713.79406852919</v>
      </c>
      <c r="L177" s="60" t="n">
        <f aca="false">I177*K177^2/2</f>
        <v>2.96640439119069</v>
      </c>
      <c r="M177" s="60" t="n">
        <f aca="false">I177*K177^3/2</f>
        <v>16949.4238152443</v>
      </c>
      <c r="N177" s="57" t="n">
        <f aca="false">F177*IF(G$125&gt;0,G$125,0.5)</f>
        <v>49649.2613108507</v>
      </c>
      <c r="O177" s="57" t="n">
        <f aca="false">4*G$100-3*G$101+IF(B177&gt;-4,0.0625*((4/(B$147+4))*(B177-B$147))^2+0.5*((4/(B$147+4))*(B177-B$147))+1,0)*(G$111+G$112+0.3*(G$42/G$97)^(1/3)*(G$101-G$100)+1/3*G$85*(G$101-G$100)-D$148*(-2000*G$85+2000))</f>
        <v>86.4271508651331</v>
      </c>
      <c r="P177" s="82" t="n">
        <f aca="false">2*(C177-O177)/G$113</f>
        <v>0.336410374945145</v>
      </c>
      <c r="Q177" s="9" t="str">
        <f aca="false">IF(L177&gt;L$141,"|",IF(L176&gt;L$141,"V",""))</f>
        <v/>
      </c>
    </row>
    <row r="178" s="1" customFormat="true" ht="15.75" hidden="false" customHeight="false" outlineLevel="0" collapsed="false">
      <c r="B178" s="58" t="n">
        <f aca="false">B177-0.25</f>
        <v>-7.49957999769111</v>
      </c>
      <c r="C178" s="61" t="n">
        <f aca="false">IF(B178&lt;-10,(0.00109375*B178^3+0.036875*B178^2+0.309375*B178+0.635)*(G$110-0.65*(2*G$100-G$101))+0.65*(2*G$100-G$101),IF(B178&lt;-7.5,(0.00128*B178^3+0.0536*B178^2+0.588*B178+1.935)*(G$110-0.65*(2*G$100-G$101))+0.65*(2*G$100-G$101),0))+IF(B178&lt;-7.5,0,IF(B178&lt;-4,-0.0008163265306*B178^3-0.00693877551*B178^2+0.03367346939*B178+0.9484693878,0))*(2*G$100-G$101)+IF(B178&lt;-4,0,0.00046875*((4/(B$147+4))*(B178-B$147))^3+0.0065625*((4/(B$147+4))*(B178-B$147))^2+0.08*((4/(B$147+4))*(B178-B$147))+1)*(2*G$100-G$101)+IF(B178&gt;-4,0.0625*((4/(B$147+4))*(B178-B$147))^2+0.5*((4/(B$147+4))*(B178-B$147))+1,0)*(G$111+G$112-D$148*(-2000*G$85+2000))+IF(G$42&gt;0,IF(B178&lt;-8,0,IF(B178&lt;-4.5,-0.04664723032*B178^3-0.8746355685*B178^2-5.037900875*B178-8.209912536,IF(B178&lt;IF(LOG(G$42)&lt;0,2/3*LOG(G$42)-1,-1),-2*(1/(-4.5-IF(LOG(G$42)&lt;0,2/3*LOG(G$42)-1,-1))*(B178-IF(LOG(G$42)&lt;0,2/3*LOG(G$42)-1,-1)))^3+3*(1/(-4.5-IF(LOG(G$42)&lt;0,2/3*LOG(G$42)-1,-1))*(B178-IF(LOG(G$42)&lt;0,2/3*LOG(G$42)-1,-1)))^2,0))),0)*IF((2*G$100-G$101)&gt;36,6*(2*G$100-G$101)^0.5,(2*G$100-G$101))*IF(G$80="None",0,G$80)+IF(B178&lt;-5,0,IF(B178&lt;-3,-0.25*B178^3-3*B178^2-11.25*B178-12.5,IF(B178&lt;-1,0.25*B178^3+1.5*B178^2+2.25*B178+1,0)))*IF((G$42/G$97*F$59)&lt;1,0.3645833333*(G$42/G$97*F$59)^3-1.0625*(G$42/G$97*F$59)^2+1.03125*(G$42/G$97*F$59),1/3)*(2*G$100-G$101)*IF(G$80="None",1,1-G$80)</f>
        <v>105.767651220624</v>
      </c>
      <c r="D178" s="60" t="n">
        <f aca="false">(C178-C177)/(E178-E177)</f>
        <v>-0.000488873303078199</v>
      </c>
      <c r="E178" s="57" t="n">
        <f aca="false">IF(D178=0,(8314.4621*C177*LN(H178/H177)/(-G$97*9.80665*G$102)),C177/D178*(1/(H178/H177)^(8314.4621*D178/(G$97*9.80665*G$102))-1))+E177</f>
        <v>50648.4072975785</v>
      </c>
      <c r="F178" s="57" t="n">
        <f aca="false">F$36*E178/(F$36-E178)</f>
        <v>50873.0915719726</v>
      </c>
      <c r="G178" s="57" t="n">
        <f aca="false">8314.4621*C178/(G$102*G$97*9.80665)</f>
        <v>2101.60958856311</v>
      </c>
      <c r="H178" s="60" t="n">
        <f aca="false">10^B178*101325</f>
        <v>0.00320727806975505</v>
      </c>
      <c r="I178" s="60" t="n">
        <f aca="false">H178/(8314.4621/G$102*C178)</f>
        <v>1.02763710954819E-007</v>
      </c>
      <c r="J178" s="57" t="n">
        <f aca="false">SQRT(8314.4621/G$102*G$104*C178)</f>
        <v>209.355081273335</v>
      </c>
      <c r="K178" s="57" t="n">
        <f aca="false">IF(F$23&gt;0,SQRT(2*G$96/(F$23+N178)),10000)</f>
        <v>5710.87398928712</v>
      </c>
      <c r="L178" s="60" t="n">
        <f aca="false">I178*K178^2/2</f>
        <v>1.67577203354337</v>
      </c>
      <c r="M178" s="60" t="n">
        <f aca="false">I178*K178^3/2</f>
        <v>9570.12291833759</v>
      </c>
      <c r="N178" s="57" t="n">
        <f aca="false">F178*IF(G$125&gt;0,G$125,0.5)</f>
        <v>50873.0915719726</v>
      </c>
      <c r="O178" s="57" t="n">
        <f aca="false">4*G$100-3*G$101+IF(B178&gt;-4,0.0625*((4/(B$147+4))*(B178-B$147))^2+0.5*((4/(B$147+4))*(B178-B$147))+1,0)*(G$111+G$112+0.3*(G$42/G$97)^(1/3)*(G$101-G$100)+1/3*G$85*(G$101-G$100)-D$148*(-2000*G$85+2000))</f>
        <v>86.4271508651331</v>
      </c>
      <c r="P178" s="82" t="n">
        <f aca="false">2*(C178-O178)/G$113</f>
        <v>0.326400654689843</v>
      </c>
      <c r="Q178" s="9" t="str">
        <f aca="false">IF(L178&gt;L$141,"|",IF(L177&gt;L$141,"V",""))</f>
        <v/>
      </c>
    </row>
    <row r="179" s="1" customFormat="true" ht="15.75" hidden="false" customHeight="false" outlineLevel="0" collapsed="false">
      <c r="B179" s="58" t="n">
        <f aca="false">B178-0.25</f>
        <v>-7.74957999769111</v>
      </c>
      <c r="C179" s="61" t="n">
        <f aca="false">IF(B179&lt;-10,(0.00109375*B179^3+0.036875*B179^2+0.309375*B179+0.635)*(G$110-0.65*(2*G$100-G$101))+0.65*(2*G$100-G$101),IF(B179&lt;-7.5,(0.00128*B179^3+0.0536*B179^2+0.588*B179+1.935)*(G$110-0.65*(2*G$100-G$101))+0.65*(2*G$100-G$101),0))+IF(B179&lt;-7.5,0,IF(B179&lt;-4,-0.0008163265306*B179^3-0.00693877551*B179^2+0.03367346939*B179+0.9484693878,0))*(2*G$100-G$101)+IF(B179&lt;-4,0,0.00046875*((4/(B$147+4))*(B179-B$147))^3+0.0065625*((4/(B$147+4))*(B179-B$147))^2+0.08*((4/(B$147+4))*(B179-B$147))+1)*(2*G$100-G$101)+IF(B179&gt;-4,0.0625*((4/(B$147+4))*(B179-B$147))^2+0.5*((4/(B$147+4))*(B179-B$147))+1,0)*(G$111+G$112-D$148*(-2000*G$85+2000))+IF(G$42&gt;0,IF(B179&lt;-8,0,IF(B179&lt;-4.5,-0.04664723032*B179^3-0.8746355685*B179^2-5.037900875*B179-8.209912536,IF(B179&lt;IF(LOG(G$42)&lt;0,2/3*LOG(G$42)-1,-1),-2*(1/(-4.5-IF(LOG(G$42)&lt;0,2/3*LOG(G$42)-1,-1))*(B179-IF(LOG(G$42)&lt;0,2/3*LOG(G$42)-1,-1)))^3+3*(1/(-4.5-IF(LOG(G$42)&lt;0,2/3*LOG(G$42)-1,-1))*(B179-IF(LOG(G$42)&lt;0,2/3*LOG(G$42)-1,-1)))^2,0))),0)*IF((2*G$100-G$101)&gt;36,6*(2*G$100-G$101)^0.5,(2*G$100-G$101))*IF(G$80="None",0,G$80)+IF(B179&lt;-5,0,IF(B179&lt;-3,-0.25*B179^3-3*B179^2-11.25*B179-12.5,IF(B179&lt;-1,0.25*B179^3+1.5*B179^2+2.25*B179+1,0)))*IF((G$42/G$97*F$59)&lt;1,0.3645833333*(G$42/G$97*F$59)^3-1.0625*(G$42/G$97*F$59)^2+1.03125*(G$42/G$97*F$59),1/3)*(2*G$100-G$101)*IF(G$80="None",1,1-G$80)</f>
        <v>105.721905774115</v>
      </c>
      <c r="D179" s="60" t="n">
        <f aca="false">(C179-C178)/(E179-E178)</f>
        <v>-3.78209591430937E-005</v>
      </c>
      <c r="E179" s="57" t="n">
        <f aca="false">IF(D179=0,(8314.4621*C178*LN(H179/H178)/(-G$97*9.80665*G$102)),C178/D179*(1/(H179/H178)^(8314.4621*D179/(G$97*9.80665*G$102))-1))+E178</f>
        <v>51857.9293860248</v>
      </c>
      <c r="F179" s="57" t="n">
        <f aca="false">F$36*E179/(F$36-E179)</f>
        <v>52093.4980107175</v>
      </c>
      <c r="G179" s="57" t="n">
        <f aca="false">8314.4621*C179/(G$102*G$97*9.80665)</f>
        <v>2100.70062379073</v>
      </c>
      <c r="H179" s="60" t="n">
        <f aca="false">10^B179*101325</f>
        <v>0.001803585</v>
      </c>
      <c r="I179" s="60" t="n">
        <f aca="false">H179/(8314.4621/G$102*C179)</f>
        <v>5.78132861584396E-008</v>
      </c>
      <c r="J179" s="57" t="n">
        <f aca="false">SQRT(8314.4621/G$102*G$104*C179)</f>
        <v>209.309802412907</v>
      </c>
      <c r="K179" s="57" t="n">
        <f aca="false">IF(F$23&gt;0,SQRT(2*G$96/(F$23+N179)),10000)</f>
        <v>5707.96653301875</v>
      </c>
      <c r="L179" s="60" t="n">
        <f aca="false">I179*K179^2/2</f>
        <v>0.941803925505385</v>
      </c>
      <c r="M179" s="60" t="n">
        <f aca="false">I179*K179^3/2</f>
        <v>5375.78528745042</v>
      </c>
      <c r="N179" s="57" t="n">
        <f aca="false">F179*IF(G$125&gt;0,G$125,0.5)</f>
        <v>52093.4980107175</v>
      </c>
      <c r="O179" s="57" t="n">
        <f aca="false">4*G$100-3*G$101+IF(B179&gt;-4,0.0625*((4/(B$147+4))*(B179-B$147))^2+0.5*((4/(B$147+4))*(B179-B$147))+1,0)*(G$111+G$112+0.3*(G$42/G$97)^(1/3)*(G$101-G$100)+1/3*G$85*(G$101-G$100)-D$148*(-2000*G$85+2000))</f>
        <v>86.4271508651331</v>
      </c>
      <c r="P179" s="82" t="n">
        <f aca="false">2*(C179-O179)/G$113</f>
        <v>0.325628630005096</v>
      </c>
      <c r="Q179" s="9" t="str">
        <f aca="false">IF(L179&gt;L$141,"|",IF(L178&gt;L$141,"V",""))</f>
        <v/>
      </c>
    </row>
    <row r="180" s="1" customFormat="true" ht="15.75" hidden="false" customHeight="false" outlineLevel="0" collapsed="false">
      <c r="B180" s="58" t="n">
        <f aca="false">B179-0.25</f>
        <v>-7.99957999769111</v>
      </c>
      <c r="C180" s="61" t="n">
        <f aca="false">IF(B180&lt;-10,(0.00109375*B180^3+0.036875*B180^2+0.309375*B180+0.635)*(G$110-0.65*(2*G$100-G$101))+0.65*(2*G$100-G$101),IF(B180&lt;-7.5,(0.00128*B180^3+0.0536*B180^2+0.588*B180+1.935)*(G$110-0.65*(2*G$100-G$101))+0.65*(2*G$100-G$101),0))+IF(B180&lt;-7.5,0,IF(B180&lt;-4,-0.0008163265306*B180^3-0.00693877551*B180^2+0.03367346939*B180+0.9484693878,0))*(2*G$100-G$101)+IF(B180&lt;-4,0,0.00046875*((4/(B$147+4))*(B180-B$147))^3+0.0065625*((4/(B$147+4))*(B180-B$147))^2+0.08*((4/(B$147+4))*(B180-B$147))+1)*(2*G$100-G$101)+IF(B180&gt;-4,0.0625*((4/(B$147+4))*(B180-B$147))^2+0.5*((4/(B$147+4))*(B180-B$147))+1,0)*(G$111+G$112-D$148*(-2000*G$85+2000))+IF(G$42&gt;0,IF(B180&lt;-8,0,IF(B180&lt;-4.5,-0.04664723032*B180^3-0.8746355685*B180^2-5.037900875*B180-8.209912536,IF(B180&lt;IF(LOG(G$42)&lt;0,2/3*LOG(G$42)-1,-1),-2*(1/(-4.5-IF(LOG(G$42)&lt;0,2/3*LOG(G$42)-1,-1))*(B180-IF(LOG(G$42)&lt;0,2/3*LOG(G$42)-1,-1)))^3+3*(1/(-4.5-IF(LOG(G$42)&lt;0,2/3*LOG(G$42)-1,-1))*(B180-IF(LOG(G$42)&lt;0,2/3*LOG(G$42)-1,-1)))^2,0))),0)*IF((2*G$100-G$101)&gt;36,6*(2*G$100-G$101)^0.5,(2*G$100-G$101))*IF(G$80="None",0,G$80)+IF(B180&lt;-5,0,IF(B180&lt;-3,-0.25*B180^3-3*B180^2-11.25*B180-12.5,IF(B180&lt;-1,0.25*B180^3+1.5*B180^2+2.25*B180+1,0)))*IF((G$42/G$97*F$59)&lt;1,0.3645833333*(G$42/G$97*F$59)^3-1.0625*(G$42/G$97*F$59)^2+1.03125*(G$42/G$97*F$59),1/3)*(2*G$100-G$101)*IF(G$80="None",1,1-G$80)</f>
        <v>106.397037288896</v>
      </c>
      <c r="D180" s="60" t="n">
        <f aca="false">(C180-C179)/(E180-E179)</f>
        <v>0.000556555173351348</v>
      </c>
      <c r="E180" s="57" t="n">
        <f aca="false">IF(D180=0,(8314.4621*C179*LN(H180/H179)/(-G$97*9.80665*G$102)),C179/D180*(1/(H180/H179)^(8314.4621*D180/(G$97*9.80665*G$102))-1))+E179</f>
        <v>53071.0470967661</v>
      </c>
      <c r="F180" s="57" t="n">
        <f aca="false">F$36*E180/(F$36-E180)</f>
        <v>53317.7922143431</v>
      </c>
      <c r="G180" s="57" t="n">
        <f aca="false">8314.4621*C180/(G$102*G$97*9.80665)</f>
        <v>2114.11552757872</v>
      </c>
      <c r="H180" s="60" t="n">
        <f aca="false">10^B180*101325</f>
        <v>0.00101423037899344</v>
      </c>
      <c r="I180" s="60" t="n">
        <f aca="false">H180/(8314.4621/G$102*C180)</f>
        <v>3.2304505996986E-008</v>
      </c>
      <c r="J180" s="57" t="n">
        <f aca="false">SQRT(8314.4621/G$102*G$104*C180)</f>
        <v>209.977056560606</v>
      </c>
      <c r="K180" s="57" t="n">
        <f aca="false">IF(F$23&gt;0,SQRT(2*G$96/(F$23+N180)),10000)</f>
        <v>5705.05427199315</v>
      </c>
      <c r="L180" s="60" t="n">
        <f aca="false">I180*K180^2/2</f>
        <v>0.525717784372593</v>
      </c>
      <c r="M180" s="60" t="n">
        <f aca="false">I180*K180^3/2</f>
        <v>2999.24849159764</v>
      </c>
      <c r="N180" s="57" t="n">
        <f aca="false">F180*IF(G$125&gt;0,G$125,0.5)</f>
        <v>53317.7922143431</v>
      </c>
      <c r="O180" s="57" t="n">
        <f aca="false">4*G$100-3*G$101+IF(B180&gt;-4,0.0625*((4/(B$147+4))*(B180-B$147))^2+0.5*((4/(B$147+4))*(B180-B$147))+1,0)*(G$111+G$112+0.3*(G$42/G$97)^(1/3)*(G$101-G$100)+1/3*G$85*(G$101-G$100)-D$148*(-2000*G$85+2000))</f>
        <v>86.4271508651331</v>
      </c>
      <c r="P180" s="82" t="n">
        <f aca="false">2*(C180-O180)/G$113</f>
        <v>0.337022511465042</v>
      </c>
      <c r="Q180" s="9" t="str">
        <f aca="false">IF(L180&gt;L$141,"|",IF(L179&gt;L$141,"V",""))</f>
        <v/>
      </c>
    </row>
    <row r="181" s="1" customFormat="true" ht="15.75" hidden="false" customHeight="false" outlineLevel="0" collapsed="false">
      <c r="B181" s="58" t="n">
        <f aca="false">B180-0.25</f>
        <v>-8.24957999769111</v>
      </c>
      <c r="C181" s="61" t="n">
        <f aca="false">IF(B181&lt;-10,(0.00109375*B181^3+0.036875*B181^2+0.309375*B181+0.635)*(G$110-0.65*(2*G$100-G$101))+0.65*(2*G$100-G$101),IF(B181&lt;-7.5,(0.00128*B181^3+0.0536*B181^2+0.588*B181+1.935)*(G$110-0.65*(2*G$100-G$101))+0.65*(2*G$100-G$101),0))+IF(B181&lt;-7.5,0,IF(B181&lt;-4,-0.0008163265306*B181^3-0.00693877551*B181^2+0.03367346939*B181+0.9484693878,0))*(2*G$100-G$101)+IF(B181&lt;-4,0,0.00046875*((4/(B$147+4))*(B181-B$147))^3+0.0065625*((4/(B$147+4))*(B181-B$147))^2+0.08*((4/(B$147+4))*(B181-B$147))+1)*(2*G$100-G$101)+IF(B181&gt;-4,0.0625*((4/(B$147+4))*(B181-B$147))^2+0.5*((4/(B$147+4))*(B181-B$147))+1,0)*(G$111+G$112-D$148*(-2000*G$85+2000))+IF(G$42&gt;0,IF(B181&lt;-8,0,IF(B181&lt;-4.5,-0.04664723032*B181^3-0.8746355685*B181^2-5.037900875*B181-8.209912536,IF(B181&lt;IF(LOG(G$42)&lt;0,2/3*LOG(G$42)-1,-1),-2*(1/(-4.5-IF(LOG(G$42)&lt;0,2/3*LOG(G$42)-1,-1))*(B181-IF(LOG(G$42)&lt;0,2/3*LOG(G$42)-1,-1)))^3+3*(1/(-4.5-IF(LOG(G$42)&lt;0,2/3*LOG(G$42)-1,-1))*(B181-IF(LOG(G$42)&lt;0,2/3*LOG(G$42)-1,-1)))^2,0))),0)*IF((2*G$100-G$101)&gt;36,6*(2*G$100-G$101)^0.5,(2*G$100-G$101))*IF(G$80="None",0,G$80)+IF(B181&lt;-5,0,IF(B181&lt;-3,-0.25*B181^3-3*B181^2-11.25*B181-12.5,IF(B181&lt;-1,0.25*B181^3+1.5*B181^2+2.25*B181+1,0)))*IF((G$42/G$97*F$59)&lt;1,0.3645833333*(G$42/G$97*F$59)^3-1.0625*(G$42/G$97*F$59)^2+1.03125*(G$42/G$97*F$59),1/3)*(2*G$100-G$101)*IF(G$80="None",1,1-G$80)</f>
        <v>107.683431050419</v>
      </c>
      <c r="D181" s="60" t="n">
        <f aca="false">(C181-C180)/(E181-E180)</f>
        <v>0.00105080144115547</v>
      </c>
      <c r="E181" s="57" t="n">
        <f aca="false">IF(D181=0,(8314.4621*C180*LN(H181/H180)/(-G$97*9.80665*G$102)),C180/D181*(1/(H181/H180)^(8314.4621*D181/(G$97*9.80665*G$102))-1))+E180</f>
        <v>54295.3727897948</v>
      </c>
      <c r="F181" s="57" t="n">
        <f aca="false">F$36*E181/(F$36-E181)</f>
        <v>54553.6615322983</v>
      </c>
      <c r="G181" s="57" t="n">
        <f aca="false">8314.4621*C181/(G$102*G$97*9.80665)</f>
        <v>2139.67624895887</v>
      </c>
      <c r="H181" s="60" t="n">
        <f aca="false">10^B181*101325</f>
        <v>0.000570343655371479</v>
      </c>
      <c r="I181" s="60" t="n">
        <f aca="false">H181/(8314.4621/G$102*C181)</f>
        <v>1.79491445157235E-008</v>
      </c>
      <c r="J181" s="57" t="n">
        <f aca="false">SQRT(8314.4621/G$102*G$104*C181)</f>
        <v>211.242606946562</v>
      </c>
      <c r="K181" s="57" t="n">
        <f aca="false">IF(F$23&gt;0,SQRT(2*G$96/(F$23+N181)),10000)</f>
        <v>5702.11899330108</v>
      </c>
      <c r="L181" s="60" t="n">
        <f aca="false">I181*K181^2/2</f>
        <v>0.291800687421785</v>
      </c>
      <c r="M181" s="60" t="n">
        <f aca="false">I181*K181^3/2</f>
        <v>1663.88224200607</v>
      </c>
      <c r="N181" s="57" t="n">
        <f aca="false">F181*IF(G$125&gt;0,G$125,0.5)</f>
        <v>54553.6615322983</v>
      </c>
      <c r="O181" s="57" t="n">
        <f aca="false">4*G$100-3*G$101+IF(B181&gt;-4,0.0625*((4/(B$147+4))*(B181-B$147))^2+0.5*((4/(B$147+4))*(B181-B$147))+1,0)*(G$111+G$112+0.3*(G$42/G$97)^(1/3)*(G$101-G$100)+1/3*G$85*(G$101-G$100)-D$148*(-2000*G$85+2000))</f>
        <v>86.4271508651331</v>
      </c>
      <c r="P181" s="82" t="n">
        <f aca="false">2*(C181-O181)/G$113</f>
        <v>0.358732382369739</v>
      </c>
      <c r="Q181" s="9" t="str">
        <f aca="false">IF(L181&gt;L$141,"|",IF(L180&gt;L$141,"V",""))</f>
        <v/>
      </c>
    </row>
    <row r="182" s="1" customFormat="true" ht="15.75" hidden="false" customHeight="false" outlineLevel="0" collapsed="false">
      <c r="B182" s="58" t="n">
        <f aca="false">B181-0.25</f>
        <v>-8.49957999769111</v>
      </c>
      <c r="C182" s="61" t="n">
        <f aca="false">IF(B182&lt;-10,(0.00109375*B182^3+0.036875*B182^2+0.309375*B182+0.635)*(G$110-0.65*(2*G$100-G$101))+0.65*(2*G$100-G$101),IF(B182&lt;-7.5,(0.00128*B182^3+0.0536*B182^2+0.588*B182+1.935)*(G$110-0.65*(2*G$100-G$101))+0.65*(2*G$100-G$101),0))+IF(B182&lt;-7.5,0,IF(B182&lt;-4,-0.0008163265306*B182^3-0.00693877551*B182^2+0.03367346939*B182+0.9484693878,0))*(2*G$100-G$101)+IF(B182&lt;-4,0,0.00046875*((4/(B$147+4))*(B182-B$147))^3+0.0065625*((4/(B$147+4))*(B182-B$147))^2+0.08*((4/(B$147+4))*(B182-B$147))+1)*(2*G$100-G$101)+IF(B182&gt;-4,0.0625*((4/(B$147+4))*(B182-B$147))^2+0.5*((4/(B$147+4))*(B182-B$147))+1,0)*(G$111+G$112-D$148*(-2000*G$85+2000))+IF(G$42&gt;0,IF(B182&lt;-8,0,IF(B182&lt;-4.5,-0.04664723032*B182^3-0.8746355685*B182^2-5.037900875*B182-8.209912536,IF(B182&lt;IF(LOG(G$42)&lt;0,2/3*LOG(G$42)-1,-1),-2*(1/(-4.5-IF(LOG(G$42)&lt;0,2/3*LOG(G$42)-1,-1))*(B182-IF(LOG(G$42)&lt;0,2/3*LOG(G$42)-1,-1)))^3+3*(1/(-4.5-IF(LOG(G$42)&lt;0,2/3*LOG(G$42)-1,-1))*(B182-IF(LOG(G$42)&lt;0,2/3*LOG(G$42)-1,-1)))^2,0))),0)*IF((2*G$100-G$101)&gt;36,6*(2*G$100-G$101)^0.5,(2*G$100-G$101))*IF(G$80="None",0,G$80)+IF(B182&lt;-5,0,IF(B182&lt;-3,-0.25*B182^3-3*B182^2-11.25*B182-12.5,IF(B182&lt;-1,0.25*B182^3+1.5*B182^2+2.25*B182+1,0)))*IF((G$42/G$97*F$59)&lt;1,0.3645833333*(G$42/G$97*F$59)^3-1.0625*(G$42/G$97*F$59)^2+1.03125*(G$42/G$97*F$59),1/3)*(2*G$100-G$101)*IF(G$80="None",1,1-G$80)</f>
        <v>109.448418200333</v>
      </c>
      <c r="D182" s="60" t="n">
        <f aca="false">(C182-C181)/(E182-E181)</f>
        <v>0.00142155063220781</v>
      </c>
      <c r="E182" s="57" t="n">
        <f aca="false">IF(D182=0,(8314.4621*C181*LN(H182/H181)/(-G$97*9.80665*G$102)),C181/D182*(1/(H182/H181)^(8314.4621*D182/(G$97*9.80665*G$102))-1))+E181</f>
        <v>55537.1375602499</v>
      </c>
      <c r="F182" s="57" t="n">
        <f aca="false">F$36*E182/(F$36-E182)</f>
        <v>55807.4052168518</v>
      </c>
      <c r="G182" s="57" t="n">
        <f aca="false">8314.4621*C182/(G$102*G$97*9.80665)</f>
        <v>2174.74664973965</v>
      </c>
      <c r="H182" s="60" t="n">
        <f aca="false">10^B182*101325</f>
        <v>0.000320727806975505</v>
      </c>
      <c r="I182" s="60" t="n">
        <f aca="false">H182/(8314.4621/G$102*C182)</f>
        <v>9.93077516982633E-009</v>
      </c>
      <c r="J182" s="57" t="n">
        <f aca="false">SQRT(8314.4621/G$102*G$104*C182)</f>
        <v>212.966758539018</v>
      </c>
      <c r="K182" s="57" t="n">
        <f aca="false">IF(F$23&gt;0,SQRT(2*G$96/(F$23+N182)),10000)</f>
        <v>5699.14588629454</v>
      </c>
      <c r="L182" s="60" t="n">
        <f aca="false">I182*K182^2/2</f>
        <v>0.161277098792413</v>
      </c>
      <c r="M182" s="60" t="n">
        <f aca="false">I182*K182^3/2</f>
        <v>919.141714136298</v>
      </c>
      <c r="N182" s="57" t="n">
        <f aca="false">F182*IF(G$125&gt;0,G$125,0.5)</f>
        <v>55807.4052168518</v>
      </c>
      <c r="O182" s="57" t="n">
        <f aca="false">4*G$100-3*G$101+IF(B182&gt;-4,0.0625*((4/(B$147+4))*(B182-B$147))^2+0.5*((4/(B$147+4))*(B182-B$147))+1,0)*(G$111+G$112+0.3*(G$42/G$97)^(1/3)*(G$101-G$100)+1/3*G$85*(G$101-G$100)-D$148*(-2000*G$85+2000))</f>
        <v>86.4271508651331</v>
      </c>
      <c r="P182" s="82" t="n">
        <f aca="false">2*(C182-O182)/G$113</f>
        <v>0.38851925192647</v>
      </c>
      <c r="Q182" s="9" t="str">
        <f aca="false">IF(L182&gt;L$141,"|",IF(L181&gt;L$141,"V",""))</f>
        <v/>
      </c>
    </row>
    <row r="183" s="1" customFormat="true" ht="15.75" hidden="false" customHeight="false" outlineLevel="0" collapsed="false">
      <c r="B183" s="58" t="n">
        <f aca="false">B182-0.25</f>
        <v>-8.74957999769111</v>
      </c>
      <c r="C183" s="61" t="n">
        <f aca="false">IF(B183&lt;-10,(0.00109375*B183^3+0.036875*B183^2+0.309375*B183+0.635)*(G$110-0.65*(2*G$100-G$101))+0.65*(2*G$100-G$101),IF(B183&lt;-7.5,(0.00128*B183^3+0.0536*B183^2+0.588*B183+1.935)*(G$110-0.65*(2*G$100-G$101))+0.65*(2*G$100-G$101),0))+IF(B183&lt;-7.5,0,IF(B183&lt;-4,-0.0008163265306*B183^3-0.00693877551*B183^2+0.03367346939*B183+0.9484693878,0))*(2*G$100-G$101)+IF(B183&lt;-4,0,0.00046875*((4/(B$147+4))*(B183-B$147))^3+0.0065625*((4/(B$147+4))*(B183-B$147))^2+0.08*((4/(B$147+4))*(B183-B$147))+1)*(2*G$100-G$101)+IF(B183&gt;-4,0.0625*((4/(B$147+4))*(B183-B$147))^2+0.5*((4/(B$147+4))*(B183-B$147))+1,0)*(G$111+G$112-D$148*(-2000*G$85+2000))+IF(G$42&gt;0,IF(B183&lt;-8,0,IF(B183&lt;-4.5,-0.04664723032*B183^3-0.8746355685*B183^2-5.037900875*B183-8.209912536,IF(B183&lt;IF(LOG(G$42)&lt;0,2/3*LOG(G$42)-1,-1),-2*(1/(-4.5-IF(LOG(G$42)&lt;0,2/3*LOG(G$42)-1,-1))*(B183-IF(LOG(G$42)&lt;0,2/3*LOG(G$42)-1,-1)))^3+3*(1/(-4.5-IF(LOG(G$42)&lt;0,2/3*LOG(G$42)-1,-1))*(B183-IF(LOG(G$42)&lt;0,2/3*LOG(G$42)-1,-1)))^2,0))),0)*IF((2*G$100-G$101)&gt;36,6*(2*G$100-G$101)^0.5,(2*G$100-G$101))*IF(G$80="None",0,G$80)+IF(B183&lt;-5,0,IF(B183&lt;-3,-0.25*B183^3-3*B183^2-11.25*B183-12.5,IF(B183&lt;-1,0.25*B183^3+1.5*B183^2+2.25*B183+1,0)))*IF((G$42/G$97*F$59)&lt;1,0.3645833333*(G$42/G$97*F$59)^3-1.0625*(G$42/G$97*F$59)^2+1.03125*(G$42/G$97*F$59),1/3)*(2*G$100-G$101)*IF(G$80="None",1,1-G$80)</f>
        <v>111.671039642789</v>
      </c>
      <c r="D183" s="60" t="n">
        <f aca="false">(C183-C182)/(E183-E182)</f>
        <v>0.00175793687735366</v>
      </c>
      <c r="E183" s="57" t="n">
        <f aca="false">IF(D183=0,(8314.4621*C182*LN(H183/H182)/(-G$97*9.80665*G$102)),C182/D183*(1/(H183/H182)^(8314.4621*D183/(G$97*9.80665*G$102))-1))+E182</f>
        <v>56801.6932879223</v>
      </c>
      <c r="F183" s="57" t="n">
        <f aca="false">F$36*E183/(F$36-E183)</f>
        <v>57084.440142426</v>
      </c>
      <c r="G183" s="57" t="n">
        <f aca="false">8314.4621*C183/(G$102*G$97*9.80665)</f>
        <v>2218.91027142647</v>
      </c>
      <c r="H183" s="60" t="n">
        <f aca="false">10^B183*101325</f>
        <v>0.0001803585</v>
      </c>
      <c r="I183" s="60" t="n">
        <f aca="false">H183/(8314.4621/G$102*C183)</f>
        <v>5.47333562155941E-009</v>
      </c>
      <c r="J183" s="57" t="n">
        <f aca="false">SQRT(8314.4621/G$102*G$104*C183)</f>
        <v>215.118299322792</v>
      </c>
      <c r="K183" s="57" t="n">
        <f aca="false">IF(F$23&gt;0,SQRT(2*G$96/(F$23+N183)),10000)</f>
        <v>5696.12232273165</v>
      </c>
      <c r="L183" s="60" t="n">
        <f aca="false">I183*K183^2/2</f>
        <v>0.0887934024958183</v>
      </c>
      <c r="M183" s="60" t="n">
        <f aca="false">I183*K183^3/2</f>
        <v>505.778082067727</v>
      </c>
      <c r="N183" s="57" t="n">
        <f aca="false">F183*IF(G$125&gt;0,G$125,0.5)</f>
        <v>57084.440142426</v>
      </c>
      <c r="O183" s="57" t="n">
        <f aca="false">4*G$100-3*G$101+IF(B183&gt;-4,0.0625*((4/(B$147+4))*(B183-B$147))^2+0.5*((4/(B$147+4))*(B183-B$147))+1,0)*(G$111+G$112+0.3*(G$42/G$97)^(1/3)*(G$101-G$100)+1/3*G$85*(G$101-G$100)-D$148*(-2000*G$85+2000))</f>
        <v>86.4271508651331</v>
      </c>
      <c r="P183" s="82" t="n">
        <f aca="false">2*(C183-O183)/G$113</f>
        <v>0.426029403195091</v>
      </c>
      <c r="Q183" s="9" t="str">
        <f aca="false">IF(L183&gt;L$141,"|",IF(L182&gt;L$141,"V",""))</f>
        <v/>
      </c>
    </row>
    <row r="184" s="1" customFormat="true" ht="15.75" hidden="false" customHeight="false" outlineLevel="0" collapsed="false">
      <c r="B184" s="58" t="n">
        <f aca="false">B183-0.25</f>
        <v>-8.99957999769111</v>
      </c>
      <c r="C184" s="61" t="n">
        <f aca="false">IF(B184&lt;-10,(0.00109375*B184^3+0.036875*B184^2+0.309375*B184+0.635)*(G$110-0.65*(2*G$100-G$101))+0.65*(2*G$100-G$101),IF(B184&lt;-7.5,(0.00128*B184^3+0.0536*B184^2+0.588*B184+1.935)*(G$110-0.65*(2*G$100-G$101))+0.65*(2*G$100-G$101),0))+IF(B184&lt;-7.5,0,IF(B184&lt;-4,-0.0008163265306*B184^3-0.00693877551*B184^2+0.03367346939*B184+0.9484693878,0))*(2*G$100-G$101)+IF(B184&lt;-4,0,0.00046875*((4/(B$147+4))*(B184-B$147))^3+0.0065625*((4/(B$147+4))*(B184-B$147))^2+0.08*((4/(B$147+4))*(B184-B$147))+1)*(2*G$100-G$101)+IF(B184&gt;-4,0.0625*((4/(B$147+4))*(B184-B$147))^2+0.5*((4/(B$147+4))*(B184-B$147))+1,0)*(G$111+G$112-D$148*(-2000*G$85+2000))+IF(G$42&gt;0,IF(B184&lt;-8,0,IF(B184&lt;-4.5,-0.04664723032*B184^3-0.8746355685*B184^2-5.037900875*B184-8.209912536,IF(B184&lt;IF(LOG(G$42)&lt;0,2/3*LOG(G$42)-1,-1),-2*(1/(-4.5-IF(LOG(G$42)&lt;0,2/3*LOG(G$42)-1,-1))*(B184-IF(LOG(G$42)&lt;0,2/3*LOG(G$42)-1,-1)))^3+3*(1/(-4.5-IF(LOG(G$42)&lt;0,2/3*LOG(G$42)-1,-1))*(B184-IF(LOG(G$42)&lt;0,2/3*LOG(G$42)-1,-1)))^2,0))),0)*IF((2*G$100-G$101)&gt;36,6*(2*G$100-G$101)^0.5,(2*G$100-G$101))*IF(G$80="None",0,G$80)+IF(B184&lt;-5,0,IF(B184&lt;-3,-0.25*B184^3-3*B184^2-11.25*B184-12.5,IF(B184&lt;-1,0.25*B184^3+1.5*B184^2+2.25*B184+1,0)))*IF((G$42/G$97*F$59)&lt;1,0.3645833333*(G$42/G$97*F$59)^3-1.0625*(G$42/G$97*F$59)^2+1.03125*(G$42/G$97*F$59),1/3)*(2*G$100-G$101)*IF(G$80="None",1,1-G$80)</f>
        <v>114.330336641222</v>
      </c>
      <c r="D184" s="60" t="n">
        <f aca="false">(C184-C183)/(E184-E183)</f>
        <v>0.00205797614485542</v>
      </c>
      <c r="E184" s="57" t="n">
        <f aca="false">IF(D184=0,(8314.4621*C183*LN(H184/H183)/(-G$97*9.80665*G$102)),C183/D184*(1/(H184/H183)^(8314.4621*D184/(G$97*9.80665*G$102))-1))+E183</f>
        <v>58094.1528929761</v>
      </c>
      <c r="F184" s="57" t="n">
        <f aca="false">F$36*E184/(F$36-E184)</f>
        <v>58389.9468224393</v>
      </c>
      <c r="G184" s="57" t="n">
        <f aca="false">8314.4621*C184/(G$102*G$97*9.80665)</f>
        <v>2271.75066266374</v>
      </c>
      <c r="H184" s="60" t="n">
        <f aca="false">10^B184*101325</f>
        <v>0.000101423037899344</v>
      </c>
      <c r="I184" s="60" t="n">
        <f aca="false">H184/(8314.4621/G$102*C184)</f>
        <v>3.00629196951166E-009</v>
      </c>
      <c r="J184" s="57" t="n">
        <f aca="false">SQRT(8314.4621/G$102*G$104*C184)</f>
        <v>217.664607099483</v>
      </c>
      <c r="K184" s="57" t="n">
        <f aca="false">IF(F$23&gt;0,SQRT(2*G$96/(F$23+N184)),10000)</f>
        <v>5693.03631722998</v>
      </c>
      <c r="L184" s="60" t="n">
        <f aca="false">I184*K184^2/2</f>
        <v>0.0487179572141298</v>
      </c>
      <c r="M184" s="60" t="n">
        <f aca="false">I184*K184^3/2</f>
        <v>277.353099721297</v>
      </c>
      <c r="N184" s="57" t="n">
        <f aca="false">F184*IF(G$125&gt;0,G$125,0.5)</f>
        <v>58389.9468224393</v>
      </c>
      <c r="O184" s="57" t="n">
        <f aca="false">4*G$100-3*G$101+IF(B184&gt;-4,0.0625*((4/(B$147+4))*(B184-B$147))^2+0.5*((4/(B$147+4))*(B184-B$147))+1,0)*(G$111+G$112+0.3*(G$42/G$97)^(1/3)*(G$101-G$100)+1/3*G$85*(G$101-G$100)-D$148*(-2000*G$85+2000))</f>
        <v>86.4271508651331</v>
      </c>
      <c r="P184" s="82" t="n">
        <f aca="false">2*(C184-O184)/G$113</f>
        <v>0.470909125298918</v>
      </c>
      <c r="Q184" s="9" t="str">
        <f aca="false">IF(L184&gt;L$141,"|",IF(L183&gt;L$141,"V",""))</f>
        <v/>
      </c>
    </row>
    <row r="185" s="1" customFormat="true" ht="15.75" hidden="false" customHeight="false" outlineLevel="0" collapsed="false">
      <c r="B185" s="58" t="n">
        <f aca="false">B184-0.25</f>
        <v>-9.24957999769111</v>
      </c>
      <c r="C185" s="61" t="n">
        <f aca="false">IF(B185&lt;-10,(0.00109375*B185^3+0.036875*B185^2+0.309375*B185+0.635)*(G$110-0.65*(2*G$100-G$101))+0.65*(2*G$100-G$101),IF(B185&lt;-7.5,(0.00128*B185^3+0.0536*B185^2+0.588*B185+1.935)*(G$110-0.65*(2*G$100-G$101))+0.65*(2*G$100-G$101),0))+IF(B185&lt;-7.5,0,IF(B185&lt;-4,-0.0008163265306*B185^3-0.00693877551*B185^2+0.03367346939*B185+0.9484693878,0))*(2*G$100-G$101)+IF(B185&lt;-4,0,0.00046875*((4/(B$147+4))*(B185-B$147))^3+0.0065625*((4/(B$147+4))*(B185-B$147))^2+0.08*((4/(B$147+4))*(B185-B$147))+1)*(2*G$100-G$101)+IF(B185&gt;-4,0.0625*((4/(B$147+4))*(B185-B$147))^2+0.5*((4/(B$147+4))*(B185-B$147))+1,0)*(G$111+G$112-D$148*(-2000*G$85+2000))+IF(G$42&gt;0,IF(B185&lt;-8,0,IF(B185&lt;-4.5,-0.04664723032*B185^3-0.8746355685*B185^2-5.037900875*B185-8.209912536,IF(B185&lt;IF(LOG(G$42)&lt;0,2/3*LOG(G$42)-1,-1),-2*(1/(-4.5-IF(LOG(G$42)&lt;0,2/3*LOG(G$42)-1,-1))*(B185-IF(LOG(G$42)&lt;0,2/3*LOG(G$42)-1,-1)))^3+3*(1/(-4.5-IF(LOG(G$42)&lt;0,2/3*LOG(G$42)-1,-1))*(B185-IF(LOG(G$42)&lt;0,2/3*LOG(G$42)-1,-1)))^2,0))),0)*IF((2*G$100-G$101)&gt;36,6*(2*G$100-G$101)^0.5,(2*G$100-G$101))*IF(G$80="None",0,G$80)+IF(B185&lt;-5,0,IF(B185&lt;-3,-0.25*B185^3-3*B185^2-11.25*B185-12.5,IF(B185&lt;-1,0.25*B185^3+1.5*B185^2+2.25*B185+1,0)))*IF((G$42/G$97*F$59)&lt;1,0.3645833333*(G$42/G$97*F$59)^3-1.0625*(G$42/G$97*F$59)^2+1.03125*(G$42/G$97*F$59),1/3)*(2*G$100-G$101)*IF(G$80="None",1,1-G$80)</f>
        <v>117.405350459067</v>
      </c>
      <c r="D185" s="60" t="n">
        <f aca="false">(C185-C184)/(E185-E184)</f>
        <v>0.00232090606819667</v>
      </c>
      <c r="E185" s="57" t="n">
        <f aca="false">IF(D185=0,(8314.4621*C184*LN(H185/H184)/(-G$97*9.80665*G$102)),C184/D185*(1/(H185/H184)^(8314.4621*D185/(G$97*9.80665*G$102))-1))+E184</f>
        <v>59419.3902850612</v>
      </c>
      <c r="F185" s="57" t="n">
        <f aca="false">F$36*E185/(F$36-E185)</f>
        <v>59728.8693231703</v>
      </c>
      <c r="G185" s="57" t="n">
        <f aca="false">8314.4621*C185/(G$102*G$97*9.80665)</f>
        <v>2332.85137209585</v>
      </c>
      <c r="H185" s="60" t="n">
        <f aca="false">10^B185*101325</f>
        <v>5.70343655371479E-005</v>
      </c>
      <c r="I185" s="60" t="n">
        <f aca="false">H185/(8314.4621/G$102*C185)</f>
        <v>1.64628397114388E-009</v>
      </c>
      <c r="J185" s="57" t="n">
        <f aca="false">SQRT(8314.4621/G$102*G$104*C185)</f>
        <v>220.572324861463</v>
      </c>
      <c r="K185" s="57" t="n">
        <f aca="false">IF(F$23&gt;0,SQRT(2*G$96/(F$23+N185)),10000)</f>
        <v>5689.87652636458</v>
      </c>
      <c r="L185" s="60" t="n">
        <f aca="false">I185*K185^2/2</f>
        <v>0.0266489706301506</v>
      </c>
      <c r="M185" s="60" t="n">
        <f aca="false">I185*K185^3/2</f>
        <v>151.629352440273</v>
      </c>
      <c r="N185" s="57" t="n">
        <f aca="false">F185*IF(G$125&gt;0,G$125,0.5)</f>
        <v>59728.8693231703</v>
      </c>
      <c r="O185" s="57" t="n">
        <f aca="false">4*G$100-3*G$101+IF(B185&gt;-4,0.0625*((4/(B$147+4))*(B185-B$147))^2+0.5*((4/(B$147+4))*(B185-B$147))+1,0)*(G$111+G$112+0.3*(G$42/G$97)^(1/3)*(G$101-G$100)+1/3*G$85*(G$101-G$100)-D$148*(-2000*G$85+2000))</f>
        <v>86.4271508651331</v>
      </c>
      <c r="P185" s="82" t="n">
        <f aca="false">2*(C185-O185)/G$113</f>
        <v>0.522804707361255</v>
      </c>
      <c r="Q185" s="9" t="str">
        <f aca="false">IF(L185&gt;L$141,"|",IF(L184&gt;L$141,"V",""))</f>
        <v/>
      </c>
    </row>
    <row r="186" s="1" customFormat="true" ht="15.75" hidden="false" customHeight="false" outlineLevel="0" collapsed="false">
      <c r="B186" s="58" t="n">
        <f aca="false">B185-0.25</f>
        <v>-9.49957999769111</v>
      </c>
      <c r="C186" s="61" t="n">
        <f aca="false">IF(B186&lt;-10,(0.00109375*B186^3+0.036875*B186^2+0.309375*B186+0.635)*(G$110-0.65*(2*G$100-G$101))+0.65*(2*G$100-G$101),IF(B186&lt;-7.5,(0.00128*B186^3+0.0536*B186^2+0.588*B186+1.935)*(G$110-0.65*(2*G$100-G$101))+0.65*(2*G$100-G$101),0))+IF(B186&lt;-7.5,0,IF(B186&lt;-4,-0.0008163265306*B186^3-0.00693877551*B186^2+0.03367346939*B186+0.9484693878,0))*(2*G$100-G$101)+IF(B186&lt;-4,0,0.00046875*((4/(B$147+4))*(B186-B$147))^3+0.0065625*((4/(B$147+4))*(B186-B$147))^2+0.08*((4/(B$147+4))*(B186-B$147))+1)*(2*G$100-G$101)+IF(B186&gt;-4,0.0625*((4/(B$147+4))*(B186-B$147))^2+0.5*((4/(B$147+4))*(B186-B$147))+1,0)*(G$111+G$112-D$148*(-2000*G$85+2000))+IF(G$42&gt;0,IF(B186&lt;-8,0,IF(B186&lt;-4.5,-0.04664723032*B186^3-0.8746355685*B186^2-5.037900875*B186-8.209912536,IF(B186&lt;IF(LOG(G$42)&lt;0,2/3*LOG(G$42)-1,-1),-2*(1/(-4.5-IF(LOG(G$42)&lt;0,2/3*LOG(G$42)-1,-1))*(B186-IF(LOG(G$42)&lt;0,2/3*LOG(G$42)-1,-1)))^3+3*(1/(-4.5-IF(LOG(G$42)&lt;0,2/3*LOG(G$42)-1,-1))*(B186-IF(LOG(G$42)&lt;0,2/3*LOG(G$42)-1,-1)))^2,0))),0)*IF((2*G$100-G$101)&gt;36,6*(2*G$100-G$101)^0.5,(2*G$100-G$101))*IF(G$80="None",0,G$80)+IF(B186&lt;-5,0,IF(B186&lt;-3,-0.25*B186^3-3*B186^2-11.25*B186-12.5,IF(B186&lt;-1,0.25*B186^3+1.5*B186^2+2.25*B186+1,0)))*IF((G$42/G$97*F$59)&lt;1,0.3645833333*(G$42/G$97*F$59)^3-1.0625*(G$42/G$97*F$59)^2+1.03125*(G$42/G$97*F$59),1/3)*(2*G$100-G$101)*IF(G$80="None",1,1-G$80)</f>
        <v>120.87512235976</v>
      </c>
      <c r="D186" s="60" t="n">
        <f aca="false">(C186-C185)/(E186-E185)</f>
        <v>0.00254702592614087</v>
      </c>
      <c r="E186" s="57" t="n">
        <f aca="false">IF(D186=0,(8314.4621*C185*LN(H186/H185)/(-G$97*9.80665*G$102)),C185/D186*(1/(H186/H185)^(8314.4621*D186/(G$97*9.80665*G$102))-1))+E185</f>
        <v>60782.0402864201</v>
      </c>
      <c r="F186" s="57" t="n">
        <f aca="false">F$36*E186/(F$36-E186)</f>
        <v>61105.9151780159</v>
      </c>
      <c r="G186" s="57" t="n">
        <f aca="false">8314.4621*C186/(G$102*G$97*9.80665)</f>
        <v>2401.79594836721</v>
      </c>
      <c r="H186" s="60" t="n">
        <f aca="false">10^B186*101325</f>
        <v>3.20727806975505E-005</v>
      </c>
      <c r="I186" s="60" t="n">
        <f aca="false">H186/(8314.4621/G$102*C186)</f>
        <v>8.99198786831978E-010</v>
      </c>
      <c r="J186" s="57" t="n">
        <f aca="false">SQRT(8314.4621/G$102*G$104*C186)</f>
        <v>223.807965559844</v>
      </c>
      <c r="K186" s="57" t="n">
        <f aca="false">IF(F$23&gt;0,SQRT(2*G$96/(F$23+N186)),10000)</f>
        <v>5686.63224819312</v>
      </c>
      <c r="L186" s="60" t="n">
        <f aca="false">I186*K186^2/2</f>
        <v>0.0145390491166709</v>
      </c>
      <c r="M186" s="60" t="n">
        <f aca="false">I186*K186^3/2</f>
        <v>82.6782255649241</v>
      </c>
      <c r="N186" s="57" t="n">
        <f aca="false">F186*IF(G$125&gt;0,G$125,0.5)</f>
        <v>61105.9151780159</v>
      </c>
      <c r="O186" s="57" t="n">
        <f aca="false">4*G$100-3*G$101+IF(B186&gt;-4,0.0625*((4/(B$147+4))*(B186-B$147))^2+0.5*((4/(B$147+4))*(B186-B$147))+1,0)*(G$111+G$112+0.3*(G$42/G$97)^(1/3)*(G$101-G$100)+1/3*G$85*(G$101-G$100)-D$148*(-2000*G$85+2000))</f>
        <v>86.4271508651331</v>
      </c>
      <c r="P186" s="82" t="n">
        <f aca="false">2*(C186-O186)/G$113</f>
        <v>0.58136243850542</v>
      </c>
      <c r="Q186" s="9" t="str">
        <f aca="false">IF(L186&gt;L$141,"|",IF(L185&gt;L$141,"V",""))</f>
        <v/>
      </c>
    </row>
    <row r="187" s="1" customFormat="true" ht="15.75" hidden="false" customHeight="false" outlineLevel="0" collapsed="false">
      <c r="B187" s="58" t="n">
        <f aca="false">B186-0.25</f>
        <v>-9.74957999769111</v>
      </c>
      <c r="C187" s="61" t="n">
        <f aca="false">IF(B187&lt;-10,(0.00109375*B187^3+0.036875*B187^2+0.309375*B187+0.635)*(G$110-0.65*(2*G$100-G$101))+0.65*(2*G$100-G$101),IF(B187&lt;-7.5,(0.00128*B187^3+0.0536*B187^2+0.588*B187+1.935)*(G$110-0.65*(2*G$100-G$101))+0.65*(2*G$100-G$101),0))+IF(B187&lt;-7.5,0,IF(B187&lt;-4,-0.0008163265306*B187^3-0.00693877551*B187^2+0.03367346939*B187+0.9484693878,0))*(2*G$100-G$101)+IF(B187&lt;-4,0,0.00046875*((4/(B$147+4))*(B187-B$147))^3+0.0065625*((4/(B$147+4))*(B187-B$147))^2+0.08*((4/(B$147+4))*(B187-B$147))+1)*(2*G$100-G$101)+IF(B187&gt;-4,0.0625*((4/(B$147+4))*(B187-B$147))^2+0.5*((4/(B$147+4))*(B187-B$147))+1,0)*(G$111+G$112-D$148*(-2000*G$85+2000))+IF(G$42&gt;0,IF(B187&lt;-8,0,IF(B187&lt;-4.5,-0.04664723032*B187^3-0.8746355685*B187^2-5.037900875*B187-8.209912536,IF(B187&lt;IF(LOG(G$42)&lt;0,2/3*LOG(G$42)-1,-1),-2*(1/(-4.5-IF(LOG(G$42)&lt;0,2/3*LOG(G$42)-1,-1))*(B187-IF(LOG(G$42)&lt;0,2/3*LOG(G$42)-1,-1)))^3+3*(1/(-4.5-IF(LOG(G$42)&lt;0,2/3*LOG(G$42)-1,-1))*(B187-IF(LOG(G$42)&lt;0,2/3*LOG(G$42)-1,-1)))^2,0))),0)*IF((2*G$100-G$101)&gt;36,6*(2*G$100-G$101)^0.5,(2*G$100-G$101))*IF(G$80="None",0,G$80)+IF(B187&lt;-5,0,IF(B187&lt;-3,-0.25*B187^3-3*B187^2-11.25*B187-12.5,IF(B187&lt;-1,0.25*B187^3+1.5*B187^2+2.25*B187+1,0)))*IF((G$42/G$97*F$59)&lt;1,0.3645833333*(G$42/G$97*F$59)^3-1.0625*(G$42/G$97*F$59)^2+1.03125*(G$42/G$97*F$59),1/3)*(2*G$100-G$101)*IF(G$80="None",1,1-G$80)</f>
        <v>124.718693606735</v>
      </c>
      <c r="D187" s="60" t="n">
        <f aca="false">(C187-C186)/(E187-E186)</f>
        <v>0.00273750083178059</v>
      </c>
      <c r="E187" s="57" t="n">
        <f aca="false">IF(D187=0,(8314.4621*C186*LN(H187/H186)/(-G$97*9.80665*G$102)),C186/D187*(1/(H187/H186)^(8314.4621*D187/(G$97*9.80665*G$102))-1))+E186</f>
        <v>62186.4985407596</v>
      </c>
      <c r="F187" s="57" t="n">
        <f aca="false">F$36*E187/(F$36-E187)</f>
        <v>62525.5553068478</v>
      </c>
      <c r="G187" s="57" t="n">
        <f aca="false">8314.4621*C187/(G$102*G$97*9.80665)</f>
        <v>2478.16794012221</v>
      </c>
      <c r="H187" s="60" t="n">
        <f aca="false">10^B187*101325</f>
        <v>1.803585E-005</v>
      </c>
      <c r="I187" s="60" t="n">
        <f aca="false">H187/(8314.4621/G$102*C187)</f>
        <v>4.90073349469757E-010</v>
      </c>
      <c r="J187" s="57" t="n">
        <f aca="false">SQRT(8314.4621/G$102*G$104*C187)</f>
        <v>227.338428020778</v>
      </c>
      <c r="K187" s="57" t="n">
        <f aca="false">IF(F$23&gt;0,SQRT(2*G$96/(F$23+N187)),10000)</f>
        <v>5683.29342206651</v>
      </c>
      <c r="L187" s="60" t="n">
        <f aca="false">I187*K187^2/2</f>
        <v>0.00791464149720587</v>
      </c>
      <c r="M187" s="60" t="n">
        <f aca="false">I187*K187^3/2</f>
        <v>44.9812299590848</v>
      </c>
      <c r="N187" s="57" t="n">
        <f aca="false">F187*IF(G$125&gt;0,G$125,0.5)</f>
        <v>62525.5553068478</v>
      </c>
      <c r="O187" s="57" t="n">
        <f aca="false">4*G$100-3*G$101+IF(B187&gt;-4,0.0625*((4/(B$147+4))*(B187-B$147))^2+0.5*((4/(B$147+4))*(B187-B$147))+1,0)*(G$111+G$112+0.3*(G$42/G$97)^(1/3)*(G$101-G$100)+1/3*G$85*(G$101-G$100)-D$148*(-2000*G$85+2000))</f>
        <v>86.4271508651331</v>
      </c>
      <c r="P187" s="82" t="n">
        <f aca="false">2*(C187-O187)/G$113</f>
        <v>0.646228607854724</v>
      </c>
      <c r="Q187" s="9" t="str">
        <f aca="false">IF(L187&gt;L$141,"|",IF(L186&gt;L$141,"V",""))</f>
        <v/>
      </c>
    </row>
    <row r="188" s="1" customFormat="true" ht="15.75" hidden="false" customHeight="false" outlineLevel="0" collapsed="false">
      <c r="B188" s="58" t="n">
        <f aca="false">B187-0.25</f>
        <v>-9.99957999769111</v>
      </c>
      <c r="C188" s="61" t="n">
        <f aca="false">IF(B188&lt;-10,(0.00109375*B188^3+0.036875*B188^2+0.309375*B188+0.635)*(G$110-0.65*(2*G$100-G$101))+0.65*(2*G$100-G$101),IF(B188&lt;-7.5,(0.00128*B188^3+0.0536*B188^2+0.588*B188+1.935)*(G$110-0.65*(2*G$100-G$101))+0.65*(2*G$100-G$101),0))+IF(B188&lt;-7.5,0,IF(B188&lt;-4,-0.0008163265306*B188^3-0.00693877551*B188^2+0.03367346939*B188+0.9484693878,0))*(2*G$100-G$101)+IF(B188&lt;-4,0,0.00046875*((4/(B$147+4))*(B188-B$147))^3+0.0065625*((4/(B$147+4))*(B188-B$147))^2+0.08*((4/(B$147+4))*(B188-B$147))+1)*(2*G$100-G$101)+IF(B188&gt;-4,0.0625*((4/(B$147+4))*(B188-B$147))^2+0.5*((4/(B$147+4))*(B188-B$147))+1,0)*(G$111+G$112-D$148*(-2000*G$85+2000))+IF(G$42&gt;0,IF(B188&lt;-8,0,IF(B188&lt;-4.5,-0.04664723032*B188^3-0.8746355685*B188^2-5.037900875*B188-8.209912536,IF(B188&lt;IF(LOG(G$42)&lt;0,2/3*LOG(G$42)-1,-1),-2*(1/(-4.5-IF(LOG(G$42)&lt;0,2/3*LOG(G$42)-1,-1))*(B188-IF(LOG(G$42)&lt;0,2/3*LOG(G$42)-1,-1)))^3+3*(1/(-4.5-IF(LOG(G$42)&lt;0,2/3*LOG(G$42)-1,-1))*(B188-IF(LOG(G$42)&lt;0,2/3*LOG(G$42)-1,-1)))^2,0))),0)*IF((2*G$100-G$101)&gt;36,6*(2*G$100-G$101)^0.5,(2*G$100-G$101))*IF(G$80="None",0,G$80)+IF(B188&lt;-5,0,IF(B188&lt;-3,-0.25*B188^3-3*B188^2-11.25*B188-12.5,IF(B188&lt;-1,0.25*B188^3+1.5*B188^2+2.25*B188+1,0)))*IF((G$42/G$97*F$59)&lt;1,0.3645833333*(G$42/G$97*F$59)^3-1.0625*(G$42/G$97*F$59)^2+1.03125*(G$42/G$97*F$59),1/3)*(2*G$100-G$101)*IF(G$80="None",1,1-G$80)</f>
        <v>128.915105463426</v>
      </c>
      <c r="D188" s="60" t="n">
        <f aca="false">(C188-C187)/(E188-E187)</f>
        <v>0.00289415501846286</v>
      </c>
      <c r="E188" s="57" t="n">
        <f aca="false">IF(D188=0,(8314.4621*C187*LN(H188/H187)/(-G$97*9.80665*G$102)),C187/D188*(1/(H188/H187)^(8314.4621*D188/(G$97*9.80665*G$102))-1))+E187</f>
        <v>63636.9214169762</v>
      </c>
      <c r="F188" s="57" t="n">
        <f aca="false">F$36*E188/(F$36-E188)</f>
        <v>63992.0239428213</v>
      </c>
      <c r="G188" s="57" t="n">
        <f aca="false">8314.4621*C188/(G$102*G$97*9.80665)</f>
        <v>2561.55089600525</v>
      </c>
      <c r="H188" s="60" t="n">
        <f aca="false">10^B188*101325</f>
        <v>1.01423037899344E-005</v>
      </c>
      <c r="I188" s="60" t="n">
        <f aca="false">H188/(8314.4621/G$102*C188)</f>
        <v>2.66617609845251E-010</v>
      </c>
      <c r="J188" s="57" t="n">
        <f aca="false">SQRT(8314.4621/G$102*G$104*C188)</f>
        <v>231.13141614027</v>
      </c>
      <c r="K188" s="57" t="n">
        <f aca="false">IF(F$23&gt;0,SQRT(2*G$96/(F$23+N188)),10000)</f>
        <v>5679.85062859671</v>
      </c>
      <c r="L188" s="60" t="n">
        <f aca="false">I188*K188^2/2</f>
        <v>0.00430063578464582</v>
      </c>
      <c r="M188" s="60" t="n">
        <f aca="false">I188*K188^3/2</f>
        <v>24.4269688647861</v>
      </c>
      <c r="N188" s="57" t="n">
        <f aca="false">F188*IF(G$125&gt;0,G$125,0.5)</f>
        <v>63992.0239428213</v>
      </c>
      <c r="O188" s="57" t="n">
        <f aca="false">4*G$100-3*G$101+IF(B188&gt;-4,0.0625*((4/(B$147+4))*(B188-B$147))^2+0.5*((4/(B$147+4))*(B188-B$147))+1,0)*(G$111+G$112+0.3*(G$42/G$97)^(1/3)*(G$101-G$100)+1/3*G$85*(G$101-G$100)-D$148*(-2000*G$85+2000))</f>
        <v>86.4271508651331</v>
      </c>
      <c r="P188" s="82" t="n">
        <f aca="false">2*(C188-O188)/G$113</f>
        <v>0.717049504532475</v>
      </c>
      <c r="Q188" s="9" t="str">
        <f aca="false">IF(L188&gt;L$141,"|",IF(L187&gt;L$141,"V",""))</f>
        <v/>
      </c>
    </row>
    <row r="189" s="1" customFormat="true" ht="15.75" hidden="false" customHeight="false" outlineLevel="0" collapsed="false">
      <c r="B189" s="58" t="n">
        <f aca="false">B188-0.25</f>
        <v>-10.2495799976911</v>
      </c>
      <c r="C189" s="62" t="n">
        <f aca="false">IF(B189&lt;-10,(0.00109375*B189^3+0.036875*B189^2+0.309375*B189+0.635)*(G$110-0.65*(2*G$100-G$101))+0.65*(2*G$100-G$101),IF(B189&lt;-7.5,(0.00128*B189^3+0.0536*B189^2+0.588*B189+1.935)*(G$110-0.65*(2*G$100-G$101))+0.65*(2*G$100-G$101),0))+IF(B189&lt;-7.5,0,IF(B189&lt;-4,-0.0008163265306*B189^3-0.00693877551*B189^2+0.03367346939*B189+0.9484693878,0))*(2*G$100-G$101)+IF(B189&lt;-4,0,0.00046875*((4/(B$147+4))*(B189-B$147))^3+0.0065625*((4/(B$147+4))*(B189-B$147))^2+0.08*((4/(B$147+4))*(B189-B$147))+1)*(2*G$100-G$101)+IF(B189&gt;-4,0.0625*((4/(B$147+4))*(B189-B$147))^2+0.5*((4/(B$147+4))*(B189-B$147))+1,0)*(G$111+G$112-D$148*(-2000*G$85+2000))+IF(G$42&gt;0,IF(B189&lt;-8,0,IF(B189&lt;-4.5,-0.04664723032*B189^3-0.8746355685*B189^2-5.037900875*B189-8.209912536,IF(B189&lt;IF(LOG(G$42)&lt;0,2/3*LOG(G$42)-1,-1),-2*(1/(-4.5-IF(LOG(G$42)&lt;0,2/3*LOG(G$42)-1,-1))*(B189-IF(LOG(G$42)&lt;0,2/3*LOG(G$42)-1,-1)))^3+3*(1/(-4.5-IF(LOG(G$42)&lt;0,2/3*LOG(G$42)-1,-1))*(B189-IF(LOG(G$42)&lt;0,2/3*LOG(G$42)-1,-1)))^2,0))),0)*IF((2*G$100-G$101)&gt;36,6*(2*G$100-G$101)^0.5,(2*G$100-G$101))*IF(G$80="None",0,G$80)+IF(B189&lt;-5,0,IF(B189&lt;-3,-0.25*B189^3-3*B189^2-11.25*B189-12.5,IF(B189&lt;-1,0.25*B189^3+1.5*B189^2+2.25*B189+1,0)))*IF((G$42/G$97*F$59)&lt;1,0.3645833333*(G$42/G$97*F$59)^3-1.0625*(G$42/G$97*F$59)^2+1.03125*(G$42/G$97*F$59),1/3)*(2*G$100-G$101)*IF(G$80="None",1,1-G$80)</f>
        <v>133.322736024381</v>
      </c>
      <c r="D189" s="60" t="n">
        <f aca="false">(C189-C188)/(E189-E188)</f>
        <v>0.00294013057745169</v>
      </c>
      <c r="E189" s="57" t="n">
        <f aca="false">IF(D189=0,(8314.4621*C188*LN(H189/H188)/(-G$97*9.80665*G$102)),C188/D189*(1/(H189/H188)^(8314.4621*D189/(G$97*9.80665*G$102))-1))+E188</f>
        <v>65136.5431411958</v>
      </c>
      <c r="F189" s="57" t="n">
        <f aca="false">F$36*E189/(F$36-E189)</f>
        <v>65508.6279708404</v>
      </c>
      <c r="G189" s="57" t="n">
        <f aca="false">8314.4621*C189/(G$102*G$97*9.80665)</f>
        <v>2649.13078024059</v>
      </c>
      <c r="H189" s="60" t="n">
        <f aca="false">10^B189*101325</f>
        <v>5.70343655371479E-006</v>
      </c>
      <c r="I189" s="60" t="n">
        <f aca="false">H189/(8314.4621/G$102*C189)</f>
        <v>1.44973432402367E-010</v>
      </c>
      <c r="J189" s="57" t="n">
        <f aca="false">SQRT(8314.4621/G$102*G$104*C189)</f>
        <v>235.049420553572</v>
      </c>
      <c r="K189" s="57" t="n">
        <f aca="false">IF(F$23&gt;0,SQRT(2*G$96/(F$23+N189)),10000)</f>
        <v>5676.29670644928</v>
      </c>
      <c r="L189" s="60" t="n">
        <f aca="false">I189*K189^2/2</f>
        <v>0.00233554695315293</v>
      </c>
      <c r="M189" s="60" t="n">
        <f aca="false">I189*K189^3/2</f>
        <v>13.2572574779396</v>
      </c>
      <c r="N189" s="57" t="n">
        <f aca="false">F189*IF(G$125&gt;0,G$125,0.5)</f>
        <v>65508.6279708404</v>
      </c>
      <c r="O189" s="57" t="n">
        <f aca="false">4*G$100-3*G$101+IF(B189&gt;-4,0.0625*((4/(B$147+4))*(B189-B$147))^2+0.5*((4/(B$147+4))*(B189-B$147))+1,0)*(G$111+G$112+0.3*(G$42/G$97)^(1/3)*(G$101-G$100)+1/3*G$85*(G$101-G$100)-D$148*(-2000*G$85+2000))</f>
        <v>86.4271508651331</v>
      </c>
      <c r="P189" s="82" t="n">
        <f aca="false">2*(C189-O189)/G$113</f>
        <v>0.79143504132228</v>
      </c>
      <c r="Q189" s="9" t="str">
        <f aca="false">IF(L189&gt;L$141,"|",IF(L188&gt;L$141,"V",""))</f>
        <v/>
      </c>
    </row>
  </sheetData>
  <mergeCells count="58">
    <mergeCell ref="B2:H2"/>
    <mergeCell ref="B4:H4"/>
    <mergeCell ref="B5:H5"/>
    <mergeCell ref="B9:H9"/>
    <mergeCell ref="B10:H10"/>
    <mergeCell ref="B11:H11"/>
    <mergeCell ref="B12:H12"/>
    <mergeCell ref="F15:G15"/>
    <mergeCell ref="F17:G17"/>
    <mergeCell ref="D18:E20"/>
    <mergeCell ref="F23:G23"/>
    <mergeCell ref="D24:E26"/>
    <mergeCell ref="F28:G28"/>
    <mergeCell ref="B33:H33"/>
    <mergeCell ref="B34:H34"/>
    <mergeCell ref="F36:G36"/>
    <mergeCell ref="B38:J38"/>
    <mergeCell ref="B39:J39"/>
    <mergeCell ref="B40:J40"/>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I66:J66"/>
    <mergeCell ref="B67:D67"/>
    <mergeCell ref="I67:J67"/>
    <mergeCell ref="B68:D68"/>
    <mergeCell ref="I68:J68"/>
    <mergeCell ref="B69:D69"/>
    <mergeCell ref="I69:J69"/>
    <mergeCell ref="B77:H77"/>
    <mergeCell ref="B78:H78"/>
    <mergeCell ref="B83:H83"/>
    <mergeCell ref="B87:H87"/>
    <mergeCell ref="B88:H88"/>
    <mergeCell ref="B89:H89"/>
    <mergeCell ref="B91:H91"/>
    <mergeCell ref="B107:H107"/>
    <mergeCell ref="B118:H118"/>
    <mergeCell ref="B119:H119"/>
    <mergeCell ref="B128:Q128"/>
    <mergeCell ref="B129:Q129"/>
    <mergeCell ref="B130:Q130"/>
  </mergeCells>
  <dataValidations count="3">
    <dataValidation allowBlank="true" errorStyle="stop" operator="between" showDropDown="false" showErrorMessage="true" showInputMessage="true" sqref="G42" type="decimal">
      <formula1>0.001</formula1>
      <formula2>100</formula2>
    </dataValidation>
    <dataValidation allowBlank="true" errorStyle="stop" operator="between" showDropDown="false" showErrorMessage="true" showInputMessage="true" sqref="G80" type="list">
      <formula1>"None,10%,25%,50%,75%,90%"</formula1>
      <formula2>0</formula2>
    </dataValidation>
    <dataValidation allowBlank="true" errorStyle="stop" operator="between" showDropDown="false" showErrorMessage="true" showInputMessage="true" sqref="I66:J69" type="list">
      <formula1>"No greenhouse,Mild greenhouse,Strong greenhouse"</formula1>
      <formula2>0</formula2>
    </dataValidation>
  </dataValidations>
  <hyperlinks>
    <hyperlink ref="B7" r:id="rId1" display="Sigma HeatShifte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0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2" activeCellId="0" sqref="C12"/>
    </sheetView>
  </sheetViews>
  <sheetFormatPr defaultColWidth="9.13671875" defaultRowHeight="15" zeroHeight="false" outlineLevelRow="0" outlineLevelCol="0"/>
  <cols>
    <col collapsed="false" customWidth="true" hidden="false" outlineLevel="0" max="1" min="1" style="63" width="27.71"/>
    <col collapsed="false" customWidth="true" hidden="false" outlineLevel="0" max="5" min="2" style="63" width="14.69"/>
    <col collapsed="false" customWidth="false" hidden="false" outlineLevel="0" max="1024" min="6" style="63" width="9.13"/>
  </cols>
  <sheetData>
    <row r="1" customFormat="false" ht="78.75" hidden="false" customHeight="true" outlineLevel="0" collapsed="false">
      <c r="A1" s="64" t="s">
        <v>289</v>
      </c>
      <c r="B1" s="64"/>
      <c r="C1" s="64"/>
      <c r="D1" s="64"/>
      <c r="E1" s="64"/>
    </row>
    <row r="2" customFormat="false" ht="15" hidden="false" customHeight="false" outlineLevel="0" collapsed="false">
      <c r="A2" s="65"/>
      <c r="B2" s="65"/>
      <c r="C2" s="65"/>
      <c r="D2" s="65"/>
      <c r="E2" s="65"/>
    </row>
    <row r="3" customFormat="false" ht="15" hidden="false" customHeight="false" outlineLevel="0" collapsed="false">
      <c r="A3" s="65" t="s">
        <v>290</v>
      </c>
      <c r="B3" s="65"/>
      <c r="C3" s="65"/>
      <c r="D3" s="65"/>
      <c r="E3" s="65"/>
    </row>
    <row r="4" customFormat="false" ht="15" hidden="false" customHeight="false" outlineLevel="0" collapsed="false">
      <c r="A4" s="65" t="s">
        <v>209</v>
      </c>
      <c r="B4" s="69"/>
      <c r="D4" s="65"/>
      <c r="E4" s="69"/>
    </row>
    <row r="5" customFormat="false" ht="15" hidden="false" customHeight="false" outlineLevel="0" collapsed="false">
      <c r="A5" s="66" t="s">
        <v>291</v>
      </c>
      <c r="B5" s="69" t="n">
        <f aca="false">Locked!G27</f>
        <v>0.3</v>
      </c>
      <c r="D5" s="65"/>
      <c r="E5" s="69"/>
    </row>
    <row r="6" customFormat="false" ht="15" hidden="false" customHeight="false" outlineLevel="0" collapsed="false">
      <c r="A6" s="65" t="s">
        <v>212</v>
      </c>
      <c r="B6" s="69"/>
      <c r="D6" s="65"/>
      <c r="E6" s="69"/>
    </row>
    <row r="7" customFormat="false" ht="15" hidden="false" customHeight="false" outlineLevel="0" collapsed="false">
      <c r="A7" s="65" t="s">
        <v>213</v>
      </c>
      <c r="B7" s="65"/>
      <c r="D7" s="65"/>
      <c r="E7" s="69"/>
    </row>
    <row r="8" customFormat="false" ht="15" hidden="false" customHeight="false" outlineLevel="0" collapsed="false">
      <c r="A8" s="65" t="s">
        <v>209</v>
      </c>
      <c r="B8" s="69"/>
      <c r="D8" s="65"/>
      <c r="E8" s="69"/>
    </row>
    <row r="9" customFormat="false" ht="15" hidden="false" customHeight="false" outlineLevel="0" collapsed="false">
      <c r="A9" s="66" t="s">
        <v>370</v>
      </c>
      <c r="B9" s="69" t="n">
        <v>0</v>
      </c>
      <c r="D9" s="65"/>
      <c r="E9" s="69"/>
    </row>
    <row r="10" customFormat="false" ht="15" hidden="false" customHeight="false" outlineLevel="0" collapsed="false">
      <c r="A10" s="66" t="s">
        <v>214</v>
      </c>
      <c r="B10" s="69" t="s">
        <v>215</v>
      </c>
      <c r="D10" s="69"/>
      <c r="E10" s="69"/>
    </row>
    <row r="11" customFormat="false" ht="15" hidden="false" customHeight="false" outlineLevel="0" collapsed="false">
      <c r="A11" s="66" t="s">
        <v>216</v>
      </c>
      <c r="B11" s="69" t="str">
        <f aca="false">IF(Locked!F49&gt;0,"True","False")</f>
        <v>False</v>
      </c>
      <c r="D11" s="69"/>
      <c r="E11" s="69"/>
    </row>
    <row r="12" customFormat="false" ht="15" hidden="false" customHeight="false" outlineLevel="0" collapsed="false">
      <c r="A12" s="66" t="s">
        <v>218</v>
      </c>
      <c r="B12" s="69" t="n">
        <f aca="false">MAX(B19:B61)</f>
        <v>45000</v>
      </c>
      <c r="D12" s="69"/>
      <c r="E12" s="69"/>
    </row>
    <row r="13" customFormat="false" ht="15" hidden="false" customHeight="false" outlineLevel="0" collapsed="false">
      <c r="A13" s="66" t="s">
        <v>219</v>
      </c>
      <c r="B13" s="83" t="n">
        <f aca="false">ROUND(Locked!G104,2)</f>
        <v>1.4</v>
      </c>
      <c r="D13" s="69"/>
      <c r="E13" s="69"/>
    </row>
    <row r="14" customFormat="false" ht="15" hidden="false" customHeight="false" outlineLevel="0" collapsed="false">
      <c r="A14" s="66" t="s">
        <v>220</v>
      </c>
      <c r="B14" s="69" t="n">
        <f aca="false">ROUND(Locked!G102/1000,5)</f>
        <v>0.02818</v>
      </c>
      <c r="D14" s="69"/>
      <c r="E14" s="69"/>
    </row>
    <row r="15" customFormat="false" ht="15" hidden="false" customHeight="false" outlineLevel="0" collapsed="false">
      <c r="A15" s="66" t="s">
        <v>221</v>
      </c>
      <c r="B15" s="69" t="n">
        <f aca="false">ROUND(Locked!C$147,0)</f>
        <v>229</v>
      </c>
      <c r="D15" s="69"/>
      <c r="E15" s="69"/>
    </row>
    <row r="16" customFormat="false" ht="15" hidden="false" customHeight="false" outlineLevel="0" collapsed="false">
      <c r="A16" s="66" t="s">
        <v>222</v>
      </c>
      <c r="B16" s="71" t="n">
        <f aca="false">C143</f>
        <v>180.3585</v>
      </c>
      <c r="D16" s="69"/>
      <c r="E16" s="69"/>
    </row>
    <row r="17" customFormat="false" ht="15" hidden="false" customHeight="false" outlineLevel="0" collapsed="false">
      <c r="A17" s="66" t="s">
        <v>223</v>
      </c>
      <c r="B17" s="69"/>
      <c r="D17" s="69"/>
      <c r="E17" s="69"/>
    </row>
    <row r="18" customFormat="false" ht="15" hidden="false" customHeight="false" outlineLevel="0" collapsed="false">
      <c r="A18" s="66" t="s">
        <v>209</v>
      </c>
      <c r="B18" s="65"/>
      <c r="C18" s="69"/>
      <c r="D18" s="69"/>
      <c r="E18" s="69"/>
    </row>
    <row r="19" customFormat="false" ht="15" hidden="false" customHeight="false" outlineLevel="0" collapsed="false">
      <c r="A19" s="69" t="str">
        <f aca="false">IF(B19="","Unused","key =")</f>
        <v>key =</v>
      </c>
      <c r="B19" s="69" t="n">
        <f aca="false">IF(Locked!Q147="|",ROUND(Locked!N147,0),IF(Locked!Q147="V",ROUND(Locked!N147,-3),""))</f>
        <v>0</v>
      </c>
      <c r="C19" s="69" t="n">
        <f aca="false">IF(B19="","",ROUND(Locked!O147,0))</f>
        <v>170</v>
      </c>
      <c r="D19" s="71" t="n">
        <v>0</v>
      </c>
      <c r="E19" s="71" t="n">
        <f aca="false">(C20-C19)/(B20-B19)</f>
        <v>-0.00394944707740916</v>
      </c>
    </row>
    <row r="20" customFormat="false" ht="15" hidden="false" customHeight="false" outlineLevel="0" collapsed="false">
      <c r="A20" s="69" t="str">
        <f aca="false">IF(B20="","Unused","key =")</f>
        <v>key =</v>
      </c>
      <c r="B20" s="69" t="n">
        <f aca="false">IF(Locked!Q148="|",ROUND(Locked!N148,0),IF(Locked!Q148="V",ROUND(Locked!N148,-3),""))</f>
        <v>2532</v>
      </c>
      <c r="C20" s="69" t="n">
        <f aca="false">IF(B20="","",ROUND(Locked!O148,0))</f>
        <v>160</v>
      </c>
      <c r="D20" s="71" t="n">
        <f aca="false">IF(C20="","",(C20-C19)/(B20-B19))</f>
        <v>-0.00394944707740916</v>
      </c>
      <c r="E20" s="71" t="n">
        <f aca="false">IF(C20="","",IF(C21="",0,(C21-C20)/(B21-B20)))</f>
        <v>-0.00374531835205993</v>
      </c>
    </row>
    <row r="21" customFormat="false" ht="15" hidden="false" customHeight="false" outlineLevel="0" collapsed="false">
      <c r="A21" s="69" t="str">
        <f aca="false">IF(B21="","Unused","key =")</f>
        <v>key =</v>
      </c>
      <c r="B21" s="69" t="n">
        <f aca="false">IF(Locked!Q149="|",ROUND(Locked!N149,0),IF(Locked!Q149="V",ROUND(Locked!N149,-3),""))</f>
        <v>4935</v>
      </c>
      <c r="C21" s="69" t="n">
        <f aca="false">IF(B21="","",ROUND(Locked!O149,0))</f>
        <v>151</v>
      </c>
      <c r="D21" s="71" t="n">
        <f aca="false">IF(C21="","",(C21-C20)/(B21-B20))</f>
        <v>-0.00374531835205993</v>
      </c>
      <c r="E21" s="71" t="n">
        <f aca="false">IF(C21="","",IF(C22="",0,(C22-C21)/(B22-B21)))</f>
        <v>-0.00346470333477696</v>
      </c>
    </row>
    <row r="22" customFormat="false" ht="15" hidden="false" customHeight="false" outlineLevel="0" collapsed="false">
      <c r="A22" s="69" t="str">
        <f aca="false">IF(B22="","Unused","key =")</f>
        <v>key =</v>
      </c>
      <c r="B22" s="69" t="n">
        <f aca="false">IF(Locked!Q150="|",ROUND(Locked!N150,0),IF(Locked!Q150="V",ROUND(Locked!N150,-3),""))</f>
        <v>7244</v>
      </c>
      <c r="C22" s="69" t="n">
        <f aca="false">IF(B22="","",ROUND(Locked!O150,0))</f>
        <v>143</v>
      </c>
      <c r="D22" s="71" t="n">
        <f aca="false">IF(C22="","",(C22-C21)/(B22-B21))</f>
        <v>-0.00346470333477696</v>
      </c>
      <c r="E22" s="71" t="n">
        <f aca="false">IF(C22="","",IF(C23="",0,(C23-C22)/(B23-B22)))</f>
        <v>-0.00362483008608971</v>
      </c>
    </row>
    <row r="23" customFormat="false" ht="15" hidden="false" customHeight="false" outlineLevel="0" collapsed="false">
      <c r="A23" s="69" t="str">
        <f aca="false">IF(B23="","Unused","key =")</f>
        <v>key =</v>
      </c>
      <c r="B23" s="69" t="n">
        <f aca="false">IF(Locked!Q151="|",ROUND(Locked!N151,0),IF(Locked!Q151="V",ROUND(Locked!N151,-3),""))</f>
        <v>9451</v>
      </c>
      <c r="C23" s="69" t="n">
        <f aca="false">IF(B23="","",ROUND(Locked!O151,0))</f>
        <v>135</v>
      </c>
      <c r="D23" s="71" t="n">
        <f aca="false">IF(C23="","",(C23-C22)/(B23-B22))</f>
        <v>-0.00362483008608971</v>
      </c>
      <c r="E23" s="71" t="n">
        <f aca="false">IF(C23="","",IF(C24="",0,(C24-C23)/(B24-B23)))</f>
        <v>-0.00331439393939394</v>
      </c>
    </row>
    <row r="24" customFormat="false" ht="15" hidden="false" customHeight="false" outlineLevel="0" collapsed="false">
      <c r="A24" s="69" t="str">
        <f aca="false">IF(B24="","Unused","key =")</f>
        <v>key =</v>
      </c>
      <c r="B24" s="69" t="n">
        <f aca="false">IF(Locked!Q152="|",ROUND(Locked!N152,0),IF(Locked!Q152="V",ROUND(Locked!N152,-3),""))</f>
        <v>11563</v>
      </c>
      <c r="C24" s="69" t="n">
        <f aca="false">IF(B24="","",ROUND(Locked!O152,0))</f>
        <v>128</v>
      </c>
      <c r="D24" s="71" t="n">
        <f aca="false">IF(C24="","",(C24-C23)/(B24-B23))</f>
        <v>-0.00331439393939394</v>
      </c>
      <c r="E24" s="71" t="n">
        <f aca="false">IF(C24="","",IF(C25="",0,(C25-C24)/(B25-B24)))</f>
        <v>-0.00346191889218595</v>
      </c>
    </row>
    <row r="25" customFormat="false" ht="15" hidden="false" customHeight="false" outlineLevel="0" collapsed="false">
      <c r="A25" s="69" t="str">
        <f aca="false">IF(B25="","Unused","key =")</f>
        <v>key =</v>
      </c>
      <c r="B25" s="69" t="n">
        <f aca="false">IF(Locked!Q153="|",ROUND(Locked!N153,0),IF(Locked!Q153="V",ROUND(Locked!N153,-3),""))</f>
        <v>13585</v>
      </c>
      <c r="C25" s="69" t="n">
        <f aca="false">IF(B25="","",ROUND(Locked!O153,0))</f>
        <v>121</v>
      </c>
      <c r="D25" s="71" t="n">
        <f aca="false">IF(C25="","",(C25-C24)/(B25-B24))</f>
        <v>-0.00346191889218595</v>
      </c>
      <c r="E25" s="71" t="n">
        <f aca="false">IF(C25="","",IF(C26="",0,(C26-C25)/(B26-B25)))</f>
        <v>-0.00308959835221421</v>
      </c>
    </row>
    <row r="26" customFormat="false" ht="15" hidden="false" customHeight="false" outlineLevel="0" collapsed="false">
      <c r="A26" s="69" t="str">
        <f aca="false">IF(B26="","Unused","key =")</f>
        <v>key =</v>
      </c>
      <c r="B26" s="69" t="n">
        <f aca="false">IF(Locked!Q154="|",ROUND(Locked!N154,0),IF(Locked!Q154="V",ROUND(Locked!N154,-3),""))</f>
        <v>15527</v>
      </c>
      <c r="C26" s="69" t="n">
        <f aca="false">IF(B26="","",ROUND(Locked!O154,0))</f>
        <v>115</v>
      </c>
      <c r="D26" s="71" t="n">
        <f aca="false">IF(C26="","",(C26-C25)/(B26-B25))</f>
        <v>-0.00308959835221421</v>
      </c>
      <c r="E26" s="71" t="n">
        <f aca="false">IF(C26="","",IF(C27="",0,(C27-C26)/(B27-B26)))</f>
        <v>-0.00267665952890792</v>
      </c>
    </row>
    <row r="27" customFormat="false" ht="15" hidden="false" customHeight="false" outlineLevel="0" collapsed="false">
      <c r="A27" s="69" t="str">
        <f aca="false">IF(B27="","Unused","key =")</f>
        <v>key =</v>
      </c>
      <c r="B27" s="69" t="n">
        <f aca="false">IF(Locked!Q155="|",ROUND(Locked!N155,0),IF(Locked!Q155="V",ROUND(Locked!N155,-3),""))</f>
        <v>17395</v>
      </c>
      <c r="C27" s="69" t="n">
        <f aca="false">IF(B27="","",ROUND(Locked!O155,0))</f>
        <v>110</v>
      </c>
      <c r="D27" s="71" t="n">
        <f aca="false">IF(C27="","",(C27-C26)/(B27-B26))</f>
        <v>-0.00267665952890792</v>
      </c>
      <c r="E27" s="71" t="n">
        <f aca="false">IF(C27="","",IF(C28="",0,(C28-C27)/(B28-B27)))</f>
        <v>-0.00277315585135885</v>
      </c>
    </row>
    <row r="28" customFormat="false" ht="15" hidden="false" customHeight="false" outlineLevel="0" collapsed="false">
      <c r="A28" s="69" t="str">
        <f aca="false">IF(B28="","Unused","key =")</f>
        <v>key =</v>
      </c>
      <c r="B28" s="69" t="n">
        <f aca="false">IF(Locked!Q156="|",ROUND(Locked!N156,0),IF(Locked!Q156="V",ROUND(Locked!N156,-3),""))</f>
        <v>19198</v>
      </c>
      <c r="C28" s="69" t="n">
        <f aca="false">IF(B28="","",ROUND(Locked!O156,0))</f>
        <v>105</v>
      </c>
      <c r="D28" s="71" t="n">
        <f aca="false">IF(C28="","",(C28-C27)/(B28-B27))</f>
        <v>-0.00277315585135885</v>
      </c>
      <c r="E28" s="71" t="n">
        <f aca="false">IF(C28="","",IF(C29="",0,(C29-C28)/(B29-B28)))</f>
        <v>-0.00225606316976875</v>
      </c>
    </row>
    <row r="29" customFormat="false" ht="15" hidden="false" customHeight="false" outlineLevel="0" collapsed="false">
      <c r="A29" s="69" t="str">
        <f aca="false">IF(B29="","Unused","key =")</f>
        <v>key =</v>
      </c>
      <c r="B29" s="69" t="n">
        <f aca="false">IF(Locked!Q157="|",ROUND(Locked!N157,0),IF(Locked!Q157="V",ROUND(Locked!N157,-3),""))</f>
        <v>20971</v>
      </c>
      <c r="C29" s="69" t="n">
        <f aca="false">IF(B29="","",ROUND(Locked!O157,0))</f>
        <v>101</v>
      </c>
      <c r="D29" s="71" t="n">
        <f aca="false">IF(C29="","",(C29-C28)/(B29-B28))</f>
        <v>-0.00225606316976875</v>
      </c>
      <c r="E29" s="71" t="n">
        <f aca="false">IF(C29="","",IF(C30="",0,(C30-C29)/(B30-B29)))</f>
        <v>-0.00236266981689309</v>
      </c>
    </row>
    <row r="30" customFormat="false" ht="15" hidden="false" customHeight="false" outlineLevel="0" collapsed="false">
      <c r="A30" s="69" t="str">
        <f aca="false">IF(B30="","Unused","key =")</f>
        <v>key =</v>
      </c>
      <c r="B30" s="69" t="n">
        <f aca="false">IF(Locked!Q158="|",ROUND(Locked!N158,0),IF(Locked!Q158="V",ROUND(Locked!N158,-3),""))</f>
        <v>22664</v>
      </c>
      <c r="C30" s="69" t="n">
        <f aca="false">IF(B30="","",ROUND(Locked!O158,0))</f>
        <v>97</v>
      </c>
      <c r="D30" s="71" t="n">
        <f aca="false">IF(C30="","",(C30-C29)/(B30-B29))</f>
        <v>-0.00236266981689309</v>
      </c>
      <c r="E30" s="71" t="n">
        <f aca="false">IF(C30="","",IF(C31="",0,(C31-C30)/(B31-B30)))</f>
        <v>-0.00182038834951456</v>
      </c>
    </row>
    <row r="31" customFormat="false" ht="15" hidden="false" customHeight="false" outlineLevel="0" collapsed="false">
      <c r="A31" s="69" t="str">
        <f aca="false">IF(B31="","Unused","key =")</f>
        <v>key =</v>
      </c>
      <c r="B31" s="69" t="n">
        <f aca="false">IF(Locked!Q159="|",ROUND(Locked!N159,0),IF(Locked!Q159="V",ROUND(Locked!N159,-3),""))</f>
        <v>24312</v>
      </c>
      <c r="C31" s="69" t="n">
        <f aca="false">IF(B31="","",ROUND(Locked!O159,0))</f>
        <v>94</v>
      </c>
      <c r="D31" s="71" t="n">
        <f aca="false">IF(C31="","",(C31-C30)/(B31-B30))</f>
        <v>-0.00182038834951456</v>
      </c>
      <c r="E31" s="71" t="n">
        <f aca="false">IF(C31="","",IF(C32="",0,(C32-C31)/(B32-B31)))</f>
        <v>-0.00186451211932878</v>
      </c>
    </row>
    <row r="32" customFormat="false" ht="15" hidden="false" customHeight="false" outlineLevel="0" collapsed="false">
      <c r="A32" s="69" t="str">
        <f aca="false">IF(B32="","Unused","key =")</f>
        <v>key =</v>
      </c>
      <c r="B32" s="69" t="n">
        <f aca="false">IF(Locked!Q160="|",ROUND(Locked!N160,0),IF(Locked!Q160="V",ROUND(Locked!N160,-3),""))</f>
        <v>25921</v>
      </c>
      <c r="C32" s="69" t="n">
        <f aca="false">IF(B32="","",ROUND(Locked!O160,0))</f>
        <v>91</v>
      </c>
      <c r="D32" s="71" t="n">
        <f aca="false">IF(C32="","",(C32-C31)/(B32-B31))</f>
        <v>-0.00186451211932878</v>
      </c>
      <c r="E32" s="71" t="n">
        <f aca="false">IF(C32="","",IF(C33="",0,(C33-C32)/(B33-B32)))</f>
        <v>-0.00126903553299492</v>
      </c>
    </row>
    <row r="33" customFormat="false" ht="15" hidden="false" customHeight="false" outlineLevel="0" collapsed="false">
      <c r="A33" s="69" t="str">
        <f aca="false">IF(B33="","Unused","key =")</f>
        <v>key =</v>
      </c>
      <c r="B33" s="69" t="n">
        <f aca="false">IF(Locked!Q161="|",ROUND(Locked!N161,0),IF(Locked!Q161="V",ROUND(Locked!N161,-3),""))</f>
        <v>27497</v>
      </c>
      <c r="C33" s="69" t="n">
        <f aca="false">IF(B33="","",ROUND(Locked!O161,0))</f>
        <v>89</v>
      </c>
      <c r="D33" s="71" t="n">
        <f aca="false">IF(C33="","",(C33-C32)/(B33-B32))</f>
        <v>-0.00126903553299492</v>
      </c>
      <c r="E33" s="71" t="n">
        <f aca="false">IF(C33="","",IF(C34="",0,(C34-C33)/(B34-B33)))</f>
        <v>-0.000647249190938511</v>
      </c>
    </row>
    <row r="34" customFormat="false" ht="15" hidden="false" customHeight="false" outlineLevel="0" collapsed="false">
      <c r="A34" s="69" t="str">
        <f aca="false">IF(B34="","Unused","key =")</f>
        <v>key =</v>
      </c>
      <c r="B34" s="69" t="n">
        <f aca="false">IF(Locked!Q162="|",ROUND(Locked!N162,0),IF(Locked!Q162="V",ROUND(Locked!N162,-3),""))</f>
        <v>29042</v>
      </c>
      <c r="C34" s="69" t="n">
        <f aca="false">IF(B34="","",ROUND(Locked!O162,0))</f>
        <v>88</v>
      </c>
      <c r="D34" s="71" t="n">
        <f aca="false">IF(C34="","",(C34-C33)/(B34-B33))</f>
        <v>-0.000647249190938511</v>
      </c>
      <c r="E34" s="71" t="n">
        <f aca="false">IF(C34="","",IF(C35="",0,(C35-C34)/(B35-B34)))</f>
        <v>-0.000657462195923734</v>
      </c>
    </row>
    <row r="35" customFormat="false" ht="15" hidden="false" customHeight="false" outlineLevel="0" collapsed="false">
      <c r="A35" s="69" t="str">
        <f aca="false">IF(B35="","Unused","key =")</f>
        <v>key =</v>
      </c>
      <c r="B35" s="69" t="n">
        <f aca="false">IF(Locked!Q163="|",ROUND(Locked!N163,0),IF(Locked!Q163="V",ROUND(Locked!N163,-3),""))</f>
        <v>30563</v>
      </c>
      <c r="C35" s="69" t="n">
        <f aca="false">IF(B35="","",ROUND(Locked!O163,0))</f>
        <v>87</v>
      </c>
      <c r="D35" s="71" t="n">
        <f aca="false">IF(C35="","",(C35-C34)/(B35-B34))</f>
        <v>-0.000657462195923734</v>
      </c>
      <c r="E35" s="71" t="n">
        <f aca="false">IF(C35="","",IF(C36="",0,(C36-C35)/(B36-B35)))</f>
        <v>-0.000662251655629139</v>
      </c>
    </row>
    <row r="36" customFormat="false" ht="15" hidden="false" customHeight="false" outlineLevel="0" collapsed="false">
      <c r="A36" s="69" t="str">
        <f aca="false">IF(B36="","Unused","key =")</f>
        <v>key =</v>
      </c>
      <c r="B36" s="69" t="n">
        <f aca="false">IF(Locked!Q164="|",ROUND(Locked!N164,0),IF(Locked!Q164="V",ROUND(Locked!N164,-3),""))</f>
        <v>32073</v>
      </c>
      <c r="C36" s="69" t="n">
        <f aca="false">IF(B36="","",ROUND(Locked!O164,0))</f>
        <v>86</v>
      </c>
      <c r="D36" s="71" t="n">
        <f aca="false">IF(C36="","",(C36-C35)/(B36-B35))</f>
        <v>-0.000662251655629139</v>
      </c>
      <c r="E36" s="71" t="n">
        <f aca="false">IF(C36="","",IF(C37="",0,(C37-C36)/(B37-B36)))</f>
        <v>0</v>
      </c>
    </row>
    <row r="37" customFormat="false" ht="15" hidden="false" customHeight="false" outlineLevel="0" collapsed="false">
      <c r="A37" s="69" t="str">
        <f aca="false">IF(B37="","Unused","key =")</f>
        <v>key =</v>
      </c>
      <c r="B37" s="69" t="n">
        <f aca="false">IF(Locked!Q165="|",ROUND(Locked!N165,0),IF(Locked!Q165="V",ROUND(Locked!N165,-3),""))</f>
        <v>33563</v>
      </c>
      <c r="C37" s="69" t="n">
        <f aca="false">IF(B37="","",ROUND(Locked!O165,0))</f>
        <v>86</v>
      </c>
      <c r="D37" s="71" t="n">
        <f aca="false">IF(C37="","",(C37-C36)/(B37-B36))</f>
        <v>0</v>
      </c>
      <c r="E37" s="71" t="n">
        <f aca="false">IF(C37="","",IF(C38="",0,(C38-C37)/(B38-B37)))</f>
        <v>0</v>
      </c>
    </row>
    <row r="38" customFormat="false" ht="15" hidden="false" customHeight="false" outlineLevel="0" collapsed="false">
      <c r="A38" s="69" t="str">
        <f aca="false">IF(B38="","Unused","key =")</f>
        <v>key =</v>
      </c>
      <c r="B38" s="105" t="n">
        <f aca="false">IF(Locked!Q166="|",ROUND(Locked!N166,0),IF(Locked!Q166="V",ROUND(Locked!N166,-3),""))</f>
        <v>35035</v>
      </c>
      <c r="C38" s="105" t="n">
        <f aca="false">IF(B38="","",ROUND(Locked!O166,0))</f>
        <v>86</v>
      </c>
      <c r="D38" s="71" t="n">
        <f aca="false">IF(C38="","",(C38-C37)/(B38-B37))</f>
        <v>0</v>
      </c>
      <c r="E38" s="71" t="n">
        <f aca="false">IF(C38="","",IF(C39="",0,(C39-C38)/(B39-B38)))</f>
        <v>0</v>
      </c>
    </row>
    <row r="39" customFormat="false" ht="15" hidden="false" customHeight="false" outlineLevel="0" collapsed="false">
      <c r="A39" s="69" t="str">
        <f aca="false">IF(B39="","Unused","key =")</f>
        <v>key =</v>
      </c>
      <c r="B39" s="105" t="n">
        <f aca="false">IF(Locked!Q167="|",ROUND(Locked!N167,0),IF(Locked!Q167="V",ROUND(Locked!N167,-3),""))</f>
        <v>36486</v>
      </c>
      <c r="C39" s="105" t="n">
        <f aca="false">IF(B39="","",ROUND(Locked!O167,0))</f>
        <v>86</v>
      </c>
      <c r="D39" s="71" t="n">
        <f aca="false">IF(C39="","",(C39-C38)/(B39-B38))</f>
        <v>0</v>
      </c>
      <c r="E39" s="71" t="n">
        <f aca="false">IF(C39="","",IF(C40="",0,(C40-C39)/(B40-B39)))</f>
        <v>0</v>
      </c>
    </row>
    <row r="40" customFormat="false" ht="15" hidden="false" customHeight="false" outlineLevel="0" collapsed="false">
      <c r="A40" s="69" t="str">
        <f aca="false">IF(B40="","Unused","key =")</f>
        <v>key =</v>
      </c>
      <c r="B40" s="105" t="n">
        <f aca="false">IF(Locked!Q168="|",ROUND(Locked!N168,0),IF(Locked!Q168="V",ROUND(Locked!N168,-3),""))</f>
        <v>37903</v>
      </c>
      <c r="C40" s="105" t="n">
        <f aca="false">IF(B40="","",ROUND(Locked!O168,0))</f>
        <v>86</v>
      </c>
      <c r="D40" s="71" t="n">
        <f aca="false">IF(C40="","",(C40-C39)/(B40-B39))</f>
        <v>0</v>
      </c>
      <c r="E40" s="71" t="n">
        <f aca="false">IF(C40="","",IF(C41="",0,(C41-C40)/(B41-B40)))</f>
        <v>0</v>
      </c>
    </row>
    <row r="41" customFormat="false" ht="15" hidden="false" customHeight="false" outlineLevel="0" collapsed="false">
      <c r="A41" s="69" t="str">
        <f aca="false">IF(B41="","Unused","key =")</f>
        <v>key =</v>
      </c>
      <c r="B41" s="105" t="n">
        <f aca="false">IF(Locked!Q169="|",ROUND(Locked!N169,0),IF(Locked!Q169="V",ROUND(Locked!N169,-3),""))</f>
        <v>39297</v>
      </c>
      <c r="C41" s="105" t="n">
        <f aca="false">IF(B41="","",ROUND(Locked!O169,0))</f>
        <v>86</v>
      </c>
      <c r="D41" s="71" t="n">
        <f aca="false">IF(C41="","",(C41-C40)/(B41-B40))</f>
        <v>0</v>
      </c>
      <c r="E41" s="71" t="n">
        <f aca="false">IF(C41="","",IF(C42="",0,(C42-C41)/(B42-B41)))</f>
        <v>0</v>
      </c>
    </row>
    <row r="42" customFormat="false" ht="15" hidden="false" customHeight="false" outlineLevel="0" collapsed="false">
      <c r="A42" s="69" t="str">
        <f aca="false">IF(B42="","Unused","key =")</f>
        <v>key =</v>
      </c>
      <c r="B42" s="105" t="n">
        <f aca="false">IF(Locked!Q170="|",ROUND(Locked!N170,0),IF(Locked!Q170="V",ROUND(Locked!N170,-3),""))</f>
        <v>40666</v>
      </c>
      <c r="C42" s="105" t="n">
        <f aca="false">IF(B42="","",ROUND(Locked!O170,0))</f>
        <v>86</v>
      </c>
      <c r="D42" s="71" t="n">
        <f aca="false">IF(C42="","",(C42-C41)/(B42-B41))</f>
        <v>0</v>
      </c>
      <c r="E42" s="71" t="n">
        <f aca="false">IF(C42="","",IF(C43="",0,(C43-C42)/(B43-B42)))</f>
        <v>0</v>
      </c>
    </row>
    <row r="43" customFormat="false" ht="15" hidden="false" customHeight="false" outlineLevel="0" collapsed="false">
      <c r="A43" s="69" t="str">
        <f aca="false">IF(B43="","Unused","key =")</f>
        <v>key =</v>
      </c>
      <c r="B43" s="105" t="n">
        <f aca="false">IF(Locked!Q171="|",ROUND(Locked!N171,0),IF(Locked!Q171="V",ROUND(Locked!N171,-3),""))</f>
        <v>42011</v>
      </c>
      <c r="C43" s="69" t="n">
        <f aca="false">IF(B43="","",ROUND(Locked!O171,0))</f>
        <v>86</v>
      </c>
      <c r="D43" s="71" t="n">
        <f aca="false">IF(C43="","",(C43-C42)/(B43-B42))</f>
        <v>0</v>
      </c>
      <c r="E43" s="71" t="n">
        <f aca="false">IF(C43="","",IF(C44="",0,(C44-C43)/(B44-B43)))</f>
        <v>0</v>
      </c>
    </row>
    <row r="44" customFormat="false" ht="15" hidden="false" customHeight="false" outlineLevel="0" collapsed="false">
      <c r="A44" s="69" t="str">
        <f aca="false">IF(B44="","Unused","key =")</f>
        <v>key =</v>
      </c>
      <c r="B44" s="69" t="n">
        <f aca="false">IF(Locked!Q172="|",ROUND(Locked!N172,0),IF(Locked!Q172="V",ROUND(Locked!N172,-3),""))</f>
        <v>43333</v>
      </c>
      <c r="C44" s="69" t="n">
        <f aca="false">IF(B44="","",ROUND(Locked!O172,0))</f>
        <v>86</v>
      </c>
      <c r="D44" s="71" t="n">
        <f aca="false">IF(C44="","",(C44-C43)/(B44-B43))</f>
        <v>0</v>
      </c>
      <c r="E44" s="71" t="n">
        <f aca="false">IF(C44="","",IF(C45="",0,(C45-C44)/(B45-B44)))</f>
        <v>0</v>
      </c>
    </row>
    <row r="45" customFormat="false" ht="15" hidden="false" customHeight="false" outlineLevel="0" collapsed="false">
      <c r="A45" s="69" t="str">
        <f aca="false">IF(B45="","Unused","key =")</f>
        <v>key =</v>
      </c>
      <c r="B45" s="105" t="n">
        <f aca="false">IF(Locked!Q173="|",ROUND(Locked!N173,0),IF(Locked!Q173="V",ROUND(Locked!N173,-3),""))</f>
        <v>45000</v>
      </c>
      <c r="C45" s="69" t="n">
        <f aca="false">IF(B45="","",ROUND(Locked!O173,0))</f>
        <v>86</v>
      </c>
      <c r="D45" s="71" t="n">
        <f aca="false">IF(C45="","",(C45-C44)/(B45-B44))</f>
        <v>0</v>
      </c>
      <c r="E45" s="71" t="n">
        <f aca="false">IF(C45="","",IF(C46="",0,(C46-C45)/(B46-B45)))</f>
        <v>0</v>
      </c>
    </row>
    <row r="46" customFormat="false" ht="15" hidden="false" customHeight="false" outlineLevel="0" collapsed="false">
      <c r="A46" s="69" t="str">
        <f aca="false">IF(B46="","Unused","key =")</f>
        <v>Unused</v>
      </c>
      <c r="B46" s="69" t="str">
        <f aca="false">IF(Locked!Q174="|",ROUND(Locked!N174,0),IF(Locked!Q174="V",ROUND(Locked!N174,-3),""))</f>
        <v/>
      </c>
      <c r="C46" s="69" t="str">
        <f aca="false">IF(B46="","",ROUND(Locked!O174,0))</f>
        <v/>
      </c>
      <c r="D46" s="71" t="str">
        <f aca="false">IF(C46="","",(C46-C45)/(B46-B45))</f>
        <v/>
      </c>
      <c r="E46" s="71" t="str">
        <f aca="false">IF(C46="","",IF(C47="",0,(C47-C46)/(B47-B46)))</f>
        <v/>
      </c>
    </row>
    <row r="47" customFormat="false" ht="15" hidden="false" customHeight="false" outlineLevel="0" collapsed="false">
      <c r="A47" s="69" t="str">
        <f aca="false">IF(B47="","Unused","key =")</f>
        <v>Unused</v>
      </c>
      <c r="B47" s="69" t="str">
        <f aca="false">IF(Locked!Q175="|",ROUND(Locked!N175,0),IF(Locked!Q175="V",ROUND(Locked!N175,-3),""))</f>
        <v/>
      </c>
      <c r="C47" s="69" t="str">
        <f aca="false">IF(B47="","",ROUND(Locked!O175,0))</f>
        <v/>
      </c>
      <c r="D47" s="71" t="str">
        <f aca="false">IF(C47="","",(C47-C46)/(B47-B46))</f>
        <v/>
      </c>
      <c r="E47" s="71" t="str">
        <f aca="false">IF(C47="","",IF(C48="",0,(C48-C47)/(B48-B47)))</f>
        <v/>
      </c>
    </row>
    <row r="48" customFormat="false" ht="15" hidden="false" customHeight="false" outlineLevel="0" collapsed="false">
      <c r="A48" s="69" t="str">
        <f aca="false">IF(B48="","Unused","key =")</f>
        <v>Unused</v>
      </c>
      <c r="B48" s="69" t="str">
        <f aca="false">IF(Locked!Q176="|",ROUND(Locked!N176,0),IF(Locked!Q176="V",ROUND(Locked!N176,-3),""))</f>
        <v/>
      </c>
      <c r="C48" s="69" t="str">
        <f aca="false">IF(B48="","",ROUND(Locked!O176,0))</f>
        <v/>
      </c>
      <c r="D48" s="71" t="str">
        <f aca="false">IF(C48="","",(C48-C47)/(B48-B47))</f>
        <v/>
      </c>
      <c r="E48" s="71" t="str">
        <f aca="false">IF(C48="","",IF(C49="",0,(C49-C48)/(B49-B48)))</f>
        <v/>
      </c>
    </row>
    <row r="49" customFormat="false" ht="15" hidden="false" customHeight="false" outlineLevel="0" collapsed="false">
      <c r="A49" s="69" t="str">
        <f aca="false">IF(B49="","Unused","key =")</f>
        <v>Unused</v>
      </c>
      <c r="B49" s="69" t="str">
        <f aca="false">IF(Locked!Q177="|",ROUND(Locked!N177,0),IF(Locked!Q177="V",ROUND(Locked!N177,-3),""))</f>
        <v/>
      </c>
      <c r="C49" s="69" t="str">
        <f aca="false">IF(B49="","",ROUND(Locked!O177,0))</f>
        <v/>
      </c>
      <c r="D49" s="71" t="str">
        <f aca="false">IF(C49="","",(C49-C48)/(B49-B48))</f>
        <v/>
      </c>
      <c r="E49" s="71" t="str">
        <f aca="false">IF(C49="","",IF(C50="",0,(C50-C49)/(B50-B49)))</f>
        <v/>
      </c>
    </row>
    <row r="50" customFormat="false" ht="15" hidden="false" customHeight="false" outlineLevel="0" collapsed="false">
      <c r="A50" s="69" t="str">
        <f aca="false">IF(B50="","Unused","key =")</f>
        <v>Unused</v>
      </c>
      <c r="B50" s="69" t="str">
        <f aca="false">IF(Locked!Q178="|",ROUND(Locked!N178,0),IF(Locked!Q178="V",ROUND(Locked!N178,-3),""))</f>
        <v/>
      </c>
      <c r="C50" s="69" t="str">
        <f aca="false">IF(B50="","",ROUND(Locked!O178,0))</f>
        <v/>
      </c>
      <c r="D50" s="71" t="str">
        <f aca="false">IF(C50="","",(C50-C49)/(B50-B49))</f>
        <v/>
      </c>
      <c r="E50" s="71" t="str">
        <f aca="false">IF(C50="","",IF(C51="",0,(C51-C50)/(B51-B50)))</f>
        <v/>
      </c>
    </row>
    <row r="51" customFormat="false" ht="15" hidden="false" customHeight="false" outlineLevel="0" collapsed="false">
      <c r="A51" s="69" t="str">
        <f aca="false">IF(B51="","Unused","key =")</f>
        <v>Unused</v>
      </c>
      <c r="B51" s="69" t="str">
        <f aca="false">IF(Locked!Q179="|",ROUND(Locked!N179,0),IF(Locked!Q179="V",ROUND(Locked!N179,-3),""))</f>
        <v/>
      </c>
      <c r="C51" s="69" t="str">
        <f aca="false">IF(B51="","",ROUND(Locked!O179,0))</f>
        <v/>
      </c>
      <c r="D51" s="71" t="str">
        <f aca="false">IF(C51="","",(C51-C50)/(B51-B50))</f>
        <v/>
      </c>
      <c r="E51" s="71" t="str">
        <f aca="false">IF(C51="","",IF(C52="",0,(C52-C51)/(B52-B51)))</f>
        <v/>
      </c>
    </row>
    <row r="52" customFormat="false" ht="15" hidden="false" customHeight="false" outlineLevel="0" collapsed="false">
      <c r="A52" s="69" t="str">
        <f aca="false">IF(B52="","Unused","key =")</f>
        <v>Unused</v>
      </c>
      <c r="B52" s="69" t="str">
        <f aca="false">IF(Locked!Q180="|",ROUND(Locked!N180,0),IF(Locked!Q180="V",ROUND(Locked!N180,-3),""))</f>
        <v/>
      </c>
      <c r="C52" s="69" t="str">
        <f aca="false">IF(B52="","",ROUND(Locked!O180,0))</f>
        <v/>
      </c>
      <c r="D52" s="71" t="str">
        <f aca="false">IF(C52="","",(C52-C51)/(B52-B51))</f>
        <v/>
      </c>
      <c r="E52" s="71" t="str">
        <f aca="false">IF(C52="","",IF(C53="",0,(C53-C52)/(B53-B52)))</f>
        <v/>
      </c>
    </row>
    <row r="53" customFormat="false" ht="15" hidden="false" customHeight="false" outlineLevel="0" collapsed="false">
      <c r="A53" s="69" t="str">
        <f aca="false">IF(B53="","Unused","key =")</f>
        <v>Unused</v>
      </c>
      <c r="B53" s="69" t="str">
        <f aca="false">IF(Locked!Q181="|",ROUND(Locked!N181,0),IF(Locked!Q181="V",ROUND(Locked!N181,-3),""))</f>
        <v/>
      </c>
      <c r="C53" s="69" t="str">
        <f aca="false">IF(B53="","",ROUND(Locked!O181,0))</f>
        <v/>
      </c>
      <c r="D53" s="71" t="str">
        <f aca="false">IF(C53="","",(C53-C52)/(B53-B52))</f>
        <v/>
      </c>
      <c r="E53" s="71" t="str">
        <f aca="false">IF(C53="","",IF(C54="",0,(C54-C53)/(B54-B53)))</f>
        <v/>
      </c>
    </row>
    <row r="54" customFormat="false" ht="15" hidden="false" customHeight="false" outlineLevel="0" collapsed="false">
      <c r="A54" s="69" t="str">
        <f aca="false">IF(B54="","Unused","key =")</f>
        <v>Unused</v>
      </c>
      <c r="B54" s="69" t="str">
        <f aca="false">IF(Locked!Q182="|",ROUND(Locked!N182,0),IF(Locked!Q182="V",ROUND(Locked!N182,-3),""))</f>
        <v/>
      </c>
      <c r="C54" s="69" t="str">
        <f aca="false">IF(B54="","",ROUND(Locked!O182,0))</f>
        <v/>
      </c>
      <c r="D54" s="71" t="str">
        <f aca="false">IF(C54="","",(C54-C53)/(B54-B53))</f>
        <v/>
      </c>
      <c r="E54" s="71" t="str">
        <f aca="false">IF(C54="","",IF(C55="",0,(C55-C54)/(B55-B54)))</f>
        <v/>
      </c>
    </row>
    <row r="55" customFormat="false" ht="15" hidden="false" customHeight="false" outlineLevel="0" collapsed="false">
      <c r="A55" s="69" t="str">
        <f aca="false">IF(B55="","Unused","key =")</f>
        <v>Unused</v>
      </c>
      <c r="B55" s="69" t="str">
        <f aca="false">IF(Locked!Q183="|",ROUND(Locked!N183,0),IF(Locked!Q183="V",ROUND(Locked!N183,-3),""))</f>
        <v/>
      </c>
      <c r="C55" s="69" t="str">
        <f aca="false">IF(B55="","",ROUND(Locked!O183,0))</f>
        <v/>
      </c>
      <c r="D55" s="71" t="str">
        <f aca="false">IF(C55="","",(C55-C54)/(B55-B54))</f>
        <v/>
      </c>
      <c r="E55" s="71" t="str">
        <f aca="false">IF(C55="","",IF(C56="",0,(C56-C55)/(B56-B55)))</f>
        <v/>
      </c>
    </row>
    <row r="56" customFormat="false" ht="15" hidden="false" customHeight="false" outlineLevel="0" collapsed="false">
      <c r="A56" s="69" t="str">
        <f aca="false">IF(B56="","Unused","key =")</f>
        <v>Unused</v>
      </c>
      <c r="B56" s="69" t="str">
        <f aca="false">IF(Locked!Q184="|",ROUND(Locked!N184,0),IF(Locked!Q184="V",ROUND(Locked!N184,-3),""))</f>
        <v/>
      </c>
      <c r="C56" s="69" t="str">
        <f aca="false">IF(B56="","",ROUND(Locked!O184,0))</f>
        <v/>
      </c>
      <c r="D56" s="71" t="str">
        <f aca="false">IF(C56="","",(C56-C55)/(B56-B55))</f>
        <v/>
      </c>
      <c r="E56" s="71" t="str">
        <f aca="false">IF(C56="","",IF(C57="",0,(C57-C56)/(B57-B56)))</f>
        <v/>
      </c>
    </row>
    <row r="57" customFormat="false" ht="15" hidden="false" customHeight="false" outlineLevel="0" collapsed="false">
      <c r="A57" s="69" t="str">
        <f aca="false">IF(B57="","Unused","key =")</f>
        <v>Unused</v>
      </c>
      <c r="B57" s="69" t="str">
        <f aca="false">IF(Locked!Q185="|",ROUND(Locked!N185,0),IF(Locked!Q185="V",ROUND(Locked!N185,-3),""))</f>
        <v/>
      </c>
      <c r="C57" s="69" t="str">
        <f aca="false">IF(B57="","",ROUND(Locked!O185,0))</f>
        <v/>
      </c>
      <c r="D57" s="71" t="str">
        <f aca="false">IF(C57="","",(C57-C56)/(B57-B56))</f>
        <v/>
      </c>
      <c r="E57" s="71" t="str">
        <f aca="false">IF(C57="","",IF(C58="",0,(C58-C57)/(B58-B57)))</f>
        <v/>
      </c>
    </row>
    <row r="58" customFormat="false" ht="15" hidden="false" customHeight="false" outlineLevel="0" collapsed="false">
      <c r="A58" s="69" t="str">
        <f aca="false">IF(B58="","Unused","key =")</f>
        <v>Unused</v>
      </c>
      <c r="B58" s="69" t="str">
        <f aca="false">IF(Locked!Q186="|",ROUND(Locked!N186,0),IF(Locked!Q186="V",ROUND(Locked!N186,-3),""))</f>
        <v/>
      </c>
      <c r="C58" s="69" t="str">
        <f aca="false">IF(B58="","",ROUND(Locked!O186,0))</f>
        <v/>
      </c>
      <c r="D58" s="71" t="str">
        <f aca="false">IF(C58="","",(C58-C57)/(B58-B57))</f>
        <v/>
      </c>
      <c r="E58" s="71" t="str">
        <f aca="false">IF(C58="","",IF(C59="",0,(C59-C58)/(B59-B58)))</f>
        <v/>
      </c>
    </row>
    <row r="59" customFormat="false" ht="15" hidden="false" customHeight="false" outlineLevel="0" collapsed="false">
      <c r="A59" s="69" t="str">
        <f aca="false">IF(B59="","Unused","key =")</f>
        <v>Unused</v>
      </c>
      <c r="B59" s="69" t="str">
        <f aca="false">IF(Locked!Q187="|",ROUND(Locked!N187,0),IF(Locked!Q187="V",ROUND(Locked!N187,-3),""))</f>
        <v/>
      </c>
      <c r="C59" s="69" t="str">
        <f aca="false">IF(B59="","",ROUND(Locked!O187,0))</f>
        <v/>
      </c>
      <c r="D59" s="71" t="str">
        <f aca="false">IF(C59="","",(C59-C58)/(B59-B58))</f>
        <v/>
      </c>
      <c r="E59" s="71" t="str">
        <f aca="false">IF(C59="","",IF(C60="",0,(C60-C59)/(B60-B59)))</f>
        <v/>
      </c>
    </row>
    <row r="60" customFormat="false" ht="15" hidden="false" customHeight="false" outlineLevel="0" collapsed="false">
      <c r="A60" s="69" t="str">
        <f aca="false">IF(B60="","Unused","key =")</f>
        <v>Unused</v>
      </c>
      <c r="B60" s="69" t="str">
        <f aca="false">IF(Locked!Q188="|",ROUND(Locked!N188,0),IF(Locked!Q188="V",ROUND(Locked!N188,-3),""))</f>
        <v/>
      </c>
      <c r="C60" s="69" t="str">
        <f aca="false">IF(B60="","",ROUND(Locked!O188,0))</f>
        <v/>
      </c>
      <c r="D60" s="71" t="str">
        <f aca="false">IF(C60="","",(C60-C59)/(B60-B59))</f>
        <v/>
      </c>
      <c r="E60" s="71" t="str">
        <f aca="false">IF(C60="","",IF(C61="",0,(C61-C60)/(B61-B60)))</f>
        <v/>
      </c>
    </row>
    <row r="61" customFormat="false" ht="15" hidden="false" customHeight="false" outlineLevel="0" collapsed="false">
      <c r="A61" s="69" t="str">
        <f aca="false">IF(B61="","Unused","key =")</f>
        <v>Unused</v>
      </c>
      <c r="B61" s="69" t="str">
        <f aca="false">IF(Locked!Q189="|",ROUND(Locked!N189,0),IF(Locked!Q189="V",ROUND(Locked!N189,-3),""))</f>
        <v/>
      </c>
      <c r="C61" s="69" t="str">
        <f aca="false">IF(B61="","",ROUND(Locked!O189,0))</f>
        <v/>
      </c>
      <c r="D61" s="71" t="str">
        <f aca="false">IF(C61="","",(C61-C60)/(B61-B60))</f>
        <v/>
      </c>
      <c r="E61" s="71" t="str">
        <f aca="false">IF(C61="","",IF(C62="",0,(C62-C61)/(B62-B61)))</f>
        <v/>
      </c>
    </row>
    <row r="62" customFormat="false" ht="15" hidden="false" customHeight="false" outlineLevel="0" collapsed="false">
      <c r="A62" s="66" t="s">
        <v>212</v>
      </c>
      <c r="B62" s="69"/>
      <c r="C62" s="69"/>
      <c r="D62" s="71"/>
      <c r="E62" s="71"/>
    </row>
    <row r="63" customFormat="false" ht="15" hidden="false" customHeight="false" outlineLevel="0" collapsed="false">
      <c r="A63" s="66" t="s">
        <v>226</v>
      </c>
      <c r="B63" s="69"/>
      <c r="C63" s="69"/>
      <c r="D63" s="71"/>
      <c r="E63" s="71"/>
    </row>
    <row r="64" customFormat="false" ht="15" hidden="false" customHeight="false" outlineLevel="0" collapsed="false">
      <c r="A64" s="66" t="s">
        <v>209</v>
      </c>
      <c r="B64" s="69"/>
      <c r="C64" s="69"/>
      <c r="D64" s="71"/>
      <c r="E64" s="71"/>
    </row>
    <row r="65" customFormat="false" ht="15" hidden="false" customHeight="false" outlineLevel="0" collapsed="false">
      <c r="A65" s="69" t="str">
        <f aca="false">IF(B65="","Unused","key =")</f>
        <v>key =</v>
      </c>
      <c r="B65" s="69" t="n">
        <f aca="false">IF(Locked!Q147="|",ROUND(Locked!N147,0),IF(Locked!Q147="V",ROUND(Locked!N147,-3),""))</f>
        <v>0</v>
      </c>
      <c r="C65" s="70" t="n">
        <f aca="false">IF(B65="","",ROUND(Locked!P147,3))</f>
        <v>1</v>
      </c>
      <c r="D65" s="71" t="n">
        <v>0</v>
      </c>
      <c r="E65" s="71" t="n">
        <f aca="false">(C66-C65)/(B66-B65)</f>
        <v>-3.83096366508689E-005</v>
      </c>
    </row>
    <row r="66" customFormat="false" ht="15" hidden="false" customHeight="false" outlineLevel="0" collapsed="false">
      <c r="A66" s="69" t="str">
        <f aca="false">IF(B66="","Unused","key =")</f>
        <v>key =</v>
      </c>
      <c r="B66" s="69" t="n">
        <f aca="false">IF(Locked!Q148="|",ROUND(Locked!N148,0),IF(Locked!Q148="V",ROUND(Locked!N148,-3),""))</f>
        <v>2532</v>
      </c>
      <c r="C66" s="70" t="n">
        <f aca="false">IF(B66="","",ROUND(Locked!P148,3))</f>
        <v>0.903</v>
      </c>
      <c r="D66" s="71" t="n">
        <f aca="false">IF(C66="","",(C66-C65)/(B66-B65))</f>
        <v>-3.83096366508689E-005</v>
      </c>
      <c r="E66" s="71" t="n">
        <f aca="false">IF(C66="","",IF(C67="",0,(C67-C66)/(B67-B66)))</f>
        <v>9.98751560549314E-006</v>
      </c>
    </row>
    <row r="67" customFormat="false" ht="15" hidden="false" customHeight="false" outlineLevel="0" collapsed="false">
      <c r="A67" s="69" t="str">
        <f aca="false">IF(B67="","Unused","key =")</f>
        <v>key =</v>
      </c>
      <c r="B67" s="69" t="n">
        <f aca="false">IF(Locked!Q149="|",ROUND(Locked!N149,0),IF(Locked!Q149="V",ROUND(Locked!N149,-3),""))</f>
        <v>4935</v>
      </c>
      <c r="C67" s="70" t="n">
        <f aca="false">IF(B67="","",ROUND(Locked!P149,3))</f>
        <v>0.927</v>
      </c>
      <c r="D67" s="71" t="n">
        <f aca="false">IF(C67="","",(C67-C66)/(B67-B66))</f>
        <v>9.98751560549314E-006</v>
      </c>
      <c r="E67" s="71" t="n">
        <f aca="false">IF(C67="","",IF(C68="",0,(C68-C67)/(B68-B67)))</f>
        <v>-6.06323083585969E-006</v>
      </c>
    </row>
    <row r="68" customFormat="false" ht="15" hidden="false" customHeight="false" outlineLevel="0" collapsed="false">
      <c r="A68" s="69" t="str">
        <f aca="false">IF(B68="","Unused","key =")</f>
        <v>key =</v>
      </c>
      <c r="B68" s="69" t="n">
        <f aca="false">IF(Locked!Q150="|",ROUND(Locked!N150,0),IF(Locked!Q150="V",ROUND(Locked!N150,-3),""))</f>
        <v>7244</v>
      </c>
      <c r="C68" s="70" t="n">
        <f aca="false">IF(B68="","",ROUND(Locked!P150,3))</f>
        <v>0.913</v>
      </c>
      <c r="D68" s="71" t="n">
        <f aca="false">IF(C68="","",(C68-C67)/(B68-B67))</f>
        <v>-6.06323083585969E-006</v>
      </c>
      <c r="E68" s="71" t="n">
        <f aca="false">IF(C68="","",IF(C69="",0,(C69-C68)/(B69-B68)))</f>
        <v>-6.79655641141822E-006</v>
      </c>
    </row>
    <row r="69" customFormat="false" ht="15" hidden="false" customHeight="false" outlineLevel="0" collapsed="false">
      <c r="A69" s="69" t="str">
        <f aca="false">IF(B69="","Unused","key =")</f>
        <v>key =</v>
      </c>
      <c r="B69" s="69" t="n">
        <f aca="false">IF(Locked!Q151="|",ROUND(Locked!N151,0),IF(Locked!Q151="V",ROUND(Locked!N151,-3),""))</f>
        <v>9451</v>
      </c>
      <c r="C69" s="70" t="n">
        <f aca="false">IF(B69="","",ROUND(Locked!P151,3))</f>
        <v>0.898</v>
      </c>
      <c r="D69" s="71" t="n">
        <f aca="false">IF(C69="","",(C69-C68)/(B69-B68))</f>
        <v>-6.79655641141822E-006</v>
      </c>
      <c r="E69" s="71" t="n">
        <f aca="false">IF(C69="","",IF(C70="",0,(C70-C69)/(B70-B69)))</f>
        <v>-7.57575757575758E-006</v>
      </c>
    </row>
    <row r="70" customFormat="false" ht="15" hidden="false" customHeight="false" outlineLevel="0" collapsed="false">
      <c r="A70" s="69" t="str">
        <f aca="false">IF(B70="","Unused","key =")</f>
        <v>key =</v>
      </c>
      <c r="B70" s="69" t="n">
        <f aca="false">IF(Locked!Q152="|",ROUND(Locked!N152,0),IF(Locked!Q152="V",ROUND(Locked!N152,-3),""))</f>
        <v>11563</v>
      </c>
      <c r="C70" s="70" t="n">
        <f aca="false">IF(B70="","",ROUND(Locked!P152,3))</f>
        <v>0.882</v>
      </c>
      <c r="D70" s="71" t="n">
        <f aca="false">IF(C70="","",(C70-C69)/(B70-B69))</f>
        <v>-7.57575757575758E-006</v>
      </c>
      <c r="E70" s="71" t="n">
        <f aca="false">IF(C70="","",IF(C71="",0,(C71-C70)/(B71-B70)))</f>
        <v>-7.41839762611277E-006</v>
      </c>
    </row>
    <row r="71" customFormat="false" ht="15" hidden="false" customHeight="false" outlineLevel="0" collapsed="false">
      <c r="A71" s="69" t="str">
        <f aca="false">IF(B71="","Unused","key =")</f>
        <v>key =</v>
      </c>
      <c r="B71" s="69" t="n">
        <f aca="false">IF(Locked!Q153="|",ROUND(Locked!N153,0),IF(Locked!Q153="V",ROUND(Locked!N153,-3),""))</f>
        <v>13585</v>
      </c>
      <c r="C71" s="70" t="n">
        <f aca="false">IF(B71="","",ROUND(Locked!P153,3))</f>
        <v>0.867</v>
      </c>
      <c r="D71" s="71" t="n">
        <f aca="false">IF(C71="","",(C71-C70)/(B71-B70))</f>
        <v>-7.41839762611277E-006</v>
      </c>
      <c r="E71" s="71" t="n">
        <f aca="false">IF(C71="","",IF(C72="",0,(C72-C71)/(B72-B71)))</f>
        <v>-6.17919670442843E-006</v>
      </c>
    </row>
    <row r="72" customFormat="false" ht="15" hidden="false" customHeight="false" outlineLevel="0" collapsed="false">
      <c r="A72" s="69" t="str">
        <f aca="false">IF(B72="","Unused","key =")</f>
        <v>key =</v>
      </c>
      <c r="B72" s="69" t="n">
        <f aca="false">IF(Locked!Q154="|",ROUND(Locked!N154,0),IF(Locked!Q154="V",ROUND(Locked!N154,-3),""))</f>
        <v>15527</v>
      </c>
      <c r="C72" s="70" t="n">
        <f aca="false">IF(B72="","",ROUND(Locked!P154,3))</f>
        <v>0.855</v>
      </c>
      <c r="D72" s="71" t="n">
        <f aca="false">IF(C72="","",(C72-C71)/(B72-B71))</f>
        <v>-6.17919670442843E-006</v>
      </c>
      <c r="E72" s="71" t="n">
        <f aca="false">IF(C72="","",IF(C73="",0,(C73-C72)/(B73-B72)))</f>
        <v>-5.35331905781585E-006</v>
      </c>
    </row>
    <row r="73" customFormat="false" ht="15" hidden="false" customHeight="false" outlineLevel="0" collapsed="false">
      <c r="A73" s="69" t="str">
        <f aca="false">IF(B73="","Unused","key =")</f>
        <v>key =</v>
      </c>
      <c r="B73" s="69" t="n">
        <f aca="false">IF(Locked!Q155="|",ROUND(Locked!N155,0),IF(Locked!Q155="V",ROUND(Locked!N155,-3),""))</f>
        <v>17395</v>
      </c>
      <c r="C73" s="70" t="n">
        <f aca="false">IF(B73="","",ROUND(Locked!P155,3))</f>
        <v>0.845</v>
      </c>
      <c r="D73" s="71" t="n">
        <f aca="false">IF(C73="","",(C73-C72)/(B73-B72))</f>
        <v>-5.35331905781585E-006</v>
      </c>
      <c r="E73" s="71" t="n">
        <f aca="false">IF(C73="","",IF(C74="",0,(C74-C73)/(B74-B73)))</f>
        <v>-4.99168053244593E-006</v>
      </c>
    </row>
    <row r="74" customFormat="false" ht="15" hidden="false" customHeight="false" outlineLevel="0" collapsed="false">
      <c r="A74" s="69" t="str">
        <f aca="false">IF(B74="","Unused","key =")</f>
        <v>key =</v>
      </c>
      <c r="B74" s="69" t="n">
        <f aca="false">IF(Locked!Q156="|",ROUND(Locked!N156,0),IF(Locked!Q156="V",ROUND(Locked!N156,-3),""))</f>
        <v>19198</v>
      </c>
      <c r="C74" s="70" t="n">
        <f aca="false">IF(B74="","",ROUND(Locked!P156,3))</f>
        <v>0.836</v>
      </c>
      <c r="D74" s="71" t="n">
        <f aca="false">IF(C74="","",(C74-C73)/(B74-B73))</f>
        <v>-4.99168053244593E-006</v>
      </c>
      <c r="E74" s="71" t="n">
        <f aca="false">IF(C74="","",IF(C75="",0,(C75-C74)/(B75-B74)))</f>
        <v>-5.0761421319797E-006</v>
      </c>
    </row>
    <row r="75" customFormat="false" ht="15" hidden="false" customHeight="false" outlineLevel="0" collapsed="false">
      <c r="A75" s="69" t="str">
        <f aca="false">IF(B75="","Unused","key =")</f>
        <v>key =</v>
      </c>
      <c r="B75" s="69" t="n">
        <f aca="false">IF(Locked!Q157="|",ROUND(Locked!N157,0),IF(Locked!Q157="V",ROUND(Locked!N157,-3),""))</f>
        <v>20971</v>
      </c>
      <c r="C75" s="70" t="n">
        <f aca="false">IF(B75="","",ROUND(Locked!P157,3))</f>
        <v>0.827</v>
      </c>
      <c r="D75" s="71" t="n">
        <f aca="false">IF(C75="","",(C75-C74)/(B75-B74))</f>
        <v>-5.0761421319797E-006</v>
      </c>
      <c r="E75" s="71" t="n">
        <f aca="false">IF(C75="","",IF(C76="",0,(C76-C75)/(B76-B75)))</f>
        <v>-4.72533963378618E-006</v>
      </c>
    </row>
    <row r="76" customFormat="false" ht="15" hidden="false" customHeight="false" outlineLevel="0" collapsed="false">
      <c r="A76" s="69" t="str">
        <f aca="false">IF(B76="","Unused","key =")</f>
        <v>key =</v>
      </c>
      <c r="B76" s="69" t="n">
        <f aca="false">IF(Locked!Q158="|",ROUND(Locked!N158,0),IF(Locked!Q158="V",ROUND(Locked!N158,-3),""))</f>
        <v>22664</v>
      </c>
      <c r="C76" s="70" t="n">
        <f aca="false">IF(B76="","",ROUND(Locked!P158,3))</f>
        <v>0.819</v>
      </c>
      <c r="D76" s="71" t="n">
        <f aca="false">IF(C76="","",(C76-C75)/(B76-B75))</f>
        <v>-4.72533963378618E-006</v>
      </c>
      <c r="E76" s="71" t="n">
        <f aca="false">IF(C76="","",IF(C77="",0,(C77-C76)/(B77-B76)))</f>
        <v>-5.46116504854363E-006</v>
      </c>
    </row>
    <row r="77" customFormat="false" ht="15" hidden="false" customHeight="false" outlineLevel="0" collapsed="false">
      <c r="A77" s="69" t="str">
        <f aca="false">IF(B77="","Unused","key =")</f>
        <v>key =</v>
      </c>
      <c r="B77" s="69" t="n">
        <f aca="false">IF(Locked!Q159="|",ROUND(Locked!N159,0),IF(Locked!Q159="V",ROUND(Locked!N159,-3),""))</f>
        <v>24312</v>
      </c>
      <c r="C77" s="70" t="n">
        <f aca="false">IF(B77="","",ROUND(Locked!P159,3))</f>
        <v>0.81</v>
      </c>
      <c r="D77" s="71" t="n">
        <f aca="false">IF(C77="","",(C77-C76)/(B77-B76))</f>
        <v>-5.46116504854363E-006</v>
      </c>
      <c r="E77" s="71" t="n">
        <f aca="false">IF(C77="","",IF(C78="",0,(C78-C77)/(B78-B77)))</f>
        <v>-5.59353635798633E-006</v>
      </c>
    </row>
    <row r="78" customFormat="false" ht="15" hidden="false" customHeight="false" outlineLevel="0" collapsed="false">
      <c r="A78" s="69" t="str">
        <f aca="false">IF(B78="","Unused","key =")</f>
        <v>key =</v>
      </c>
      <c r="B78" s="69" t="n">
        <f aca="false">IF(Locked!Q160="|",ROUND(Locked!N160,0),IF(Locked!Q160="V",ROUND(Locked!N160,-3),""))</f>
        <v>25921</v>
      </c>
      <c r="C78" s="70" t="n">
        <f aca="false">IF(B78="","",ROUND(Locked!P160,3))</f>
        <v>0.801</v>
      </c>
      <c r="D78" s="71" t="n">
        <f aca="false">IF(C78="","",(C78-C77)/(B78-B77))</f>
        <v>-5.59353635798633E-006</v>
      </c>
      <c r="E78" s="71" t="n">
        <f aca="false">IF(C78="","",IF(C79="",0,(C79-C78)/(B79-B78)))</f>
        <v>-8.88324873096447E-006</v>
      </c>
    </row>
    <row r="79" customFormat="false" ht="15" hidden="false" customHeight="false" outlineLevel="0" collapsed="false">
      <c r="A79" s="69" t="str">
        <f aca="false">IF(B79="","Unused","key =")</f>
        <v>key =</v>
      </c>
      <c r="B79" s="69" t="n">
        <f aca="false">IF(Locked!Q161="|",ROUND(Locked!N161,0),IF(Locked!Q161="V",ROUND(Locked!N161,-3),""))</f>
        <v>27497</v>
      </c>
      <c r="C79" s="70" t="n">
        <f aca="false">IF(B79="","",ROUND(Locked!P161,3))</f>
        <v>0.787</v>
      </c>
      <c r="D79" s="71" t="n">
        <f aca="false">IF(C79="","",(C79-C78)/(B79-B78))</f>
        <v>-8.88324873096447E-006</v>
      </c>
      <c r="E79" s="71" t="n">
        <f aca="false">IF(C79="","",IF(C80="",0,(C80-C79)/(B80-B79)))</f>
        <v>-1.03559870550162E-005</v>
      </c>
    </row>
    <row r="80" customFormat="false" ht="15" hidden="false" customHeight="false" outlineLevel="0" collapsed="false">
      <c r="A80" s="69" t="str">
        <f aca="false">IF(B80="","Unused","key =")</f>
        <v>key =</v>
      </c>
      <c r="B80" s="69" t="n">
        <f aca="false">IF(Locked!Q162="|",ROUND(Locked!N162,0),IF(Locked!Q162="V",ROUND(Locked!N162,-3),""))</f>
        <v>29042</v>
      </c>
      <c r="C80" s="70" t="n">
        <f aca="false">IF(B80="","",ROUND(Locked!P162,3))</f>
        <v>0.771</v>
      </c>
      <c r="D80" s="71" t="n">
        <f aca="false">IF(C80="","",(C80-C79)/(B80-B79))</f>
        <v>-1.03559870550162E-005</v>
      </c>
      <c r="E80" s="71" t="n">
        <f aca="false">IF(C80="","",IF(C81="",0,(C81-C80)/(B81-B80)))</f>
        <v>-1.2491781722551E-005</v>
      </c>
    </row>
    <row r="81" customFormat="false" ht="15" hidden="false" customHeight="false" outlineLevel="0" collapsed="false">
      <c r="A81" s="69" t="str">
        <f aca="false">IF(B81="","Unused","key =")</f>
        <v>key =</v>
      </c>
      <c r="B81" s="69" t="n">
        <f aca="false">IF(Locked!Q163="|",ROUND(Locked!N163,0),IF(Locked!Q163="V",ROUND(Locked!N163,-3),""))</f>
        <v>30563</v>
      </c>
      <c r="C81" s="70" t="n">
        <f aca="false">IF(B81="","",ROUND(Locked!P163,3))</f>
        <v>0.752</v>
      </c>
      <c r="D81" s="71" t="n">
        <f aca="false">IF(C81="","",(C81-C80)/(B81-B80))</f>
        <v>-1.2491781722551E-005</v>
      </c>
      <c r="E81" s="71" t="n">
        <f aca="false">IF(C81="","",IF(C82="",0,(C82-C81)/(B82-B81)))</f>
        <v>-1.58940397350994E-005</v>
      </c>
    </row>
    <row r="82" customFormat="false" ht="15" hidden="false" customHeight="false" outlineLevel="0" collapsed="false">
      <c r="A82" s="69" t="str">
        <f aca="false">IF(B82="","Unused","key =")</f>
        <v>key =</v>
      </c>
      <c r="B82" s="69" t="n">
        <f aca="false">IF(Locked!Q164="|",ROUND(Locked!N164,0),IF(Locked!Q164="V",ROUND(Locked!N164,-3),""))</f>
        <v>32073</v>
      </c>
      <c r="C82" s="70" t="n">
        <f aca="false">IF(B82="","",ROUND(Locked!P164,3))</f>
        <v>0.728</v>
      </c>
      <c r="D82" s="71" t="n">
        <f aca="false">IF(C82="","",(C82-C81)/(B82-B81))</f>
        <v>-1.58940397350994E-005</v>
      </c>
      <c r="E82" s="71" t="n">
        <f aca="false">IF(C82="","",IF(C83="",0,(C83-C82)/(B83-B82)))</f>
        <v>-1.87919463087249E-005</v>
      </c>
    </row>
    <row r="83" customFormat="false" ht="15" hidden="false" customHeight="false" outlineLevel="0" collapsed="false">
      <c r="A83" s="69" t="str">
        <f aca="false">IF(B83="","Unused","key =")</f>
        <v>key =</v>
      </c>
      <c r="B83" s="69" t="n">
        <f aca="false">IF(Locked!Q165="|",ROUND(Locked!N165,0),IF(Locked!Q165="V",ROUND(Locked!N165,-3),""))</f>
        <v>33563</v>
      </c>
      <c r="C83" s="70" t="n">
        <f aca="false">IF(B83="","",ROUND(Locked!P165,3))</f>
        <v>0.7</v>
      </c>
      <c r="D83" s="71" t="n">
        <f aca="false">IF(C83="","",(C83-C82)/(B83-B82))</f>
        <v>-1.87919463087249E-005</v>
      </c>
      <c r="E83" s="71" t="n">
        <f aca="false">IF(C83="","",IF(C84="",0,(C84-C83)/(B84-B83)))</f>
        <v>-2.10597826086956E-005</v>
      </c>
    </row>
    <row r="84" customFormat="false" ht="15" hidden="false" customHeight="false" outlineLevel="0" collapsed="false">
      <c r="A84" s="69" t="str">
        <f aca="false">IF(B84="","Unused","key =")</f>
        <v>key =</v>
      </c>
      <c r="B84" s="105" t="n">
        <f aca="false">IF(Locked!Q166="|",ROUND(Locked!N166,0),IF(Locked!Q166="V",ROUND(Locked!N166,-3),""))</f>
        <v>35035</v>
      </c>
      <c r="C84" s="70" t="n">
        <f aca="false">IF(B84="","",ROUND(Locked!P166,3))</f>
        <v>0.669</v>
      </c>
      <c r="D84" s="71" t="n">
        <f aca="false">IF(C84="","",(C84-C83)/(B84-B83))</f>
        <v>-2.10597826086956E-005</v>
      </c>
      <c r="E84" s="71" t="n">
        <f aca="false">IF(C84="","",IF(C85="",0,(C85-C84)/(B85-B84)))</f>
        <v>-2.27429359062716E-005</v>
      </c>
    </row>
    <row r="85" customFormat="false" ht="15" hidden="false" customHeight="false" outlineLevel="0" collapsed="false">
      <c r="A85" s="69" t="str">
        <f aca="false">IF(B85="","Unused","key =")</f>
        <v>key =</v>
      </c>
      <c r="B85" s="105" t="n">
        <f aca="false">IF(Locked!Q167="|",ROUND(Locked!N167,0),IF(Locked!Q167="V",ROUND(Locked!N167,-3),""))</f>
        <v>36486</v>
      </c>
      <c r="C85" s="70" t="n">
        <f aca="false">IF(B85="","",ROUND(Locked!P167,3))</f>
        <v>0.636</v>
      </c>
      <c r="D85" s="71" t="n">
        <f aca="false">IF(C85="","",(C85-C84)/(B85-B84))</f>
        <v>-2.27429359062716E-005</v>
      </c>
      <c r="E85" s="71" t="n">
        <f aca="false">IF(C85="","",IF(C86="",0,(C86-C85)/(B86-B85)))</f>
        <v>-2.39943542695836E-005</v>
      </c>
    </row>
    <row r="86" customFormat="false" ht="15" hidden="false" customHeight="false" outlineLevel="0" collapsed="false">
      <c r="A86" s="69" t="str">
        <f aca="false">IF(B86="","Unused","key =")</f>
        <v>key =</v>
      </c>
      <c r="B86" s="105" t="n">
        <f aca="false">IF(Locked!Q168="|",ROUND(Locked!N168,0),IF(Locked!Q168="V",ROUND(Locked!N168,-3),""))</f>
        <v>37903</v>
      </c>
      <c r="C86" s="70" t="n">
        <f aca="false">IF(B86="","",ROUND(Locked!P168,3))</f>
        <v>0.602</v>
      </c>
      <c r="D86" s="71" t="n">
        <f aca="false">IF(C86="","",(C86-C85)/(B86-B85))</f>
        <v>-2.39943542695836E-005</v>
      </c>
      <c r="E86" s="71" t="n">
        <f aca="false">IF(C86="","",IF(C87="",0,(C87-C86)/(B87-B86)))</f>
        <v>-2.58249641319943E-005</v>
      </c>
    </row>
    <row r="87" customFormat="false" ht="15" hidden="false" customHeight="false" outlineLevel="0" collapsed="false">
      <c r="A87" s="69" t="str">
        <f aca="false">IF(B87="","Unused","key =")</f>
        <v>key =</v>
      </c>
      <c r="B87" s="105" t="n">
        <f aca="false">IF(Locked!Q169="|",ROUND(Locked!N169,0),IF(Locked!Q169="V",ROUND(Locked!N169,-3),""))</f>
        <v>39297</v>
      </c>
      <c r="C87" s="70" t="n">
        <f aca="false">IF(B87="","",ROUND(Locked!P169,3))</f>
        <v>0.566</v>
      </c>
      <c r="D87" s="71" t="n">
        <f aca="false">IF(C87="","",(C87-C86)/(B87-B86))</f>
        <v>-2.58249641319943E-005</v>
      </c>
      <c r="E87" s="71" t="n">
        <f aca="false">IF(C87="","",IF(C88="",0,(C88-C87)/(B88-B87)))</f>
        <v>-2.62965668371073E-005</v>
      </c>
    </row>
    <row r="88" customFormat="false" ht="15" hidden="false" customHeight="false" outlineLevel="0" collapsed="false">
      <c r="A88" s="69" t="str">
        <f aca="false">IF(B88="","Unused","key =")</f>
        <v>key =</v>
      </c>
      <c r="B88" s="105" t="n">
        <f aca="false">IF(Locked!Q170="|",ROUND(Locked!N170,0),IF(Locked!Q170="V",ROUND(Locked!N170,-3),""))</f>
        <v>40666</v>
      </c>
      <c r="C88" s="70" t="n">
        <f aca="false">IF(B88="","",ROUND(Locked!P170,3))</f>
        <v>0.53</v>
      </c>
      <c r="D88" s="71" t="n">
        <f aca="false">IF(C88="","",(C88-C87)/(B88-B87))</f>
        <v>-2.62965668371073E-005</v>
      </c>
      <c r="E88" s="71" t="n">
        <f aca="false">IF(C88="","",IF(C89="",0,(C89-C88)/(B89-B88)))</f>
        <v>-2.67657992565056E-005</v>
      </c>
    </row>
    <row r="89" customFormat="false" ht="15" hidden="false" customHeight="false" outlineLevel="0" collapsed="false">
      <c r="A89" s="69" t="str">
        <f aca="false">IF(B89="","Unused","key =")</f>
        <v>key =</v>
      </c>
      <c r="B89" s="69" t="n">
        <f aca="false">IF(Locked!Q171="|",ROUND(Locked!N171,0),IF(Locked!Q171="V",ROUND(Locked!N171,-3),""))</f>
        <v>42011</v>
      </c>
      <c r="C89" s="70" t="n">
        <f aca="false">IF(B89="","",ROUND(Locked!P171,3))</f>
        <v>0.494</v>
      </c>
      <c r="D89" s="71" t="n">
        <f aca="false">IF(C89="","",(C89-C88)/(B89-B88))</f>
        <v>-2.67657992565056E-005</v>
      </c>
      <c r="E89" s="71" t="n">
        <f aca="false">IF(C89="","",IF(C90="",0,(C90-C89)/(B90-B89)))</f>
        <v>-2.57186081694402E-005</v>
      </c>
    </row>
    <row r="90" customFormat="false" ht="15" hidden="false" customHeight="false" outlineLevel="0" collapsed="false">
      <c r="A90" s="69" t="str">
        <f aca="false">IF(B90="","Unused","key =")</f>
        <v>key =</v>
      </c>
      <c r="B90" s="69" t="n">
        <f aca="false">IF(Locked!Q172="|",ROUND(Locked!N172,0),IF(Locked!Q172="V",ROUND(Locked!N172,-3),""))</f>
        <v>43333</v>
      </c>
      <c r="C90" s="70" t="n">
        <f aca="false">IF(B90="","",ROUND(Locked!P172,3))</f>
        <v>0.46</v>
      </c>
      <c r="D90" s="71" t="n">
        <f aca="false">IF(C90="","",(C90-C89)/(B90-B89))</f>
        <v>-2.57186081694402E-005</v>
      </c>
      <c r="E90" s="71" t="n">
        <f aca="false">IF(C90="","",IF(C91="",0,(C91-C90)/(B91-B90)))</f>
        <v>-1.91961607678464E-005</v>
      </c>
    </row>
    <row r="91" customFormat="false" ht="15" hidden="false" customHeight="false" outlineLevel="0" collapsed="false">
      <c r="A91" s="69" t="str">
        <f aca="false">IF(B91="","Unused","key =")</f>
        <v>key =</v>
      </c>
      <c r="B91" s="69" t="n">
        <f aca="false">IF(Locked!Q173="|",ROUND(Locked!N173,0),IF(Locked!Q173="V",ROUND(Locked!N173,-3),""))</f>
        <v>45000</v>
      </c>
      <c r="C91" s="70" t="n">
        <f aca="false">IF(B91="","",ROUND(Locked!P173,3))</f>
        <v>0.428</v>
      </c>
      <c r="D91" s="71" t="n">
        <f aca="false">IF(C91="","",(C91-C90)/(B91-B90))</f>
        <v>-1.91961607678464E-005</v>
      </c>
      <c r="E91" s="71" t="n">
        <f aca="false">IF(C91="","",IF(C92="",0,(C92-C91)/(B92-B91)))</f>
        <v>0</v>
      </c>
    </row>
    <row r="92" customFormat="false" ht="15" hidden="false" customHeight="false" outlineLevel="0" collapsed="false">
      <c r="A92" s="69" t="str">
        <f aca="false">IF(B92="","Unused","key =")</f>
        <v>Unused</v>
      </c>
      <c r="B92" s="69" t="str">
        <f aca="false">IF(Locked!Q174="|",ROUND(Locked!N174,0),IF(Locked!Q174="V",ROUND(Locked!N174,-3),""))</f>
        <v/>
      </c>
      <c r="C92" s="70" t="str">
        <f aca="false">IF(B92="","",ROUND(Locked!P174,3))</f>
        <v/>
      </c>
      <c r="D92" s="71" t="str">
        <f aca="false">IF(C92="","",(C92-C91)/(B92-B91))</f>
        <v/>
      </c>
      <c r="E92" s="71" t="str">
        <f aca="false">IF(C92="","",IF(C93="",0,(C93-C92)/(B93-B92)))</f>
        <v/>
      </c>
    </row>
    <row r="93" customFormat="false" ht="15" hidden="false" customHeight="false" outlineLevel="0" collapsed="false">
      <c r="A93" s="69" t="str">
        <f aca="false">IF(B93="","Unused","key =")</f>
        <v>Unused</v>
      </c>
      <c r="B93" s="69" t="str">
        <f aca="false">IF(Locked!Q175="|",ROUND(Locked!N175,0),IF(Locked!Q175="V",ROUND(Locked!N175,-3),""))</f>
        <v/>
      </c>
      <c r="C93" s="70" t="str">
        <f aca="false">IF(B93="","",ROUND(Locked!P175,3))</f>
        <v/>
      </c>
      <c r="D93" s="71" t="str">
        <f aca="false">IF(C93="","",(C93-C92)/(B93-B92))</f>
        <v/>
      </c>
      <c r="E93" s="71" t="str">
        <f aca="false">IF(C93="","",IF(C94="",0,(C94-C93)/(B94-B93)))</f>
        <v/>
      </c>
    </row>
    <row r="94" customFormat="false" ht="15" hidden="false" customHeight="false" outlineLevel="0" collapsed="false">
      <c r="A94" s="69" t="str">
        <f aca="false">IF(B94="","Unused","key =")</f>
        <v>Unused</v>
      </c>
      <c r="B94" s="69" t="str">
        <f aca="false">IF(Locked!Q176="|",ROUND(Locked!N176,0),IF(Locked!Q176="V",ROUND(Locked!N176,-3),""))</f>
        <v/>
      </c>
      <c r="C94" s="70" t="str">
        <f aca="false">IF(B94="","",ROUND(Locked!P176,3))</f>
        <v/>
      </c>
      <c r="D94" s="71" t="str">
        <f aca="false">IF(C94="","",(C94-C93)/(B94-B93))</f>
        <v/>
      </c>
      <c r="E94" s="71" t="str">
        <f aca="false">IF(C94="","",IF(C95="",0,(C95-C94)/(B95-B94)))</f>
        <v/>
      </c>
    </row>
    <row r="95" customFormat="false" ht="15" hidden="false" customHeight="false" outlineLevel="0" collapsed="false">
      <c r="A95" s="69" t="str">
        <f aca="false">IF(B95="","Unused","key =")</f>
        <v>Unused</v>
      </c>
      <c r="B95" s="69" t="str">
        <f aca="false">IF(Locked!Q177="|",ROUND(Locked!N177,0),IF(Locked!Q177="V",ROUND(Locked!N177,-3),""))</f>
        <v/>
      </c>
      <c r="C95" s="70" t="str">
        <f aca="false">IF(B95="","",ROUND(Locked!P177,3))</f>
        <v/>
      </c>
      <c r="D95" s="71" t="str">
        <f aca="false">IF(C95="","",(C95-C94)/(B95-B94))</f>
        <v/>
      </c>
      <c r="E95" s="71" t="str">
        <f aca="false">IF(C95="","",IF(C96="",0,(C96-C95)/(B96-B95)))</f>
        <v/>
      </c>
    </row>
    <row r="96" customFormat="false" ht="15" hidden="false" customHeight="false" outlineLevel="0" collapsed="false">
      <c r="A96" s="69" t="str">
        <f aca="false">IF(B96="","Unused","key =")</f>
        <v>Unused</v>
      </c>
      <c r="B96" s="69" t="str">
        <f aca="false">IF(Locked!Q178="|",ROUND(Locked!N178,0),IF(Locked!Q178="V",ROUND(Locked!N178,-3),""))</f>
        <v/>
      </c>
      <c r="C96" s="70" t="str">
        <f aca="false">IF(B96="","",ROUND(Locked!P178,3))</f>
        <v/>
      </c>
      <c r="D96" s="71" t="str">
        <f aca="false">IF(C96="","",(C96-C95)/(B96-B95))</f>
        <v/>
      </c>
      <c r="E96" s="71" t="str">
        <f aca="false">IF(C96="","",IF(C97="",0,(C97-C96)/(B97-B96)))</f>
        <v/>
      </c>
    </row>
    <row r="97" customFormat="false" ht="15" hidden="false" customHeight="false" outlineLevel="0" collapsed="false">
      <c r="A97" s="69" t="str">
        <f aca="false">IF(B97="","Unused","key =")</f>
        <v>Unused</v>
      </c>
      <c r="B97" s="69" t="str">
        <f aca="false">IF(Locked!Q179="|",ROUND(Locked!N179,0),IF(Locked!Q179="V",ROUND(Locked!N179,-3),""))</f>
        <v/>
      </c>
      <c r="C97" s="70" t="str">
        <f aca="false">IF(B97="","",ROUND(Locked!P179,3))</f>
        <v/>
      </c>
      <c r="D97" s="71" t="str">
        <f aca="false">IF(C97="","",(C97-C96)/(B97-B96))</f>
        <v/>
      </c>
      <c r="E97" s="71" t="str">
        <f aca="false">IF(C97="","",IF(C98="",0,(C98-C97)/(B98-B97)))</f>
        <v/>
      </c>
    </row>
    <row r="98" customFormat="false" ht="15" hidden="false" customHeight="false" outlineLevel="0" collapsed="false">
      <c r="A98" s="69" t="str">
        <f aca="false">IF(B98="","Unused","key =")</f>
        <v>Unused</v>
      </c>
      <c r="B98" s="69" t="str">
        <f aca="false">IF(Locked!Q180="|",ROUND(Locked!N180,0),IF(Locked!Q180="V",ROUND(Locked!N180,-3),""))</f>
        <v/>
      </c>
      <c r="C98" s="70" t="str">
        <f aca="false">IF(B98="","",ROUND(Locked!P180,3))</f>
        <v/>
      </c>
      <c r="D98" s="71" t="str">
        <f aca="false">IF(C98="","",(C98-C97)/(B98-B97))</f>
        <v/>
      </c>
      <c r="E98" s="71" t="str">
        <f aca="false">IF(C98="","",IF(C99="",0,(C99-C98)/(B99-B98)))</f>
        <v/>
      </c>
    </row>
    <row r="99" customFormat="false" ht="15" hidden="false" customHeight="false" outlineLevel="0" collapsed="false">
      <c r="A99" s="69" t="str">
        <f aca="false">IF(B99="","Unused","key =")</f>
        <v>Unused</v>
      </c>
      <c r="B99" s="69" t="str">
        <f aca="false">IF(Locked!Q181="|",ROUND(Locked!N181,0),IF(Locked!Q181="V",ROUND(Locked!N181,-3),""))</f>
        <v/>
      </c>
      <c r="C99" s="70" t="str">
        <f aca="false">IF(B99="","",ROUND(Locked!P181,3))</f>
        <v/>
      </c>
      <c r="D99" s="71" t="str">
        <f aca="false">IF(C99="","",(C99-C98)/(B99-B98))</f>
        <v/>
      </c>
      <c r="E99" s="71" t="str">
        <f aca="false">IF(C99="","",IF(C100="",0,(C100-C99)/(B100-B99)))</f>
        <v/>
      </c>
    </row>
    <row r="100" customFormat="false" ht="15" hidden="false" customHeight="false" outlineLevel="0" collapsed="false">
      <c r="A100" s="69" t="str">
        <f aca="false">IF(B100="","Unused","key =")</f>
        <v>Unused</v>
      </c>
      <c r="B100" s="69" t="str">
        <f aca="false">IF(Locked!Q182="|",ROUND(Locked!N182,0),IF(Locked!Q182="V",ROUND(Locked!N182,-3),""))</f>
        <v/>
      </c>
      <c r="C100" s="70" t="str">
        <f aca="false">IF(B100="","",ROUND(Locked!P182,3))</f>
        <v/>
      </c>
      <c r="D100" s="71" t="str">
        <f aca="false">IF(C100="","",(C100-C99)/(B100-B99))</f>
        <v/>
      </c>
      <c r="E100" s="71" t="str">
        <f aca="false">IF(C100="","",IF(C101="",0,(C101-C100)/(B101-B100)))</f>
        <v/>
      </c>
    </row>
    <row r="101" customFormat="false" ht="15" hidden="false" customHeight="false" outlineLevel="0" collapsed="false">
      <c r="A101" s="69" t="str">
        <f aca="false">IF(B101="","Unused","key =")</f>
        <v>Unused</v>
      </c>
      <c r="B101" s="69" t="str">
        <f aca="false">IF(Locked!Q183="|",ROUND(Locked!N183,0),IF(Locked!Q183="V",ROUND(Locked!N183,-3),""))</f>
        <v/>
      </c>
      <c r="C101" s="70" t="str">
        <f aca="false">IF(B101="","",ROUND(Locked!P183,3))</f>
        <v/>
      </c>
      <c r="D101" s="71" t="str">
        <f aca="false">IF(C101="","",(C101-C100)/(B101-B100))</f>
        <v/>
      </c>
      <c r="E101" s="71" t="str">
        <f aca="false">IF(C101="","",IF(C102="",0,(C102-C101)/(B102-B101)))</f>
        <v/>
      </c>
    </row>
    <row r="102" customFormat="false" ht="15" hidden="false" customHeight="false" outlineLevel="0" collapsed="false">
      <c r="A102" s="69" t="str">
        <f aca="false">IF(B102="","Unused","key =")</f>
        <v>Unused</v>
      </c>
      <c r="B102" s="69" t="str">
        <f aca="false">IF(Locked!Q184="|",ROUND(Locked!N184,0),IF(Locked!Q184="V",ROUND(Locked!N184,-3),""))</f>
        <v/>
      </c>
      <c r="C102" s="70" t="str">
        <f aca="false">IF(B102="","",ROUND(Locked!P184,3))</f>
        <v/>
      </c>
      <c r="D102" s="71" t="str">
        <f aca="false">IF(C102="","",(C102-C101)/(B102-B101))</f>
        <v/>
      </c>
      <c r="E102" s="71" t="str">
        <f aca="false">IF(C102="","",IF(C103="",0,(C103-C102)/(B103-B102)))</f>
        <v/>
      </c>
    </row>
    <row r="103" customFormat="false" ht="15" hidden="false" customHeight="false" outlineLevel="0" collapsed="false">
      <c r="A103" s="69" t="str">
        <f aca="false">IF(B103="","Unused","key =")</f>
        <v>Unused</v>
      </c>
      <c r="B103" s="69" t="str">
        <f aca="false">IF(Locked!Q185="|",ROUND(Locked!N185,0),IF(Locked!Q185="V",ROUND(Locked!N185,-3),""))</f>
        <v/>
      </c>
      <c r="C103" s="70" t="str">
        <f aca="false">IF(B103="","",ROUND(Locked!P185,3))</f>
        <v/>
      </c>
      <c r="D103" s="71" t="str">
        <f aca="false">IF(C103="","",(C103-C102)/(B103-B102))</f>
        <v/>
      </c>
      <c r="E103" s="71" t="str">
        <f aca="false">IF(C103="","",IF(C104="",0,(C104-C103)/(B104-B103)))</f>
        <v/>
      </c>
    </row>
    <row r="104" customFormat="false" ht="15" hidden="false" customHeight="false" outlineLevel="0" collapsed="false">
      <c r="A104" s="69" t="str">
        <f aca="false">IF(B104="","Unused","key =")</f>
        <v>Unused</v>
      </c>
      <c r="B104" s="69" t="str">
        <f aca="false">IF(Locked!Q186="|",ROUND(Locked!N186,0),IF(Locked!Q186="V",ROUND(Locked!N186,-3),""))</f>
        <v/>
      </c>
      <c r="C104" s="70" t="str">
        <f aca="false">IF(B104="","",ROUND(Locked!P186,3))</f>
        <v/>
      </c>
      <c r="D104" s="71" t="str">
        <f aca="false">IF(C104="","",(C104-C103)/(B104-B103))</f>
        <v/>
      </c>
      <c r="E104" s="71" t="str">
        <f aca="false">IF(C104="","",IF(C105="",0,(C105-C104)/(B105-B104)))</f>
        <v/>
      </c>
    </row>
    <row r="105" customFormat="false" ht="15" hidden="false" customHeight="false" outlineLevel="0" collapsed="false">
      <c r="A105" s="69" t="str">
        <f aca="false">IF(B105="","Unused","key =")</f>
        <v>Unused</v>
      </c>
      <c r="B105" s="69" t="str">
        <f aca="false">IF(Locked!Q187="|",ROUND(Locked!N187,0),IF(Locked!Q187="V",ROUND(Locked!N187,-3),""))</f>
        <v/>
      </c>
      <c r="C105" s="70" t="str">
        <f aca="false">IF(B105="","",ROUND(Locked!P187,3))</f>
        <v/>
      </c>
      <c r="D105" s="71" t="str">
        <f aca="false">IF(C105="","",(C105-C104)/(B105-B104))</f>
        <v/>
      </c>
      <c r="E105" s="71" t="str">
        <f aca="false">IF(C105="","",IF(C106="",0,(C106-C105)/(B106-B105)))</f>
        <v/>
      </c>
    </row>
    <row r="106" customFormat="false" ht="15" hidden="false" customHeight="false" outlineLevel="0" collapsed="false">
      <c r="A106" s="69" t="str">
        <f aca="false">IF(B106="","Unused","key =")</f>
        <v>Unused</v>
      </c>
      <c r="B106" s="69" t="str">
        <f aca="false">IF(Locked!Q188="|",ROUND(Locked!N188,0),IF(Locked!Q188="V",ROUND(Locked!N188,-3),""))</f>
        <v/>
      </c>
      <c r="C106" s="70" t="str">
        <f aca="false">IF(B106="","",ROUND(Locked!P188,3))</f>
        <v/>
      </c>
      <c r="D106" s="71" t="str">
        <f aca="false">IF(C106="","",(C106-C105)/(B106-B105))</f>
        <v/>
      </c>
      <c r="E106" s="71" t="str">
        <f aca="false">IF(C106="","",IF(C107="",0,(C107-C106)/(B107-B106)))</f>
        <v/>
      </c>
    </row>
    <row r="107" customFormat="false" ht="15" hidden="false" customHeight="false" outlineLevel="0" collapsed="false">
      <c r="A107" s="69" t="str">
        <f aca="false">IF(B107="","Unused","key =")</f>
        <v>Unused</v>
      </c>
      <c r="B107" s="69" t="str">
        <f aca="false">IF(Locked!Q189="|",ROUND(Locked!N189,0),IF(Locked!Q189="V",ROUND(Locked!N189,-3),""))</f>
        <v/>
      </c>
      <c r="C107" s="70" t="str">
        <f aca="false">IF(B107="","",ROUND(Locked!P189,3))</f>
        <v/>
      </c>
      <c r="D107" s="71" t="str">
        <f aca="false">IF(C107="","",(C107-C106)/(B107-B106))</f>
        <v/>
      </c>
      <c r="E107" s="71" t="str">
        <f aca="false">IF(C107="","",IF(C108="",0,(C108-C107)/(B108-B107)))</f>
        <v/>
      </c>
    </row>
    <row r="108" customFormat="false" ht="15" hidden="false" customHeight="false" outlineLevel="0" collapsed="false">
      <c r="A108" s="66" t="s">
        <v>212</v>
      </c>
      <c r="B108" s="69"/>
      <c r="C108" s="69"/>
      <c r="D108" s="69"/>
      <c r="E108" s="69"/>
    </row>
    <row r="109" customFormat="false" ht="15" hidden="false" customHeight="false" outlineLevel="0" collapsed="false">
      <c r="A109" s="66" t="s">
        <v>227</v>
      </c>
      <c r="B109" s="69"/>
      <c r="C109" s="69"/>
      <c r="D109" s="69"/>
      <c r="E109" s="69"/>
    </row>
    <row r="110" customFormat="false" ht="15" hidden="false" customHeight="false" outlineLevel="0" collapsed="false">
      <c r="A110" s="66" t="s">
        <v>209</v>
      </c>
      <c r="B110" s="69"/>
      <c r="C110" s="69"/>
      <c r="D110" s="69"/>
      <c r="E110" s="69"/>
    </row>
    <row r="111" customFormat="false" ht="15" hidden="false" customHeight="false" outlineLevel="0" collapsed="false">
      <c r="A111" s="69" t="s">
        <v>224</v>
      </c>
      <c r="B111" s="69" t="n">
        <v>0</v>
      </c>
      <c r="C111" s="69" t="n">
        <v>0</v>
      </c>
      <c r="D111" s="69" t="n">
        <v>0</v>
      </c>
      <c r="E111" s="69" t="n">
        <v>0</v>
      </c>
    </row>
    <row r="112" customFormat="false" ht="15" hidden="false" customHeight="false" outlineLevel="0" collapsed="false">
      <c r="A112" s="69" t="s">
        <v>224</v>
      </c>
      <c r="B112" s="69" t="n">
        <v>45</v>
      </c>
      <c r="C112" s="69" t="n">
        <f aca="false">ROUND(Locked!G113/2*(1-COS(RADIANS(B112))),2)</f>
        <v>17.36</v>
      </c>
      <c r="D112" s="69" t="n">
        <f aca="false">ROUND(Locked!G113*PI()/360*COS(RADIANS(90-B112)),4)</f>
        <v>0.7313</v>
      </c>
      <c r="E112" s="69" t="n">
        <f aca="false">D112</f>
        <v>0.7313</v>
      </c>
    </row>
    <row r="113" customFormat="false" ht="15" hidden="false" customHeight="false" outlineLevel="0" collapsed="false">
      <c r="A113" s="69" t="s">
        <v>224</v>
      </c>
      <c r="B113" s="69" t="n">
        <v>90</v>
      </c>
      <c r="C113" s="69" t="n">
        <f aca="false">ROUND(Locked!G113,1)/2</f>
        <v>59.25</v>
      </c>
      <c r="D113" s="69" t="n">
        <f aca="false">ROUND(Locked!G113*PI()/360,4)</f>
        <v>1.0342</v>
      </c>
      <c r="E113" s="69" t="n">
        <v>0</v>
      </c>
    </row>
    <row r="114" customFormat="false" ht="15" hidden="false" customHeight="false" outlineLevel="0" collapsed="false">
      <c r="A114" s="66" t="s">
        <v>212</v>
      </c>
      <c r="B114" s="69"/>
      <c r="C114" s="69"/>
      <c r="D114" s="69"/>
      <c r="E114" s="69"/>
    </row>
    <row r="115" customFormat="false" ht="15" hidden="false" customHeight="false" outlineLevel="0" collapsed="false">
      <c r="A115" s="66" t="s">
        <v>228</v>
      </c>
      <c r="B115" s="69"/>
      <c r="C115" s="69"/>
      <c r="D115" s="69"/>
      <c r="E115" s="69"/>
    </row>
    <row r="116" customFormat="false" ht="15" hidden="false" customHeight="false" outlineLevel="0" collapsed="false">
      <c r="A116" s="66" t="s">
        <v>209</v>
      </c>
      <c r="B116" s="69"/>
      <c r="C116" s="69"/>
      <c r="D116" s="69"/>
      <c r="E116" s="69"/>
    </row>
    <row r="117" customFormat="false" ht="15" hidden="false" customHeight="false" outlineLevel="0" collapsed="false">
      <c r="A117" s="69" t="s">
        <v>224</v>
      </c>
      <c r="B117" s="69" t="n">
        <v>0</v>
      </c>
      <c r="C117" s="69" t="n">
        <f aca="false">ROUND(Locked!G113,1)</f>
        <v>118.5</v>
      </c>
      <c r="D117" s="69" t="n">
        <v>0</v>
      </c>
      <c r="E117" s="69" t="n">
        <v>0</v>
      </c>
    </row>
    <row r="118" customFormat="false" ht="15" hidden="false" customHeight="false" outlineLevel="0" collapsed="false">
      <c r="A118" s="69" t="s">
        <v>224</v>
      </c>
      <c r="B118" s="69" t="n">
        <v>45</v>
      </c>
      <c r="C118" s="69" t="n">
        <f aca="false">ROUND(Locked!G113*COS(RADIANS(B118)),2)</f>
        <v>83.8</v>
      </c>
      <c r="D118" s="69" t="n">
        <f aca="false">ROUND(-Locked!G113*PI()/180*COS(RADIANS(90-B118)),4)</f>
        <v>-1.4625</v>
      </c>
      <c r="E118" s="69" t="n">
        <f aca="false">D118</f>
        <v>-1.4625</v>
      </c>
    </row>
    <row r="119" customFormat="false" ht="15" hidden="false" customHeight="false" outlineLevel="0" collapsed="false">
      <c r="A119" s="69" t="s">
        <v>224</v>
      </c>
      <c r="B119" s="69" t="n">
        <v>90</v>
      </c>
      <c r="C119" s="69" t="n">
        <v>0</v>
      </c>
      <c r="D119" s="69" t="n">
        <f aca="false">ROUND(-Locked!G113*PI()/180,4)</f>
        <v>-2.0684</v>
      </c>
      <c r="E119" s="69" t="n">
        <v>0</v>
      </c>
    </row>
    <row r="120" customFormat="false" ht="15" hidden="false" customHeight="false" outlineLevel="0" collapsed="false">
      <c r="A120" s="66" t="s">
        <v>212</v>
      </c>
      <c r="B120" s="69"/>
      <c r="C120" s="69"/>
      <c r="D120" s="69"/>
      <c r="E120" s="69"/>
    </row>
    <row r="121" customFormat="false" ht="15" hidden="false" customHeight="false" outlineLevel="0" collapsed="false">
      <c r="A121" s="66" t="s">
        <v>229</v>
      </c>
      <c r="B121" s="69"/>
      <c r="C121" s="69"/>
      <c r="D121" s="69"/>
      <c r="E121" s="69"/>
    </row>
    <row r="122" customFormat="false" ht="15" hidden="false" customHeight="false" outlineLevel="0" collapsed="false">
      <c r="A122" s="66" t="s">
        <v>209</v>
      </c>
      <c r="B122" s="69"/>
      <c r="C122" s="69"/>
      <c r="D122" s="69"/>
      <c r="E122" s="69"/>
    </row>
    <row r="123" customFormat="false" ht="15" hidden="false" customHeight="false" outlineLevel="0" collapsed="false">
      <c r="A123" s="69" t="s">
        <v>224</v>
      </c>
      <c r="B123" s="69" t="n">
        <v>0</v>
      </c>
      <c r="C123" s="69" t="n">
        <f aca="false">ROUND(-Locked!G$114*Locked!G$116*SIN(RADIANS(B123-36+Locked!G31)),2)</f>
        <v>0</v>
      </c>
      <c r="D123" s="69" t="n">
        <v>0</v>
      </c>
      <c r="E123" s="69" t="n">
        <f aca="false">IF(Locked!G$30&gt;0,D128,0)</f>
        <v>0</v>
      </c>
    </row>
    <row r="124" customFormat="false" ht="15" hidden="false" customHeight="false" outlineLevel="0" collapsed="false">
      <c r="A124" s="69" t="str">
        <f aca="false">IF(B124="","Unused","key =")</f>
        <v>Unused</v>
      </c>
      <c r="B124" s="69" t="str">
        <f aca="false">IF(Locked!G$30&gt;0,MIN(IF(36-Locked!G$31&lt;0,36-Locked!G$31+360,36-Locked!G$31),IF(126-Locked!G$31&lt;0,126-Locked!G$31+360,126-Locked!G$31),IF(216-Locked!G$31&lt;0,216-Locked!G$31+360,216-Locked!G$31),IF(306-Locked!G$31&lt;0,306-Locked!G$31+360,306-Locked!G$31)),"")</f>
        <v/>
      </c>
      <c r="C124" s="69" t="str">
        <f aca="false">IF(Locked!G$30&gt;0,ROUND(-Locked!G$114*Locked!G$116*SIN(RADIANS(B124-36+Locked!G$31)),2),"")</f>
        <v/>
      </c>
      <c r="D124" s="69" t="str">
        <f aca="false">IF(Locked!G$30&gt;0,ROUND(Locked!G$114*Locked!G$116*SIN(RADIANS(270))*COS(RADIANS(B124-36+Locked!G$31))*PI()/180,4),"")</f>
        <v/>
      </c>
      <c r="E124" s="69" t="str">
        <f aca="false">IF(Locked!G$30&gt;0,D124,"")</f>
        <v/>
      </c>
    </row>
    <row r="125" customFormat="false" ht="15" hidden="false" customHeight="false" outlineLevel="0" collapsed="false">
      <c r="A125" s="69" t="str">
        <f aca="false">IF(B125="","Unused","key =")</f>
        <v>Unused</v>
      </c>
      <c r="B125" s="69" t="str">
        <f aca="false">IF(Locked!G$30&gt;0,B124+90,"")</f>
        <v/>
      </c>
      <c r="C125" s="69" t="str">
        <f aca="false">IF(Locked!G$30&gt;0,ROUND(-Locked!G$114*Locked!G$116*SIN(RADIANS(B125-36+Locked!G$31)),2),"")</f>
        <v/>
      </c>
      <c r="D125" s="69" t="str">
        <f aca="false">IF(Locked!G$30&gt;0,ROUND(Locked!G$114*Locked!G$116*SIN(RADIANS(270))*COS(RADIANS(B125-36+Locked!G$31))*PI()/180,4),"")</f>
        <v/>
      </c>
      <c r="E125" s="69" t="str">
        <f aca="false">IF(Locked!G$30&gt;0,D125,"")</f>
        <v/>
      </c>
    </row>
    <row r="126" customFormat="false" ht="15" hidden="false" customHeight="false" outlineLevel="0" collapsed="false">
      <c r="A126" s="69" t="str">
        <f aca="false">IF(B126="","Unused","key =")</f>
        <v>Unused</v>
      </c>
      <c r="B126" s="69" t="str">
        <f aca="false">IF(Locked!G$30&gt;0,B125+90,"")</f>
        <v/>
      </c>
      <c r="C126" s="69" t="str">
        <f aca="false">IF(Locked!G$30&gt;0,ROUND(-Locked!G$114*Locked!G$116*SIN(RADIANS(B126-36+Locked!G$31)),2),"")</f>
        <v/>
      </c>
      <c r="D126" s="69" t="str">
        <f aca="false">IF(Locked!G$30&gt;0,ROUND(Locked!G$114*Locked!G$116*SIN(RADIANS(270))*COS(RADIANS(B126-36+Locked!G$31))*PI()/180,4),"")</f>
        <v/>
      </c>
      <c r="E126" s="69" t="str">
        <f aca="false">IF(Locked!G$30&gt;0,D126,"")</f>
        <v/>
      </c>
    </row>
    <row r="127" customFormat="false" ht="15" hidden="false" customHeight="false" outlineLevel="0" collapsed="false">
      <c r="A127" s="69" t="str">
        <f aca="false">IF(B127="","Unused","key =")</f>
        <v>Unused</v>
      </c>
      <c r="B127" s="69" t="str">
        <f aca="false">IF(Locked!G$30&gt;0,B126+90,"")</f>
        <v/>
      </c>
      <c r="C127" s="69" t="str">
        <f aca="false">IF(Locked!G$30&gt;0,ROUND(-Locked!G$114*Locked!G$116*SIN(RADIANS(B127-36+Locked!G$31)),2),"")</f>
        <v/>
      </c>
      <c r="D127" s="69" t="str">
        <f aca="false">IF(Locked!G$30&gt;0,ROUND(Locked!G$114*Locked!G$116*SIN(RADIANS(270))*COS(RADIANS(B127-36+Locked!G$31))*PI()/180,4),"")</f>
        <v/>
      </c>
      <c r="E127" s="69" t="str">
        <f aca="false">IF(Locked!G$30&gt;0,D127,"")</f>
        <v/>
      </c>
    </row>
    <row r="128" customFormat="false" ht="15" hidden="false" customHeight="false" outlineLevel="0" collapsed="false">
      <c r="A128" s="69" t="str">
        <f aca="false">IF(B128="","Unused","key =")</f>
        <v>Unused</v>
      </c>
      <c r="B128" s="69" t="str">
        <f aca="false">IF(Locked!G$30&gt;0,360,"")</f>
        <v/>
      </c>
      <c r="C128" s="69" t="str">
        <f aca="false">IF(Locked!G$30&gt;0,ROUND(-Locked!G$114*Locked!G$116*SIN(RADIANS(B128-36+Locked!G$31)),2),"")</f>
        <v/>
      </c>
      <c r="D128" s="69" t="str">
        <f aca="false">IF(Locked!G$30&gt;0,ROUND(Locked!G$114*Locked!G$116*SIN(RADIANS(270))*COS(RADIANS(B128-36+Locked!G$31))*PI()/180,4),"")</f>
        <v/>
      </c>
      <c r="E128" s="69" t="str">
        <f aca="false">IF(Locked!G$30&gt;0,0,"")</f>
        <v/>
      </c>
    </row>
    <row r="129" customFormat="false" ht="15" hidden="false" customHeight="false" outlineLevel="0" collapsed="false">
      <c r="A129" s="66" t="s">
        <v>212</v>
      </c>
      <c r="B129" s="69"/>
      <c r="C129" s="69"/>
      <c r="D129" s="69"/>
      <c r="E129" s="69"/>
    </row>
    <row r="130" customFormat="false" ht="15" hidden="false" customHeight="false" outlineLevel="0" collapsed="false">
      <c r="A130" s="66" t="s">
        <v>230</v>
      </c>
      <c r="B130" s="69"/>
      <c r="C130" s="69"/>
      <c r="D130" s="69"/>
      <c r="E130" s="69"/>
    </row>
    <row r="131" customFormat="false" ht="15" hidden="false" customHeight="false" outlineLevel="0" collapsed="false">
      <c r="A131" s="66" t="s">
        <v>209</v>
      </c>
      <c r="B131" s="69"/>
      <c r="C131" s="69"/>
      <c r="D131" s="69"/>
      <c r="E131" s="69"/>
    </row>
    <row r="132" customFormat="false" ht="15" hidden="false" customHeight="false" outlineLevel="0" collapsed="false">
      <c r="A132" s="69" t="s">
        <v>224</v>
      </c>
      <c r="B132" s="69" t="n">
        <v>0</v>
      </c>
      <c r="C132" s="69" t="n">
        <v>0</v>
      </c>
      <c r="D132" s="69" t="n">
        <v>0</v>
      </c>
      <c r="E132" s="69" t="n">
        <v>0</v>
      </c>
    </row>
    <row r="133" customFormat="false" ht="15" hidden="false" customHeight="false" outlineLevel="0" collapsed="false">
      <c r="A133" s="69" t="str">
        <f aca="false">IF(B133="","Unused","key =")</f>
        <v>Unused</v>
      </c>
      <c r="B133" s="69" t="str">
        <f aca="false">IF(Locked!G$30&gt;0,38,"")</f>
        <v/>
      </c>
      <c r="C133" s="69" t="str">
        <f aca="false">IF(Locked!G$30&gt;0,0.5,"")</f>
        <v/>
      </c>
      <c r="D133" s="69" t="str">
        <f aca="false">IF(Locked!G$30&gt;0,0.02,"")</f>
        <v/>
      </c>
      <c r="E133" s="69" t="str">
        <f aca="false">IF(Locked!G$30&gt;0,0.02,"")</f>
        <v/>
      </c>
    </row>
    <row r="134" customFormat="false" ht="15" hidden="false" customHeight="false" outlineLevel="0" collapsed="false">
      <c r="A134" s="69" t="str">
        <f aca="false">IF(B134="","Unused","key =")</f>
        <v>Unused</v>
      </c>
      <c r="B134" s="69" t="str">
        <f aca="false">IF(Locked!G$30&gt;0,90,"")</f>
        <v/>
      </c>
      <c r="C134" s="69" t="str">
        <f aca="false">IF(Locked!G$30&gt;0,1,"")</f>
        <v/>
      </c>
      <c r="D134" s="69" t="str">
        <f aca="false">IF(Locked!G$30&gt;0,0,"")</f>
        <v/>
      </c>
      <c r="E134" s="69" t="str">
        <f aca="false">IF(Locked!G$30&gt;0,0,"")</f>
        <v/>
      </c>
    </row>
    <row r="135" customFormat="false" ht="15" hidden="false" customHeight="false" outlineLevel="0" collapsed="false">
      <c r="A135" s="66" t="s">
        <v>212</v>
      </c>
      <c r="B135" s="69"/>
      <c r="C135" s="69"/>
      <c r="D135" s="69"/>
      <c r="E135" s="69"/>
    </row>
    <row r="136" customFormat="false" ht="15" hidden="false" customHeight="false" outlineLevel="0" collapsed="false">
      <c r="A136" s="66" t="s">
        <v>231</v>
      </c>
      <c r="B136" s="69"/>
      <c r="C136" s="69"/>
      <c r="D136" s="69"/>
      <c r="E136" s="69"/>
    </row>
    <row r="137" customFormat="false" ht="15" hidden="false" customHeight="false" outlineLevel="0" collapsed="false">
      <c r="A137" s="66" t="s">
        <v>209</v>
      </c>
      <c r="B137" s="69"/>
      <c r="C137" s="69"/>
      <c r="D137" s="69"/>
      <c r="E137" s="69"/>
    </row>
    <row r="138" customFormat="false" ht="15" hidden="false" customHeight="false" outlineLevel="0" collapsed="false">
      <c r="A138" s="69" t="s">
        <v>224</v>
      </c>
      <c r="B138" s="69" t="n">
        <v>0</v>
      </c>
      <c r="C138" s="69" t="n">
        <f aca="false">ROUND(Locked!G$115*Locked!G$116,1)/2</f>
        <v>0</v>
      </c>
      <c r="D138" s="69" t="n">
        <v>0</v>
      </c>
      <c r="E138" s="69" t="n">
        <f aca="false">-2*C138</f>
        <v>-0</v>
      </c>
    </row>
    <row r="139" customFormat="false" ht="15" hidden="false" customHeight="false" outlineLevel="0" collapsed="false">
      <c r="A139" s="69" t="str">
        <f aca="false">IF(B139="","Unused","key =")</f>
        <v>Unused</v>
      </c>
      <c r="B139" s="69" t="str">
        <f aca="false">IF(Locked!G$29&gt;0,1,"")</f>
        <v/>
      </c>
      <c r="C139" s="69" t="str">
        <f aca="false">IF(Locked!G$29&gt;0,-C138,"")</f>
        <v/>
      </c>
      <c r="D139" s="69" t="str">
        <f aca="false">IF(Locked!G$29&gt;0,E138,"")</f>
        <v/>
      </c>
      <c r="E139" s="69" t="str">
        <f aca="false">IF(Locked!G$29&gt;0,0,"")</f>
        <v/>
      </c>
    </row>
    <row r="140" customFormat="false" ht="15" hidden="false" customHeight="false" outlineLevel="0" collapsed="false">
      <c r="A140" s="66" t="s">
        <v>212</v>
      </c>
      <c r="B140" s="69"/>
      <c r="C140" s="69"/>
      <c r="D140" s="69"/>
      <c r="E140" s="69"/>
    </row>
    <row r="141" customFormat="false" ht="15" hidden="false" customHeight="false" outlineLevel="0" collapsed="false">
      <c r="A141" s="66" t="s">
        <v>225</v>
      </c>
      <c r="B141" s="69"/>
      <c r="C141" s="69"/>
      <c r="D141" s="69"/>
      <c r="E141" s="69"/>
    </row>
    <row r="142" customFormat="false" ht="15" hidden="false" customHeight="false" outlineLevel="0" collapsed="false">
      <c r="A142" s="66" t="s">
        <v>209</v>
      </c>
      <c r="B142" s="69"/>
      <c r="C142" s="69"/>
      <c r="D142" s="69"/>
      <c r="E142" s="69"/>
    </row>
    <row r="143" customFormat="false" ht="15" hidden="false" customHeight="false" outlineLevel="0" collapsed="false">
      <c r="A143" s="69" t="str">
        <f aca="false">IF(B143="","Unused","key =")</f>
        <v>key =</v>
      </c>
      <c r="B143" s="69" t="n">
        <f aca="false">IF(Locked!Q147="|",ROUND(Locked!N147,0),IF(Locked!Q147="V",ROUND(Locked!N147,-3),""))</f>
        <v>0</v>
      </c>
      <c r="C143" s="71" t="n">
        <f aca="false">IF(B143="","",IF(B144="",0,Locked!H147/1000))</f>
        <v>180.3585</v>
      </c>
      <c r="D143" s="71" t="n">
        <v>0</v>
      </c>
      <c r="E143" s="71" t="n">
        <f aca="false">IF(C143="","",IF(C143=0,0,-(C143*1.001-C143*0.999)/(Locked!G147*LN((C143*1.001)/(C143*0.999)))/IF(Locked!G$125&gt;0,Locked!G$125,0.8)))</f>
        <v>-0.0396300387093906</v>
      </c>
    </row>
    <row r="144" customFormat="false" ht="15" hidden="false" customHeight="false" outlineLevel="0" collapsed="false">
      <c r="A144" s="69" t="str">
        <f aca="false">IF(B144="","Unused","key =")</f>
        <v>key =</v>
      </c>
      <c r="B144" s="69" t="n">
        <f aca="false">IF(Locked!Q148="|",ROUND(Locked!N148,0),IF(Locked!Q148="V",ROUND(Locked!N148,-3),""))</f>
        <v>2532</v>
      </c>
      <c r="C144" s="71" t="n">
        <f aca="false">IF(B144="","",IF(B145="",0,Locked!H148/1000))</f>
        <v>101.423037899344</v>
      </c>
      <c r="D144" s="71" t="n">
        <f aca="false">IF(C144="","",IF(C144=0,0,-(C144*1.001-C144*0.999)/(Locked!G148*LN((C144*1.001)/(C144*0.999)))/IF(Locked!G$125&gt;0,Locked!G$125,0.8)))</f>
        <v>-0.0238793552226916</v>
      </c>
      <c r="E144" s="71" t="n">
        <f aca="false">D144</f>
        <v>-0.0238793552226916</v>
      </c>
    </row>
    <row r="145" customFormat="false" ht="15" hidden="false" customHeight="false" outlineLevel="0" collapsed="false">
      <c r="A145" s="69" t="str">
        <f aca="false">IF(B145="","Unused","key =")</f>
        <v>key =</v>
      </c>
      <c r="B145" s="69" t="n">
        <f aca="false">IF(Locked!Q149="|",ROUND(Locked!N149,0),IF(Locked!Q149="V",ROUND(Locked!N149,-3),""))</f>
        <v>4935</v>
      </c>
      <c r="C145" s="71" t="n">
        <f aca="false">IF(B145="","",IF(B146="",0,Locked!H149/1000))</f>
        <v>57.0343655371479</v>
      </c>
      <c r="D145" s="71" t="n">
        <f aca="false">IF(C145="","",IF(C145=0,0,-(C145*1.001-C145*0.999)/(Locked!G149*LN((C145*1.001)/(C145*0.999)))/IF(Locked!G$125&gt;0,Locked!G$125,0.8)))</f>
        <v>-0.0139151162732992</v>
      </c>
      <c r="E145" s="71" t="n">
        <f aca="false">D145</f>
        <v>-0.0139151162732992</v>
      </c>
    </row>
    <row r="146" customFormat="false" ht="15" hidden="false" customHeight="false" outlineLevel="0" collapsed="false">
      <c r="A146" s="69" t="str">
        <f aca="false">IF(B146="","Unused","key =")</f>
        <v>key =</v>
      </c>
      <c r="B146" s="69" t="n">
        <f aca="false">IF(Locked!Q150="|",ROUND(Locked!N150,0),IF(Locked!Q150="V",ROUND(Locked!N150,-3),""))</f>
        <v>7244</v>
      </c>
      <c r="C146" s="71" t="n">
        <f aca="false">IF(B146="","",IF(B147="",0,Locked!H150/1000))</f>
        <v>32.0727806975505</v>
      </c>
      <c r="D146" s="71" t="n">
        <f aca="false">IF(C146="","",IF(C146=0,0,-(C146*1.001-C146*0.999)/(Locked!G150*LN((C146*1.001)/(C146*0.999)))/IF(Locked!G$125&gt;0,Locked!G$125,0.8)))</f>
        <v>-0.0081915500684015</v>
      </c>
      <c r="E146" s="71" t="n">
        <f aca="false">D146</f>
        <v>-0.0081915500684015</v>
      </c>
    </row>
    <row r="147" customFormat="false" ht="15" hidden="false" customHeight="false" outlineLevel="0" collapsed="false">
      <c r="A147" s="69" t="str">
        <f aca="false">IF(B147="","Unused","key =")</f>
        <v>key =</v>
      </c>
      <c r="B147" s="69" t="n">
        <f aca="false">IF(Locked!Q151="|",ROUND(Locked!N151,0),IF(Locked!Q151="V",ROUND(Locked!N151,-3),""))</f>
        <v>9451</v>
      </c>
      <c r="C147" s="71" t="n">
        <f aca="false">IF(B147="","",IF(B148="",0,Locked!H151/1000))</f>
        <v>18.03585</v>
      </c>
      <c r="D147" s="71" t="n">
        <f aca="false">IF(C147="","",IF(C147=0,0,-(C147*1.001-C147*0.999)/(Locked!G151*LN((C147*1.001)/(C147*0.999)))/IF(Locked!G$125&gt;0,Locked!G$125,0.8)))</f>
        <v>-0.00481882002059795</v>
      </c>
      <c r="E147" s="71" t="n">
        <f aca="false">D147</f>
        <v>-0.00481882002059795</v>
      </c>
    </row>
    <row r="148" customFormat="false" ht="15" hidden="false" customHeight="false" outlineLevel="0" collapsed="false">
      <c r="A148" s="69" t="str">
        <f aca="false">IF(B148="","Unused","key =")</f>
        <v>key =</v>
      </c>
      <c r="B148" s="69" t="n">
        <f aca="false">IF(Locked!Q152="|",ROUND(Locked!N152,0),IF(Locked!Q152="V",ROUND(Locked!N152,-3),""))</f>
        <v>11563</v>
      </c>
      <c r="C148" s="71" t="n">
        <f aca="false">IF(B148="","",IF(B149="",0,Locked!H152/1000))</f>
        <v>10.1423037899344</v>
      </c>
      <c r="D148" s="71" t="n">
        <f aca="false">IF(C148="","",IF(C148=0,0,-(C148*1.001-C148*0.999)/(Locked!G152*LN((C148*1.001)/(C148*0.999)))/IF(Locked!G$125&gt;0,Locked!G$125,0.8)))</f>
        <v>-0.00283229431821475</v>
      </c>
      <c r="E148" s="71" t="n">
        <f aca="false">D148</f>
        <v>-0.00283229431821475</v>
      </c>
    </row>
    <row r="149" customFormat="false" ht="15" hidden="false" customHeight="false" outlineLevel="0" collapsed="false">
      <c r="A149" s="69" t="str">
        <f aca="false">IF(B149="","Unused","key =")</f>
        <v>key =</v>
      </c>
      <c r="B149" s="69" t="n">
        <f aca="false">IF(Locked!Q153="|",ROUND(Locked!N153,0),IF(Locked!Q153="V",ROUND(Locked!N153,-3),""))</f>
        <v>13585</v>
      </c>
      <c r="C149" s="71" t="n">
        <f aca="false">IF(B149="","",IF(B150="",0,Locked!H153/1000))</f>
        <v>5.70343655371479</v>
      </c>
      <c r="D149" s="71" t="n">
        <f aca="false">IF(C149="","",IF(C149=0,0,-(C149*1.001-C149*0.999)/(Locked!G153*LN((C149*1.001)/(C149*0.999)))/IF(Locked!G$125&gt;0,Locked!G$125,0.8)))</f>
        <v>-0.00166188673195589</v>
      </c>
      <c r="E149" s="71" t="n">
        <f aca="false">D149</f>
        <v>-0.00166188673195589</v>
      </c>
    </row>
    <row r="150" customFormat="false" ht="15" hidden="false" customHeight="false" outlineLevel="0" collapsed="false">
      <c r="A150" s="69" t="str">
        <f aca="false">IF(B150="","Unused","key =")</f>
        <v>key =</v>
      </c>
      <c r="B150" s="69" t="n">
        <f aca="false">IF(Locked!Q154="|",ROUND(Locked!N154,0),IF(Locked!Q154="V",ROUND(Locked!N154,-3),""))</f>
        <v>15527</v>
      </c>
      <c r="C150" s="71" t="n">
        <f aca="false">IF(B150="","",IF(B151="",0,Locked!H154/1000))</f>
        <v>3.20727806975505</v>
      </c>
      <c r="D150" s="71" t="n">
        <f aca="false">IF(C150="","",IF(C150=0,0,-(C150*1.001-C150*0.999)/(Locked!G154*LN((C150*1.001)/(C150*0.999)))/IF(Locked!G$125&gt;0,Locked!G$125,0.8)))</f>
        <v>-0.000972692887931311</v>
      </c>
      <c r="E150" s="71" t="n">
        <f aca="false">D150</f>
        <v>-0.000972692887931311</v>
      </c>
    </row>
    <row r="151" customFormat="false" ht="15" hidden="false" customHeight="false" outlineLevel="0" collapsed="false">
      <c r="A151" s="69" t="str">
        <f aca="false">IF(B151="","Unused","key =")</f>
        <v>key =</v>
      </c>
      <c r="B151" s="69" t="n">
        <f aca="false">IF(Locked!Q155="|",ROUND(Locked!N155,0),IF(Locked!Q155="V",ROUND(Locked!N155,-3),""))</f>
        <v>17395</v>
      </c>
      <c r="C151" s="71" t="n">
        <f aca="false">IF(B151="","",IF(B152="",0,Locked!H155/1000))</f>
        <v>1.803585</v>
      </c>
      <c r="D151" s="71" t="n">
        <f aca="false">IF(C151="","",IF(C151=0,0,-(C151*1.001-C151*0.999)/(Locked!G155*LN((C151*1.001)/(C151*0.999)))/IF(Locked!G$125&gt;0,Locked!G$125,0.8)))</f>
        <v>-0.000567806186920852</v>
      </c>
      <c r="E151" s="71" t="n">
        <f aca="false">D151</f>
        <v>-0.000567806186920852</v>
      </c>
    </row>
    <row r="152" customFormat="false" ht="15" hidden="false" customHeight="false" outlineLevel="0" collapsed="false">
      <c r="A152" s="69" t="str">
        <f aca="false">IF(B152="","Unused","key =")</f>
        <v>key =</v>
      </c>
      <c r="B152" s="69" t="n">
        <f aca="false">IF(Locked!Q156="|",ROUND(Locked!N156,0),IF(Locked!Q156="V",ROUND(Locked!N156,-3),""))</f>
        <v>19198</v>
      </c>
      <c r="C152" s="71" t="n">
        <f aca="false">IF(B152="","",IF(B153="",0,Locked!H156/1000))</f>
        <v>1.01423037899344</v>
      </c>
      <c r="D152" s="71" t="n">
        <f aca="false">IF(C152="","",IF(C152=0,0,-(C152*1.001-C152*0.999)/(Locked!G156*LN((C152*1.001)/(C152*0.999)))/IF(Locked!G$125&gt;0,Locked!G$125,0.8)))</f>
        <v>-0.000330540840635342</v>
      </c>
      <c r="E152" s="71" t="n">
        <f aca="false">D152</f>
        <v>-0.000330540840635342</v>
      </c>
    </row>
    <row r="153" customFormat="false" ht="15" hidden="false" customHeight="false" outlineLevel="0" collapsed="false">
      <c r="A153" s="69" t="str">
        <f aca="false">IF(B153="","Unused","key =")</f>
        <v>key =</v>
      </c>
      <c r="B153" s="69" t="n">
        <f aca="false">IF(Locked!Q157="|",ROUND(Locked!N157,0),IF(Locked!Q157="V",ROUND(Locked!N157,-3),""))</f>
        <v>20971</v>
      </c>
      <c r="C153" s="71" t="n">
        <f aca="false">IF(B153="","",IF(B154="",0,Locked!H157/1000))</f>
        <v>0.570343655371479</v>
      </c>
      <c r="D153" s="71" t="n">
        <f aca="false">IF(C153="","",IF(C153=0,0,-(C153*1.001-C153*0.999)/(Locked!G157*LN((C153*1.001)/(C153*0.999)))/IF(Locked!G$125&gt;0,Locked!G$125,0.8)))</f>
        <v>-0.000191873543978326</v>
      </c>
      <c r="E153" s="71" t="n">
        <f aca="false">D153</f>
        <v>-0.000191873543978326</v>
      </c>
    </row>
    <row r="154" customFormat="false" ht="15" hidden="false" customHeight="false" outlineLevel="0" collapsed="false">
      <c r="A154" s="69" t="str">
        <f aca="false">IF(B154="","Unused","key =")</f>
        <v>key =</v>
      </c>
      <c r="B154" s="69" t="n">
        <f aca="false">IF(Locked!Q158="|",ROUND(Locked!N158,0),IF(Locked!Q158="V",ROUND(Locked!N158,-3),""))</f>
        <v>22664</v>
      </c>
      <c r="C154" s="71" t="n">
        <f aca="false">IF(B154="","",IF(B155="",0,Locked!H158/1000))</f>
        <v>0.320727806975505</v>
      </c>
      <c r="D154" s="71" t="n">
        <f aca="false">IF(C154="","",IF(C154=0,0,-(C154*1.001-C154*0.999)/(Locked!G158*LN((C154*1.001)/(C154*0.999)))/IF(Locked!G$125&gt;0,Locked!G$125,0.8)))</f>
        <v>-0.000111057984813621</v>
      </c>
      <c r="E154" s="71" t="n">
        <f aca="false">D154</f>
        <v>-0.000111057984813621</v>
      </c>
    </row>
    <row r="155" customFormat="false" ht="15" hidden="false" customHeight="false" outlineLevel="0" collapsed="false">
      <c r="A155" s="69" t="str">
        <f aca="false">IF(B155="","Unused","key =")</f>
        <v>key =</v>
      </c>
      <c r="B155" s="69" t="n">
        <f aca="false">IF(Locked!Q159="|",ROUND(Locked!N159,0),IF(Locked!Q159="V",ROUND(Locked!N159,-3),""))</f>
        <v>24312</v>
      </c>
      <c r="C155" s="71" t="n">
        <f aca="false">IF(B155="","",IF(B156="",0,Locked!H159/1000))</f>
        <v>0.1803585</v>
      </c>
      <c r="D155" s="71" t="n">
        <f aca="false">IF(C155="","",IF(C155=0,0,-(C155*1.001-C155*0.999)/(Locked!G159*LN((C155*1.001)/(C155*0.999)))/IF(Locked!G$125&gt;0,Locked!G$125,0.8)))</f>
        <v>-6.40952141187458E-005</v>
      </c>
      <c r="E155" s="71" t="n">
        <f aca="false">D155</f>
        <v>-6.40952141187458E-005</v>
      </c>
    </row>
    <row r="156" customFormat="false" ht="15" hidden="false" customHeight="false" outlineLevel="0" collapsed="false">
      <c r="A156" s="69" t="str">
        <f aca="false">IF(B156="","Unused","key =")</f>
        <v>key =</v>
      </c>
      <c r="B156" s="69" t="n">
        <f aca="false">IF(Locked!Q160="|",ROUND(Locked!N160,0),IF(Locked!Q160="V",ROUND(Locked!N160,-3),""))</f>
        <v>25921</v>
      </c>
      <c r="C156" s="71" t="n">
        <f aca="false">IF(B156="","",IF(B157="",0,Locked!H160/1000))</f>
        <v>0.101423037899344</v>
      </c>
      <c r="D156" s="71" t="n">
        <f aca="false">IF(C156="","",IF(C156=0,0,-(C156*1.001-C156*0.999)/(Locked!G160*LN((C156*1.001)/(C156*0.999)))/IF(Locked!G$125&gt;0,Locked!G$125,0.8)))</f>
        <v>-3.68465106472315E-005</v>
      </c>
      <c r="E156" s="71" t="n">
        <f aca="false">D156</f>
        <v>-3.68465106472315E-005</v>
      </c>
    </row>
    <row r="157" customFormat="false" ht="15" hidden="false" customHeight="false" outlineLevel="0" collapsed="false">
      <c r="A157" s="69" t="str">
        <f aca="false">IF(B157="","Unused","key =")</f>
        <v>key =</v>
      </c>
      <c r="B157" s="69" t="n">
        <f aca="false">IF(Locked!Q161="|",ROUND(Locked!N161,0),IF(Locked!Q161="V",ROUND(Locked!N161,-3),""))</f>
        <v>27497</v>
      </c>
      <c r="C157" s="71" t="n">
        <f aca="false">IF(B157="","",IF(B158="",0,Locked!H161/1000))</f>
        <v>0.0570343655371479</v>
      </c>
      <c r="D157" s="71" t="n">
        <f aca="false">IF(C157="","",IF(C157=0,0,-(C157*1.001-C157*0.999)/(Locked!G161*LN((C157*1.001)/(C157*0.999)))/IF(Locked!G$125&gt;0,Locked!G$125,0.8)))</f>
        <v>-2.11548018892756E-005</v>
      </c>
      <c r="E157" s="71" t="n">
        <f aca="false">D157</f>
        <v>-2.11548018892756E-005</v>
      </c>
    </row>
    <row r="158" customFormat="false" ht="15" hidden="false" customHeight="false" outlineLevel="0" collapsed="false">
      <c r="A158" s="69" t="str">
        <f aca="false">IF(B158="","Unused","key =")</f>
        <v>key =</v>
      </c>
      <c r="B158" s="69" t="n">
        <f aca="false">IF(Locked!Q162="|",ROUND(Locked!N162,0),IF(Locked!Q162="V",ROUND(Locked!N162,-3),""))</f>
        <v>29042</v>
      </c>
      <c r="C158" s="71" t="n">
        <f aca="false">IF(B158="","",IF(B159="",0,Locked!H162/1000))</f>
        <v>0.0320727806975505</v>
      </c>
      <c r="D158" s="71" t="n">
        <f aca="false">IF(C158="","",IF(C158=0,0,-(C158*1.001-C158*0.999)/(Locked!G162*LN((C158*1.001)/(C158*0.999)))/IF(Locked!G$125&gt;0,Locked!G$125,0.8)))</f>
        <v>-1.21116929472737E-005</v>
      </c>
      <c r="E158" s="71" t="n">
        <f aca="false">D158</f>
        <v>-1.21116929472737E-005</v>
      </c>
    </row>
    <row r="159" customFormat="false" ht="15" hidden="false" customHeight="false" outlineLevel="0" collapsed="false">
      <c r="A159" s="69" t="str">
        <f aca="false">IF(B159="","Unused","key =")</f>
        <v>key =</v>
      </c>
      <c r="B159" s="69" t="n">
        <f aca="false">IF(Locked!Q163="|",ROUND(Locked!N163,0),IF(Locked!Q163="V",ROUND(Locked!N163,-3),""))</f>
        <v>30563</v>
      </c>
      <c r="C159" s="71" t="n">
        <f aca="false">IF(B159="","",IF(B160="",0,Locked!H163/1000))</f>
        <v>0.01803585</v>
      </c>
      <c r="D159" s="71" t="n">
        <f aca="false">IF(C159="","",IF(C159=0,0,-(C159*1.001-C159*0.999)/(Locked!G163*LN((C159*1.001)/(C159*0.999)))/IF(Locked!G$125&gt;0,Locked!G$125,0.8)))</f>
        <v>-6.91583140472619E-006</v>
      </c>
      <c r="E159" s="71" t="n">
        <f aca="false">D159</f>
        <v>-6.91583140472619E-006</v>
      </c>
    </row>
    <row r="160" customFormat="false" ht="15" hidden="false" customHeight="false" outlineLevel="0" collapsed="false">
      <c r="A160" s="69" t="str">
        <f aca="false">IF(B160="","Unused","key =")</f>
        <v>key =</v>
      </c>
      <c r="B160" s="69" t="n">
        <f aca="false">IF(Locked!Q164="|",ROUND(Locked!N164,0),IF(Locked!Q164="V",ROUND(Locked!N164,-3),""))</f>
        <v>32073</v>
      </c>
      <c r="C160" s="71" t="n">
        <f aca="false">IF(B160="","",IF(B161="",0,Locked!H164/1000))</f>
        <v>0.0101423037899344</v>
      </c>
      <c r="D160" s="71" t="n">
        <f aca="false">IF(C160="","",IF(C160=0,0,-(C160*1.001-C160*0.999)/(Locked!G164*LN((C160*1.001)/(C160*0.999)))/IF(Locked!G$125&gt;0,Locked!G$125,0.8)))</f>
        <v>-3.93916027316775E-006</v>
      </c>
      <c r="E160" s="71" t="n">
        <f aca="false">D160</f>
        <v>-3.93916027316775E-006</v>
      </c>
    </row>
    <row r="161" customFormat="false" ht="15" hidden="false" customHeight="false" outlineLevel="0" collapsed="false">
      <c r="A161" s="69" t="str">
        <f aca="false">IF(B161="","Unused","key =")</f>
        <v>key =</v>
      </c>
      <c r="B161" s="69" t="n">
        <f aca="false">IF(Locked!Q165="|",ROUND(Locked!N165,0),IF(Locked!Q165="V",ROUND(Locked!N165,-3),""))</f>
        <v>33563</v>
      </c>
      <c r="C161" s="71" t="n">
        <f aca="false">IF(B161="","",IF(B162="",0,Locked!H165/1000))</f>
        <v>0.00570343655371479</v>
      </c>
      <c r="D161" s="71" t="n">
        <f aca="false">IF(C161="","",IF(C161=0,0,-(C161*1.001-C161*0.999)/(Locked!G165*LN((C161*1.001)/(C161*0.999)))/IF(Locked!G$125&gt;0,Locked!G$125,0.8)))</f>
        <v>-2.24429628807127E-006</v>
      </c>
      <c r="E161" s="71" t="n">
        <f aca="false">D161</f>
        <v>-2.24429628807127E-006</v>
      </c>
    </row>
    <row r="162" customFormat="false" ht="15" hidden="false" customHeight="false" outlineLevel="0" collapsed="false">
      <c r="A162" s="69" t="str">
        <f aca="false">IF(B162="","Unused","key =")</f>
        <v>key =</v>
      </c>
      <c r="B162" s="105" t="n">
        <f aca="false">IF(Locked!Q166="|",ROUND(Locked!N166,0),IF(Locked!Q166="V",ROUND(Locked!N166,-3),""))</f>
        <v>35035</v>
      </c>
      <c r="C162" s="71" t="n">
        <f aca="false">IF(B162="","",IF(B163="",0,Locked!H166/1000))</f>
        <v>0.00320727806975505</v>
      </c>
      <c r="D162" s="71" t="n">
        <f aca="false">IF(C162="","",IF(C162=0,0,-(C162*1.001-C162*0.999)/(Locked!G166*LN((C162*1.001)/(C162*0.999)))/IF(Locked!G$125&gt;0,Locked!G$125,0.8)))</f>
        <v>-1.28020792243201E-006</v>
      </c>
      <c r="E162" s="71" t="n">
        <f aca="false">D162</f>
        <v>-1.28020792243201E-006</v>
      </c>
    </row>
    <row r="163" customFormat="false" ht="15" hidden="false" customHeight="false" outlineLevel="0" collapsed="false">
      <c r="A163" s="69" t="str">
        <f aca="false">IF(B163="","Unused","key =")</f>
        <v>key =</v>
      </c>
      <c r="B163" s="105" t="n">
        <f aca="false">IF(Locked!Q167="|",ROUND(Locked!N167,0),IF(Locked!Q167="V",ROUND(Locked!N167,-3),""))</f>
        <v>36486</v>
      </c>
      <c r="C163" s="71" t="n">
        <f aca="false">IF(B163="","",IF(B164="",0,Locked!H167/1000))</f>
        <v>0.001803585</v>
      </c>
      <c r="D163" s="71" t="n">
        <f aca="false">IF(C163="","",IF(C163=0,0,-(C163*1.001-C163*0.999)/(Locked!G167*LN((C163*1.001)/(C163*0.999)))/IF(Locked!G$125&gt;0,Locked!G$125,0.8)))</f>
        <v>-7.31240548154209E-007</v>
      </c>
      <c r="E163" s="71" t="n">
        <f aca="false">D163</f>
        <v>-7.31240548154209E-007</v>
      </c>
    </row>
    <row r="164" customFormat="false" ht="15" hidden="false" customHeight="false" outlineLevel="0" collapsed="false">
      <c r="A164" s="69" t="str">
        <f aca="false">IF(B164="","Unused","key =")</f>
        <v>key =</v>
      </c>
      <c r="B164" s="105" t="n">
        <f aca="false">IF(Locked!Q168="|",ROUND(Locked!N168,0),IF(Locked!Q168="V",ROUND(Locked!N168,-3),""))</f>
        <v>37903</v>
      </c>
      <c r="C164" s="71" t="n">
        <f aca="false">IF(B164="","",IF(B165="",0,Locked!H168/1000))</f>
        <v>0.00101423037899344</v>
      </c>
      <c r="D164" s="71" t="n">
        <f aca="false">IF(C164="","",IF(C164=0,0,-(C164*1.001-C164*0.999)/(Locked!G168*LN((C164*1.001)/(C164*0.999)))/IF(Locked!G$125&gt;0,Locked!G$125,0.8)))</f>
        <v>-4.1814065286983E-007</v>
      </c>
      <c r="E164" s="71" t="n">
        <f aca="false">D164</f>
        <v>-4.1814065286983E-007</v>
      </c>
    </row>
    <row r="165" customFormat="false" ht="15" hidden="false" customHeight="false" outlineLevel="0" collapsed="false">
      <c r="A165" s="69" t="str">
        <f aca="false">IF(B165="","Unused","key =")</f>
        <v>key =</v>
      </c>
      <c r="B165" s="105" t="n">
        <f aca="false">IF(Locked!Q169="|",ROUND(Locked!N169,0),IF(Locked!Q169="V",ROUND(Locked!N169,-3),""))</f>
        <v>39297</v>
      </c>
      <c r="C165" s="71" t="n">
        <f aca="false">IF(B165="","",IF(B166="",0,Locked!H169/1000))</f>
        <v>0.000570343655371479</v>
      </c>
      <c r="D165" s="71" t="n">
        <f aca="false">IF(C165="","",IF(C165=0,0,-(C165*1.001-C165*0.999)/(Locked!G169*LN((C165*1.001)/(C165*0.999)))/IF(Locked!G$125&gt;0,Locked!G$125,0.8)))</f>
        <v>-2.39289565667421E-007</v>
      </c>
      <c r="E165" s="71" t="n">
        <f aca="false">D165</f>
        <v>-2.39289565667421E-007</v>
      </c>
    </row>
    <row r="166" customFormat="false" ht="15" hidden="false" customHeight="false" outlineLevel="0" collapsed="false">
      <c r="A166" s="69" t="str">
        <f aca="false">IF(B166="","Unused","key =")</f>
        <v>key =</v>
      </c>
      <c r="B166" s="105" t="n">
        <f aca="false">IF(Locked!Q170="|",ROUND(Locked!N170,0),IF(Locked!Q170="V",ROUND(Locked!N170,-3),""))</f>
        <v>40666</v>
      </c>
      <c r="C166" s="71" t="n">
        <f aca="false">IF(B166="","",IF(B167="",0,Locked!H170/1000))</f>
        <v>0.000320727806975505</v>
      </c>
      <c r="D166" s="71" t="n">
        <f aca="false">IF(C166="","",IF(C166=0,0,-(C166*1.001-C166*0.999)/(Locked!G170*LN((C166*1.001)/(C166*0.999)))/IF(Locked!G$125&gt;0,Locked!G$125,0.8)))</f>
        <v>-1.36997106993554E-007</v>
      </c>
      <c r="E166" s="71" t="n">
        <f aca="false">D166</f>
        <v>-1.36997106993554E-007</v>
      </c>
    </row>
    <row r="167" customFormat="false" ht="15" hidden="false" customHeight="false" outlineLevel="0" collapsed="false">
      <c r="A167" s="69" t="str">
        <f aca="false">IF(B167="","Unused","key =")</f>
        <v>key =</v>
      </c>
      <c r="B167" s="69" t="n">
        <f aca="false">IF(Locked!Q171="|",ROUND(Locked!N171,0),IF(Locked!Q171="V",ROUND(Locked!N171,-3),""))</f>
        <v>42011</v>
      </c>
      <c r="C167" s="71" t="n">
        <f aca="false">IF(B167="","",IF(B168="",0,Locked!H171/1000))</f>
        <v>0.0001803585</v>
      </c>
      <c r="D167" s="71" t="n">
        <f aca="false">IF(C167="","",IF(C167=0,0,-(C167*1.001-C167*0.999)/(Locked!G171*LN((C167*1.001)/(C167*0.999)))/IF(Locked!G$125&gt;0,Locked!G$125,0.8)))</f>
        <v>-7.84370184872385E-008</v>
      </c>
      <c r="E167" s="71" t="n">
        <f aca="false">D167</f>
        <v>-7.84370184872385E-008</v>
      </c>
    </row>
    <row r="168" customFormat="false" ht="15" hidden="false" customHeight="false" outlineLevel="0" collapsed="false">
      <c r="A168" s="69" t="str">
        <f aca="false">IF(B168="","Unused","key =")</f>
        <v>key =</v>
      </c>
      <c r="B168" s="69" t="n">
        <f aca="false">IF(Locked!Q172="|",ROUND(Locked!N172,0),IF(Locked!Q172="V",ROUND(Locked!N172,-3),""))</f>
        <v>43333</v>
      </c>
      <c r="C168" s="71" t="n">
        <f aca="false">IF(B168="","",IF(B169="",0,Locked!H172/1000))</f>
        <v>0.000101423037899344</v>
      </c>
      <c r="D168" s="71" t="n">
        <f aca="false">IF(C168="","",IF(C168=0,0,-(C168*1.001-C168*0.999)/(Locked!G172*LN((C168*1.001)/(C168*0.999)))/IF(Locked!G$125&gt;0,Locked!G$125,0.8)))</f>
        <v>-4.48927727483158E-008</v>
      </c>
      <c r="E168" s="71" t="n">
        <f aca="false">D168</f>
        <v>-4.48927727483158E-008</v>
      </c>
    </row>
    <row r="169" customFormat="false" ht="15" hidden="false" customHeight="false" outlineLevel="0" collapsed="false">
      <c r="A169" s="69" t="str">
        <f aca="false">IF(B169="","Unused","key =")</f>
        <v>key =</v>
      </c>
      <c r="B169" s="69" t="n">
        <f aca="false">IF(Locked!Q173="|",ROUND(Locked!N173,0),IF(Locked!Q173="V",ROUND(Locked!N173,-3),""))</f>
        <v>45000</v>
      </c>
      <c r="C169" s="71" t="n">
        <f aca="false">IF(B169="","",IF(B170="",0,Locked!H173/1000))</f>
        <v>0</v>
      </c>
      <c r="D169" s="71" t="n">
        <f aca="false">IF(C169="","",IF(C169=0,0,-(C169*1.001-C169*0.999)/(Locked!G173*LN((C169*1.001)/(C169*0.999)))/IF(Locked!G$125&gt;0,Locked!G$125,0.8)))</f>
        <v>0</v>
      </c>
      <c r="E169" s="71" t="n">
        <f aca="false">D169</f>
        <v>0</v>
      </c>
    </row>
    <row r="170" customFormat="false" ht="15" hidden="false" customHeight="false" outlineLevel="0" collapsed="false">
      <c r="A170" s="69" t="str">
        <f aca="false">IF(B170="","Unused","key =")</f>
        <v>Unused</v>
      </c>
      <c r="B170" s="69" t="str">
        <f aca="false">IF(Locked!Q174="|",ROUND(Locked!N174,0),IF(Locked!Q174="V",ROUND(Locked!N174,-3),""))</f>
        <v/>
      </c>
      <c r="C170" s="71" t="str">
        <f aca="false">IF(B170="","",IF(B171="",0,Locked!H174/1000))</f>
        <v/>
      </c>
      <c r="D170" s="71" t="str">
        <f aca="false">IF(C170="","",IF(C170=0,0,-(C170*1.001-C170*0.999)/(Locked!G174*LN((C170*1.001)/(C170*0.999)))/IF(Locked!G$125&gt;0,Locked!G$125,0.8)))</f>
        <v/>
      </c>
      <c r="E170" s="71" t="str">
        <f aca="false">D170</f>
        <v/>
      </c>
    </row>
    <row r="171" customFormat="false" ht="15" hidden="false" customHeight="false" outlineLevel="0" collapsed="false">
      <c r="A171" s="69" t="str">
        <f aca="false">IF(B171="","Unused","key =")</f>
        <v>Unused</v>
      </c>
      <c r="B171" s="69" t="str">
        <f aca="false">IF(Locked!Q175="|",ROUND(Locked!N175,0),IF(Locked!Q175="V",ROUND(Locked!N175,-3),""))</f>
        <v/>
      </c>
      <c r="C171" s="71" t="str">
        <f aca="false">IF(B171="","",IF(B172="",0,Locked!H175/1000))</f>
        <v/>
      </c>
      <c r="D171" s="71" t="str">
        <f aca="false">IF(C171="","",IF(C171=0,0,-(C171*1.001-C171*0.999)/(Locked!G175*LN((C171*1.001)/(C171*0.999)))/IF(Locked!G$125&gt;0,Locked!G$125,0.8)))</f>
        <v/>
      </c>
      <c r="E171" s="71" t="str">
        <f aca="false">D171</f>
        <v/>
      </c>
    </row>
    <row r="172" customFormat="false" ht="15" hidden="false" customHeight="false" outlineLevel="0" collapsed="false">
      <c r="A172" s="69" t="str">
        <f aca="false">IF(B172="","Unused","key =")</f>
        <v>Unused</v>
      </c>
      <c r="B172" s="69" t="str">
        <f aca="false">IF(Locked!Q176="|",ROUND(Locked!N176,0),IF(Locked!Q176="V",ROUND(Locked!N176,-3),""))</f>
        <v/>
      </c>
      <c r="C172" s="71" t="str">
        <f aca="false">IF(B172="","",IF(B173="",0,Locked!H176/1000))</f>
        <v/>
      </c>
      <c r="D172" s="71" t="str">
        <f aca="false">IF(C172="","",IF(C172=0,0,-(C172*1.001-C172*0.999)/(Locked!G176*LN((C172*1.001)/(C172*0.999)))/IF(Locked!G$125&gt;0,Locked!G$125,0.8)))</f>
        <v/>
      </c>
      <c r="E172" s="71" t="str">
        <f aca="false">D172</f>
        <v/>
      </c>
    </row>
    <row r="173" customFormat="false" ht="15" hidden="false" customHeight="false" outlineLevel="0" collapsed="false">
      <c r="A173" s="69" t="str">
        <f aca="false">IF(B173="","Unused","key =")</f>
        <v>Unused</v>
      </c>
      <c r="B173" s="69" t="str">
        <f aca="false">IF(Locked!Q177="|",ROUND(Locked!N177,0),IF(Locked!Q177="V",ROUND(Locked!N177,-3),""))</f>
        <v/>
      </c>
      <c r="C173" s="71" t="str">
        <f aca="false">IF(B173="","",IF(B174="",0,Locked!H177/1000))</f>
        <v/>
      </c>
      <c r="D173" s="71" t="str">
        <f aca="false">IF(C173="","",IF(C173=0,0,-(C173*1.001-C173*0.999)/(Locked!G177*LN((C173*1.001)/(C173*0.999)))/IF(Locked!G$125&gt;0,Locked!G$125,0.8)))</f>
        <v/>
      </c>
      <c r="E173" s="71" t="str">
        <f aca="false">D173</f>
        <v/>
      </c>
    </row>
    <row r="174" customFormat="false" ht="15" hidden="false" customHeight="false" outlineLevel="0" collapsed="false">
      <c r="A174" s="69" t="str">
        <f aca="false">IF(B174="","Unused","key =")</f>
        <v>Unused</v>
      </c>
      <c r="B174" s="69" t="str">
        <f aca="false">IF(Locked!Q178="|",ROUND(Locked!N178,0),IF(Locked!Q178="V",ROUND(Locked!N178,-3),""))</f>
        <v/>
      </c>
      <c r="C174" s="71" t="str">
        <f aca="false">IF(B174="","",IF(B175="",0,Locked!H178/1000))</f>
        <v/>
      </c>
      <c r="D174" s="71" t="str">
        <f aca="false">IF(C174="","",IF(C174=0,0,-(C174*1.001-C174*0.999)/(Locked!G178*LN((C174*1.001)/(C174*0.999)))/IF(Locked!G$125&gt;0,Locked!G$125,0.8)))</f>
        <v/>
      </c>
      <c r="E174" s="71" t="str">
        <f aca="false">D174</f>
        <v/>
      </c>
    </row>
    <row r="175" customFormat="false" ht="15" hidden="false" customHeight="false" outlineLevel="0" collapsed="false">
      <c r="A175" s="69" t="str">
        <f aca="false">IF(B175="","Unused","key =")</f>
        <v>Unused</v>
      </c>
      <c r="B175" s="69" t="str">
        <f aca="false">IF(Locked!Q179="|",ROUND(Locked!N179,0),IF(Locked!Q179="V",ROUND(Locked!N179,-3),""))</f>
        <v/>
      </c>
      <c r="C175" s="71" t="str">
        <f aca="false">IF(B175="","",IF(B176="",0,Locked!H179/1000))</f>
        <v/>
      </c>
      <c r="D175" s="71" t="str">
        <f aca="false">IF(C175="","",IF(C175=0,0,-(C175*1.001-C175*0.999)/(Locked!G179*LN((C175*1.001)/(C175*0.999)))/IF(Locked!G$125&gt;0,Locked!G$125,0.8)))</f>
        <v/>
      </c>
      <c r="E175" s="71" t="str">
        <f aca="false">D175</f>
        <v/>
      </c>
    </row>
    <row r="176" customFormat="false" ht="15" hidden="false" customHeight="false" outlineLevel="0" collapsed="false">
      <c r="A176" s="69" t="str">
        <f aca="false">IF(B176="","Unused","key =")</f>
        <v>Unused</v>
      </c>
      <c r="B176" s="69" t="str">
        <f aca="false">IF(Locked!Q180="|",ROUND(Locked!N180,0),IF(Locked!Q180="V",ROUND(Locked!N180,-3),""))</f>
        <v/>
      </c>
      <c r="C176" s="71" t="str">
        <f aca="false">IF(B176="","",IF(B177="",0,Locked!H180/1000))</f>
        <v/>
      </c>
      <c r="D176" s="71" t="str">
        <f aca="false">IF(C176="","",IF(C176=0,0,-(C176*1.001-C176*0.999)/(Locked!G180*LN((C176*1.001)/(C176*0.999)))/IF(Locked!G$125&gt;0,Locked!G$125,0.8)))</f>
        <v/>
      </c>
      <c r="E176" s="71" t="str">
        <f aca="false">D176</f>
        <v/>
      </c>
    </row>
    <row r="177" customFormat="false" ht="15" hidden="false" customHeight="false" outlineLevel="0" collapsed="false">
      <c r="A177" s="69" t="str">
        <f aca="false">IF(B177="","Unused","key =")</f>
        <v>Unused</v>
      </c>
      <c r="B177" s="69" t="str">
        <f aca="false">IF(Locked!Q181="|",ROUND(Locked!N181,0),IF(Locked!Q181="V",ROUND(Locked!N181,-3),""))</f>
        <v/>
      </c>
      <c r="C177" s="71" t="str">
        <f aca="false">IF(B177="","",IF(B178="",0,Locked!H181/1000))</f>
        <v/>
      </c>
      <c r="D177" s="71" t="str">
        <f aca="false">IF(C177="","",IF(C177=0,0,-(C177*1.001-C177*0.999)/(Locked!G181*LN((C177*1.001)/(C177*0.999)))/IF(Locked!G$125&gt;0,Locked!G$125,0.8)))</f>
        <v/>
      </c>
      <c r="E177" s="71" t="str">
        <f aca="false">D177</f>
        <v/>
      </c>
    </row>
    <row r="178" customFormat="false" ht="15" hidden="false" customHeight="false" outlineLevel="0" collapsed="false">
      <c r="A178" s="69" t="str">
        <f aca="false">IF(B178="","Unused","key =")</f>
        <v>Unused</v>
      </c>
      <c r="B178" s="69" t="str">
        <f aca="false">IF(Locked!Q182="|",ROUND(Locked!N182,0),IF(Locked!Q182="V",ROUND(Locked!N182,-3),""))</f>
        <v/>
      </c>
      <c r="C178" s="71" t="str">
        <f aca="false">IF(B178="","",IF(B179="",0,Locked!H182/1000))</f>
        <v/>
      </c>
      <c r="D178" s="71" t="str">
        <f aca="false">IF(C178="","",IF(C178=0,0,-(C178*1.001-C178*0.999)/(Locked!G182*LN((C178*1.001)/(C178*0.999)))/IF(Locked!G$125&gt;0,Locked!G$125,0.8)))</f>
        <v/>
      </c>
      <c r="E178" s="71" t="str">
        <f aca="false">D178</f>
        <v/>
      </c>
    </row>
    <row r="179" customFormat="false" ht="15" hidden="false" customHeight="false" outlineLevel="0" collapsed="false">
      <c r="A179" s="69" t="str">
        <f aca="false">IF(B179="","Unused","key =")</f>
        <v>Unused</v>
      </c>
      <c r="B179" s="69" t="str">
        <f aca="false">IF(Locked!Q183="|",ROUND(Locked!N183,0),IF(Locked!Q183="V",ROUND(Locked!N183,-3),""))</f>
        <v/>
      </c>
      <c r="C179" s="71" t="str">
        <f aca="false">IF(B179="","",IF(B180="",0,Locked!H183/1000))</f>
        <v/>
      </c>
      <c r="D179" s="71" t="str">
        <f aca="false">IF(C179="","",IF(C179=0,0,-(C179*1.001-C179*0.999)/(Locked!G183*LN((C179*1.001)/(C179*0.999)))/IF(Locked!G$125&gt;0,Locked!G$125,0.8)))</f>
        <v/>
      </c>
      <c r="E179" s="71" t="str">
        <f aca="false">D179</f>
        <v/>
      </c>
    </row>
    <row r="180" customFormat="false" ht="15" hidden="false" customHeight="false" outlineLevel="0" collapsed="false">
      <c r="A180" s="69" t="str">
        <f aca="false">IF(B180="","Unused","key =")</f>
        <v>Unused</v>
      </c>
      <c r="B180" s="69" t="str">
        <f aca="false">IF(Locked!Q184="|",ROUND(Locked!N184,0),IF(Locked!Q184="V",ROUND(Locked!N184,-3),""))</f>
        <v/>
      </c>
      <c r="C180" s="71" t="str">
        <f aca="false">IF(B180="","",IF(B181="",0,Locked!H184/1000))</f>
        <v/>
      </c>
      <c r="D180" s="71" t="str">
        <f aca="false">IF(C180="","",IF(C180=0,0,-(C180*1.001-C180*0.999)/(Locked!G184*LN((C180*1.001)/(C180*0.999)))/IF(Locked!G$125&gt;0,Locked!G$125,0.8)))</f>
        <v/>
      </c>
      <c r="E180" s="71" t="str">
        <f aca="false">D180</f>
        <v/>
      </c>
    </row>
    <row r="181" customFormat="false" ht="15" hidden="false" customHeight="false" outlineLevel="0" collapsed="false">
      <c r="A181" s="69" t="str">
        <f aca="false">IF(B181="","Unused","key =")</f>
        <v>Unused</v>
      </c>
      <c r="B181" s="69" t="str">
        <f aca="false">IF(Locked!Q185="|",ROUND(Locked!N185,0),IF(Locked!Q185="V",ROUND(Locked!N185,-3),""))</f>
        <v/>
      </c>
      <c r="C181" s="71" t="str">
        <f aca="false">IF(B181="","",IF(B182="",0,Locked!H185/1000))</f>
        <v/>
      </c>
      <c r="D181" s="71" t="str">
        <f aca="false">IF(C181="","",IF(C181=0,0,-(C181*1.001-C181*0.999)/(Locked!G185*LN((C181*1.001)/(C181*0.999)))/IF(Locked!G$125&gt;0,Locked!G$125,0.8)))</f>
        <v/>
      </c>
      <c r="E181" s="71" t="str">
        <f aca="false">D181</f>
        <v/>
      </c>
    </row>
    <row r="182" customFormat="false" ht="15" hidden="false" customHeight="false" outlineLevel="0" collapsed="false">
      <c r="A182" s="69" t="str">
        <f aca="false">IF(B182="","Unused","key =")</f>
        <v>Unused</v>
      </c>
      <c r="B182" s="69" t="str">
        <f aca="false">IF(Locked!Q186="|",ROUND(Locked!N186,0),IF(Locked!Q186="V",ROUND(Locked!N186,-3),""))</f>
        <v/>
      </c>
      <c r="C182" s="71" t="str">
        <f aca="false">IF(B182="","",IF(B183="",0,Locked!H186/1000))</f>
        <v/>
      </c>
      <c r="D182" s="71" t="str">
        <f aca="false">IF(C182="","",IF(C182=0,0,-(C182*1.001-C182*0.999)/(Locked!G186*LN((C182*1.001)/(C182*0.999)))/IF(Locked!G$125&gt;0,Locked!G$125,0.8)))</f>
        <v/>
      </c>
      <c r="E182" s="71" t="str">
        <f aca="false">D182</f>
        <v/>
      </c>
    </row>
    <row r="183" customFormat="false" ht="15" hidden="false" customHeight="false" outlineLevel="0" collapsed="false">
      <c r="A183" s="69" t="str">
        <f aca="false">IF(B183="","Unused","key =")</f>
        <v>Unused</v>
      </c>
      <c r="B183" s="69" t="str">
        <f aca="false">IF(Locked!Q187="|",ROUND(Locked!N187,0),IF(Locked!Q187="V",ROUND(Locked!N187,-3),""))</f>
        <v/>
      </c>
      <c r="C183" s="71" t="str">
        <f aca="false">IF(B183="","",IF(B184="",0,Locked!H187/1000))</f>
        <v/>
      </c>
      <c r="D183" s="71" t="str">
        <f aca="false">IF(C183="","",IF(C183=0,0,-(C183*1.001-C183*0.999)/(Locked!G187*LN((C183*1.001)/(C183*0.999)))/IF(Locked!G$125&gt;0,Locked!G$125,0.8)))</f>
        <v/>
      </c>
      <c r="E183" s="71" t="str">
        <f aca="false">D183</f>
        <v/>
      </c>
    </row>
    <row r="184" customFormat="false" ht="15" hidden="false" customHeight="false" outlineLevel="0" collapsed="false">
      <c r="A184" s="69" t="str">
        <f aca="false">IF(B184="","Unused","key =")</f>
        <v>Unused</v>
      </c>
      <c r="B184" s="69" t="str">
        <f aca="false">IF(Locked!Q188="|",ROUND(Locked!N188,0),IF(Locked!Q188="V",ROUND(Locked!N188,-3),""))</f>
        <v/>
      </c>
      <c r="C184" s="71" t="str">
        <f aca="false">IF(B184="","",IF(B185="",0,Locked!H188/1000))</f>
        <v/>
      </c>
      <c r="D184" s="71" t="str">
        <f aca="false">IF(C184="","",IF(C184=0,0,-(C184*1.001-C184*0.999)/(Locked!G188*LN((C184*1.001)/(C184*0.999)))/IF(Locked!G$125&gt;0,Locked!G$125,0.8)))</f>
        <v/>
      </c>
      <c r="E184" s="71" t="str">
        <f aca="false">D184</f>
        <v/>
      </c>
    </row>
    <row r="185" customFormat="false" ht="15" hidden="false" customHeight="false" outlineLevel="0" collapsed="false">
      <c r="A185" s="69" t="str">
        <f aca="false">IF(B185="","Unused","key =")</f>
        <v>Unused</v>
      </c>
      <c r="B185" s="69" t="str">
        <f aca="false">IF(Locked!Q189="|",ROUND(Locked!N189,0),IF(Locked!Q189="V",ROUND(Locked!N189,-3),""))</f>
        <v/>
      </c>
      <c r="C185" s="71" t="str">
        <f aca="false">IF(B185="","",IF(B186="",0,Locked!H189/1000))</f>
        <v/>
      </c>
      <c r="D185" s="71" t="str">
        <f aca="false">IF(C185="","",IF(C185=0,0,-(C185*1.001-C185*0.999)/(Locked!G189*LN((C185*1.001)/(C185*0.999)))/IF(Locked!G$125&gt;0,Locked!G$125,0.8)))</f>
        <v/>
      </c>
      <c r="E185" s="71" t="str">
        <f aca="false">D185</f>
        <v/>
      </c>
    </row>
    <row r="186" customFormat="false" ht="15" hidden="false" customHeight="false" outlineLevel="0" collapsed="false">
      <c r="A186" s="66" t="s">
        <v>212</v>
      </c>
      <c r="B186" s="69"/>
      <c r="C186" s="69"/>
      <c r="D186" s="69"/>
      <c r="E186" s="69"/>
    </row>
    <row r="187" customFormat="false" ht="15" hidden="false" customHeight="false" outlineLevel="0" collapsed="false">
      <c r="A187" s="65" t="s">
        <v>212</v>
      </c>
      <c r="B187" s="69"/>
      <c r="C187" s="69"/>
      <c r="D187" s="69"/>
      <c r="E187" s="69"/>
    </row>
    <row r="189" customFormat="false" ht="15" hidden="false" customHeight="false" outlineLevel="0" collapsed="false">
      <c r="C189" s="72"/>
      <c r="D189" s="73"/>
      <c r="E189" s="73"/>
    </row>
    <row r="191" customFormat="false" ht="15" hidden="false" customHeight="false" outlineLevel="0" collapsed="false">
      <c r="E191" s="73"/>
    </row>
    <row r="192" customFormat="false" ht="15" hidden="false" customHeight="false" outlineLevel="0" collapsed="false">
      <c r="D192" s="73"/>
      <c r="E192" s="73"/>
    </row>
    <row r="193" customFormat="false" ht="15" hidden="false" customHeight="false" outlineLevel="0" collapsed="false">
      <c r="D193" s="73"/>
      <c r="E193" s="73"/>
    </row>
    <row r="194" customFormat="false" ht="15" hidden="false" customHeight="false" outlineLevel="0" collapsed="false">
      <c r="C194" s="72"/>
      <c r="D194" s="73"/>
      <c r="E194" s="73"/>
    </row>
    <row r="201" customFormat="false" ht="15" hidden="false" customHeight="false" outlineLevel="0" collapsed="false">
      <c r="D201" s="73"/>
      <c r="E201" s="73"/>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X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1" width="3.71"/>
    <col collapsed="false" customWidth="true" hidden="false" outlineLevel="0" max="10" min="2" style="1" width="12.71"/>
    <col collapsed="false" customWidth="false" hidden="false" outlineLevel="0" max="11" min="11" style="1" width="9.13"/>
    <col collapsed="false" customWidth="true" hidden="false" outlineLevel="0" max="12" min="12" style="1" width="26.84"/>
    <col collapsed="false" customWidth="true" hidden="false" outlineLevel="0" max="13" min="13" style="1" width="14.28"/>
    <col collapsed="false" customWidth="true" hidden="false" outlineLevel="0" max="14" min="14" style="1" width="11.57"/>
    <col collapsed="false" customWidth="false" hidden="false" outlineLevel="0" max="15" min="15" style="1" width="9.13"/>
    <col collapsed="false" customWidth="false" hidden="true" outlineLevel="0" max="24" min="16" style="1" width="9.13"/>
    <col collapsed="false" customWidth="false" hidden="false" outlineLevel="0" max="1024" min="25" style="1" width="9.13"/>
  </cols>
  <sheetData>
    <row r="2" customFormat="false" ht="31.5" hidden="false" customHeight="false" outlineLevel="0" collapsed="false">
      <c r="B2" s="4" t="s">
        <v>19</v>
      </c>
      <c r="C2" s="4"/>
      <c r="D2" s="4"/>
      <c r="E2" s="4"/>
      <c r="F2" s="4"/>
      <c r="G2" s="4"/>
      <c r="H2" s="4"/>
    </row>
    <row r="4" customFormat="false" ht="15.75" hidden="false" customHeight="false" outlineLevel="0" collapsed="false">
      <c r="B4" s="5" t="s">
        <v>20</v>
      </c>
      <c r="C4" s="5"/>
      <c r="D4" s="5"/>
      <c r="E4" s="5"/>
      <c r="F4" s="5"/>
      <c r="G4" s="5"/>
      <c r="H4" s="5"/>
    </row>
    <row r="5" customFormat="false" ht="15.75" hidden="false" customHeight="false" outlineLevel="0" collapsed="false">
      <c r="B5" s="5" t="s">
        <v>21</v>
      </c>
      <c r="C5" s="5"/>
      <c r="D5" s="5"/>
      <c r="E5" s="5"/>
      <c r="F5" s="5"/>
      <c r="G5" s="5"/>
      <c r="H5" s="5"/>
      <c r="K5" s="6"/>
      <c r="L5" s="7" t="s">
        <v>22</v>
      </c>
      <c r="M5" s="7"/>
      <c r="N5" s="8"/>
      <c r="P5" s="9"/>
      <c r="Q5" s="9" t="s">
        <v>23</v>
      </c>
      <c r="R5" s="9" t="s">
        <v>24</v>
      </c>
      <c r="S5" s="9" t="s">
        <v>25</v>
      </c>
      <c r="T5" s="9" t="s">
        <v>26</v>
      </c>
    </row>
    <row r="6" customFormat="false" ht="15.75" hidden="false" customHeight="false" outlineLevel="0" collapsed="false">
      <c r="B6" s="5" t="s">
        <v>27</v>
      </c>
      <c r="C6" s="5"/>
      <c r="D6" s="5"/>
      <c r="E6" s="5"/>
      <c r="F6" s="5"/>
      <c r="G6" s="5"/>
      <c r="H6" s="5"/>
      <c r="K6" s="10"/>
      <c r="L6" s="7"/>
      <c r="M6" s="7"/>
      <c r="N6" s="11"/>
    </row>
    <row r="7" customFormat="false" ht="15.75" hidden="false" customHeight="false" outlineLevel="0" collapsed="false">
      <c r="K7" s="10"/>
      <c r="L7" s="12"/>
      <c r="M7" s="12"/>
      <c r="N7" s="11"/>
      <c r="P7" s="1" t="s">
        <v>28</v>
      </c>
      <c r="Q7" s="1" t="n">
        <v>27</v>
      </c>
      <c r="R7" s="1" t="n">
        <v>9.42</v>
      </c>
      <c r="S7" s="1" t="n">
        <v>151000</v>
      </c>
      <c r="T7" s="1" t="n">
        <v>37100</v>
      </c>
      <c r="U7" s="1" t="n">
        <f aca="false">IF(P7=M$14,Q7,0)</f>
        <v>0</v>
      </c>
      <c r="V7" s="1" t="n">
        <f aca="false">IF(P7=M$14,R7,0)</f>
        <v>0</v>
      </c>
      <c r="W7" s="1" t="n">
        <f aca="false">IF(P7=M$14,S7,0)</f>
        <v>0</v>
      </c>
      <c r="X7" s="1" t="n">
        <f aca="false">IF(P7=M$14,T7,0)</f>
        <v>0</v>
      </c>
    </row>
    <row r="8" customFormat="false" ht="15.75" hidden="false" customHeight="false" outlineLevel="0" collapsed="false">
      <c r="B8" s="1" t="s">
        <v>29</v>
      </c>
      <c r="K8" s="10"/>
      <c r="L8" s="12" t="s">
        <v>30</v>
      </c>
      <c r="M8" s="12"/>
      <c r="N8" s="11"/>
      <c r="P8" s="1" t="s">
        <v>31</v>
      </c>
      <c r="Q8" s="1" t="n">
        <v>23</v>
      </c>
      <c r="R8" s="1" t="n">
        <v>8.47</v>
      </c>
      <c r="S8" s="1" t="n">
        <v>97700</v>
      </c>
      <c r="T8" s="1" t="n">
        <v>35100</v>
      </c>
      <c r="U8" s="1" t="n">
        <f aca="false">IF(P8=M$14,Q8,0)</f>
        <v>0</v>
      </c>
      <c r="V8" s="1" t="n">
        <f aca="false">IF(P8=M$14,R8,0)</f>
        <v>0</v>
      </c>
      <c r="W8" s="1" t="n">
        <f aca="false">IF(P8=M$14,S8,0)</f>
        <v>0</v>
      </c>
      <c r="X8" s="1" t="n">
        <f aca="false">IF(P8=M$14,T8,0)</f>
        <v>0</v>
      </c>
    </row>
    <row r="9" customFormat="false" ht="15.75" hidden="false" customHeight="false" outlineLevel="0" collapsed="false">
      <c r="B9" s="3" t="s">
        <v>32</v>
      </c>
      <c r="F9" s="13" t="n">
        <v>13599840256</v>
      </c>
      <c r="G9" s="13"/>
      <c r="H9" s="12" t="s">
        <v>33</v>
      </c>
      <c r="K9" s="10"/>
      <c r="L9" s="12" t="s">
        <v>34</v>
      </c>
      <c r="M9" s="12"/>
      <c r="N9" s="11"/>
      <c r="P9" s="1" t="s">
        <v>35</v>
      </c>
      <c r="Q9" s="1" t="n">
        <v>19.8</v>
      </c>
      <c r="R9" s="1" t="n">
        <v>7.72</v>
      </c>
      <c r="S9" s="1" t="n">
        <v>66100</v>
      </c>
      <c r="T9" s="1" t="n">
        <v>33300</v>
      </c>
      <c r="U9" s="1" t="n">
        <f aca="false">IF(P9=M$14,Q9,0)</f>
        <v>0</v>
      </c>
      <c r="V9" s="1" t="n">
        <f aca="false">IF(P9=M$14,R9,0)</f>
        <v>0</v>
      </c>
      <c r="W9" s="1" t="n">
        <f aca="false">IF(P9=M$14,S9,0)</f>
        <v>0</v>
      </c>
      <c r="X9" s="1" t="n">
        <f aca="false">IF(P9=M$14,T9,0)</f>
        <v>0</v>
      </c>
    </row>
    <row r="10" customFormat="false" ht="15.75" hidden="false" customHeight="false" outlineLevel="0" collapsed="false">
      <c r="B10" s="1" t="s">
        <v>36</v>
      </c>
      <c r="F10" s="14"/>
      <c r="G10" s="14"/>
      <c r="K10" s="10"/>
      <c r="L10" s="12" t="s">
        <v>37</v>
      </c>
      <c r="M10" s="12"/>
      <c r="N10" s="11"/>
      <c r="P10" s="1" t="s">
        <v>38</v>
      </c>
      <c r="Q10" s="1" t="n">
        <v>17.7</v>
      </c>
      <c r="R10" s="1" t="n">
        <v>7.16</v>
      </c>
      <c r="S10" s="1" t="n">
        <v>44700</v>
      </c>
      <c r="T10" s="1" t="n">
        <v>31400</v>
      </c>
      <c r="U10" s="1" t="n">
        <f aca="false">IF(P10=M$14,Q10,0)</f>
        <v>0</v>
      </c>
      <c r="V10" s="1" t="n">
        <f aca="false">IF(P10=M$14,R10,0)</f>
        <v>0</v>
      </c>
      <c r="W10" s="1" t="n">
        <f aca="false">IF(P10=M$14,S10,0)</f>
        <v>0</v>
      </c>
      <c r="X10" s="1" t="n">
        <f aca="false">IF(P10=M$14,T10,0)</f>
        <v>0</v>
      </c>
    </row>
    <row r="11" customFormat="false" ht="15.75" hidden="false" customHeight="false" outlineLevel="0" collapsed="false">
      <c r="B11" s="3" t="s">
        <v>39</v>
      </c>
      <c r="F11" s="13" t="n">
        <v>46000000</v>
      </c>
      <c r="G11" s="13"/>
      <c r="H11" s="1" t="s">
        <v>33</v>
      </c>
      <c r="K11" s="10"/>
      <c r="L11" s="12" t="s">
        <v>40</v>
      </c>
      <c r="M11" s="12"/>
      <c r="N11" s="11"/>
      <c r="P11" s="12" t="s">
        <v>41</v>
      </c>
      <c r="Q11" s="12" t="n">
        <v>11</v>
      </c>
      <c r="R11" s="12" t="n">
        <v>5.71</v>
      </c>
      <c r="S11" s="12" t="n">
        <v>13500</v>
      </c>
      <c r="T11" s="12" t="n">
        <v>26000</v>
      </c>
      <c r="U11" s="1" t="n">
        <f aca="false">IF(P11=M$14,Q11,0)</f>
        <v>0</v>
      </c>
      <c r="V11" s="1" t="n">
        <f aca="false">IF(P11=M$14,R11,0)</f>
        <v>0</v>
      </c>
      <c r="W11" s="1" t="n">
        <f aca="false">IF(P11=M$14,S11,0)</f>
        <v>0</v>
      </c>
      <c r="X11" s="1" t="n">
        <f aca="false">IF(P11=M$14,T11,0)</f>
        <v>0</v>
      </c>
    </row>
    <row r="12" customFormat="false" ht="15" hidden="false" customHeight="true" outlineLevel="0" collapsed="false">
      <c r="B12" s="15" t="s">
        <v>42</v>
      </c>
      <c r="C12" s="16"/>
      <c r="D12" s="17" t="s">
        <v>43</v>
      </c>
      <c r="E12" s="17"/>
      <c r="F12" s="18"/>
      <c r="G12" s="19"/>
      <c r="H12" s="12" t="s">
        <v>44</v>
      </c>
      <c r="K12" s="10"/>
      <c r="L12" s="12" t="s">
        <v>45</v>
      </c>
      <c r="M12" s="12"/>
      <c r="N12" s="11"/>
      <c r="P12" s="12" t="s">
        <v>46</v>
      </c>
      <c r="Q12" s="12" t="n">
        <v>7.3</v>
      </c>
      <c r="R12" s="12" t="n">
        <v>4.06</v>
      </c>
      <c r="S12" s="12" t="n">
        <v>2690</v>
      </c>
      <c r="T12" s="12" t="n">
        <v>20600</v>
      </c>
      <c r="U12" s="1" t="n">
        <f aca="false">IF(P12=M$14,Q12,0)</f>
        <v>0</v>
      </c>
      <c r="V12" s="1" t="n">
        <f aca="false">IF(P12=M$14,R12,0)</f>
        <v>0</v>
      </c>
      <c r="W12" s="1" t="n">
        <f aca="false">IF(P12=M$14,S12,0)</f>
        <v>0</v>
      </c>
      <c r="X12" s="1" t="n">
        <f aca="false">IF(P12=M$14,T12,0)</f>
        <v>0</v>
      </c>
    </row>
    <row r="13" customFormat="false" ht="15.75" hidden="false" customHeight="false" outlineLevel="0" collapsed="false">
      <c r="B13" s="20" t="s">
        <v>47</v>
      </c>
      <c r="C13" s="12"/>
      <c r="D13" s="17"/>
      <c r="E13" s="17"/>
      <c r="F13" s="21"/>
      <c r="G13" s="22"/>
      <c r="H13" s="1" t="s">
        <v>48</v>
      </c>
      <c r="K13" s="10"/>
      <c r="L13" s="12"/>
      <c r="M13" s="12"/>
      <c r="N13" s="11"/>
      <c r="P13" s="1" t="s">
        <v>49</v>
      </c>
      <c r="Q13" s="1" t="n">
        <v>5.4</v>
      </c>
      <c r="R13" s="1" t="n">
        <v>3.61</v>
      </c>
      <c r="S13" s="1" t="n">
        <v>977</v>
      </c>
      <c r="T13" s="1" t="n">
        <v>17000</v>
      </c>
      <c r="U13" s="1" t="n">
        <f aca="false">IF(P13=M$14,Q13,0)</f>
        <v>0</v>
      </c>
      <c r="V13" s="1" t="n">
        <f aca="false">IF(P13=M$14,R13,0)</f>
        <v>0</v>
      </c>
      <c r="W13" s="1" t="n">
        <f aca="false">IF(P13=M$14,S13,0)</f>
        <v>0</v>
      </c>
      <c r="X13" s="1" t="n">
        <f aca="false">IF(P13=M$14,T13,0)</f>
        <v>0</v>
      </c>
    </row>
    <row r="14" customFormat="false" ht="15.75" hidden="false" customHeight="false" outlineLevel="0" collapsed="false">
      <c r="B14" s="23" t="s">
        <v>50</v>
      </c>
      <c r="C14" s="24"/>
      <c r="D14" s="17"/>
      <c r="E14" s="17"/>
      <c r="F14" s="25"/>
      <c r="G14" s="26" t="n">
        <v>39.8</v>
      </c>
      <c r="H14" s="12" t="s">
        <v>51</v>
      </c>
      <c r="K14" s="10"/>
      <c r="L14" s="12" t="s">
        <v>52</v>
      </c>
      <c r="M14" s="27" t="s">
        <v>53</v>
      </c>
      <c r="N14" s="11"/>
      <c r="O14" s="12"/>
      <c r="P14" s="12" t="s">
        <v>54</v>
      </c>
      <c r="Q14" s="12" t="n">
        <v>5.1</v>
      </c>
      <c r="R14" s="12" t="n">
        <v>3.46</v>
      </c>
      <c r="S14" s="12" t="n">
        <v>776</v>
      </c>
      <c r="T14" s="12" t="n">
        <v>16400</v>
      </c>
      <c r="U14" s="1" t="n">
        <f aca="false">IF(P14=M$14,Q14,0)</f>
        <v>0</v>
      </c>
      <c r="V14" s="1" t="n">
        <f aca="false">IF(P14=M$14,R14,0)</f>
        <v>0</v>
      </c>
      <c r="W14" s="1" t="n">
        <f aca="false">IF(P14=M$14,S14,0)</f>
        <v>0</v>
      </c>
      <c r="X14" s="1" t="n">
        <f aca="false">IF(P14=M$14,T14,0)</f>
        <v>0</v>
      </c>
    </row>
    <row r="15" s="12" customFormat="true" ht="15.75" hidden="false" customHeight="false" outlineLevel="0" collapsed="false">
      <c r="B15" s="28"/>
      <c r="F15" s="21"/>
      <c r="G15" s="21"/>
      <c r="J15" s="1"/>
      <c r="K15" s="10"/>
      <c r="N15" s="11"/>
      <c r="P15" s="1" t="s">
        <v>55</v>
      </c>
      <c r="Q15" s="1" t="n">
        <v>4.7</v>
      </c>
      <c r="R15" s="1" t="n">
        <v>3.36</v>
      </c>
      <c r="S15" s="1" t="n">
        <v>589</v>
      </c>
      <c r="T15" s="1" t="n">
        <v>15700</v>
      </c>
      <c r="U15" s="1" t="n">
        <f aca="false">IF(P15=M$14,Q15,0)</f>
        <v>0</v>
      </c>
      <c r="V15" s="1" t="n">
        <f aca="false">IF(P15=M$14,R15,0)</f>
        <v>0</v>
      </c>
      <c r="W15" s="1" t="n">
        <f aca="false">IF(P15=M$14,S15,0)</f>
        <v>0</v>
      </c>
      <c r="X15" s="1" t="n">
        <f aca="false">IF(P15=M$14,T15,0)</f>
        <v>0</v>
      </c>
    </row>
    <row r="16" s="12" customFormat="true" ht="15.75" hidden="false" customHeight="false" outlineLevel="0" collapsed="false">
      <c r="B16" s="5" t="s">
        <v>56</v>
      </c>
      <c r="C16" s="5"/>
      <c r="D16" s="5"/>
      <c r="E16" s="5"/>
      <c r="F16" s="5"/>
      <c r="G16" s="5"/>
      <c r="H16" s="5"/>
      <c r="J16" s="1"/>
      <c r="K16" s="10"/>
      <c r="L16" s="12" t="s">
        <v>57</v>
      </c>
      <c r="N16" s="11"/>
      <c r="P16" s="1" t="s">
        <v>58</v>
      </c>
      <c r="Q16" s="1" t="n">
        <v>4.3</v>
      </c>
      <c r="R16" s="1" t="n">
        <v>3.27</v>
      </c>
      <c r="S16" s="1" t="n">
        <v>372</v>
      </c>
      <c r="T16" s="1" t="n">
        <v>14500</v>
      </c>
      <c r="U16" s="1" t="n">
        <f aca="false">IF(P16=M$14,Q16,0)</f>
        <v>0</v>
      </c>
      <c r="V16" s="1" t="n">
        <f aca="false">IF(P16=M$14,R16,0)</f>
        <v>0</v>
      </c>
      <c r="W16" s="1" t="n">
        <f aca="false">IF(P16=M$14,S16,0)</f>
        <v>0</v>
      </c>
      <c r="X16" s="1" t="n">
        <f aca="false">IF(P16=M$14,T16,0)</f>
        <v>0</v>
      </c>
    </row>
    <row r="17" s="12" customFormat="true" ht="15.75" hidden="false" customHeight="false" outlineLevel="0" collapsed="false">
      <c r="B17" s="5" t="s">
        <v>59</v>
      </c>
      <c r="C17" s="5"/>
      <c r="D17" s="5"/>
      <c r="E17" s="5"/>
      <c r="F17" s="5"/>
      <c r="G17" s="5"/>
      <c r="H17" s="5"/>
      <c r="J17" s="1"/>
      <c r="K17" s="10"/>
      <c r="L17" s="29" t="s">
        <v>60</v>
      </c>
      <c r="M17" s="12" t="n">
        <f aca="false">U91</f>
        <v>0.7</v>
      </c>
      <c r="N17" s="11"/>
      <c r="P17" s="1" t="s">
        <v>61</v>
      </c>
      <c r="Q17" s="1" t="n">
        <v>3.92</v>
      </c>
      <c r="R17" s="1" t="n">
        <v>2.94</v>
      </c>
      <c r="S17" s="1" t="n">
        <v>302</v>
      </c>
      <c r="T17" s="1" t="n">
        <v>14000</v>
      </c>
      <c r="U17" s="1" t="n">
        <f aca="false">IF(P17=M$14,Q17,0)</f>
        <v>0</v>
      </c>
      <c r="V17" s="1" t="n">
        <f aca="false">IF(P17=M$14,R17,0)</f>
        <v>0</v>
      </c>
      <c r="W17" s="1" t="n">
        <f aca="false">IF(P17=M$14,S17,0)</f>
        <v>0</v>
      </c>
      <c r="X17" s="1" t="n">
        <f aca="false">IF(P17=M$14,T17,0)</f>
        <v>0</v>
      </c>
    </row>
    <row r="18" s="12" customFormat="true" ht="15.75" hidden="false" customHeight="false" outlineLevel="0" collapsed="false">
      <c r="B18" s="28"/>
      <c r="F18" s="21"/>
      <c r="G18" s="21"/>
      <c r="J18" s="1"/>
      <c r="K18" s="10"/>
      <c r="L18" s="29" t="s">
        <v>62</v>
      </c>
      <c r="M18" s="12" t="n">
        <f aca="false">V91</f>
        <v>0.701</v>
      </c>
      <c r="N18" s="11"/>
      <c r="O18" s="1"/>
      <c r="P18" s="1" t="s">
        <v>63</v>
      </c>
      <c r="Q18" s="1" t="n">
        <v>3.38</v>
      </c>
      <c r="R18" s="1" t="n">
        <v>2.86</v>
      </c>
      <c r="S18" s="1" t="n">
        <v>155</v>
      </c>
      <c r="T18" s="1" t="n">
        <v>12300</v>
      </c>
      <c r="U18" s="1" t="n">
        <f aca="false">IF(P18=M$14,Q18,0)</f>
        <v>0</v>
      </c>
      <c r="V18" s="1" t="n">
        <f aca="false">IF(P18=M$14,R18,0)</f>
        <v>0</v>
      </c>
      <c r="W18" s="1" t="n">
        <f aca="false">IF(P18=M$14,S18,0)</f>
        <v>0</v>
      </c>
      <c r="X18" s="1" t="n">
        <f aca="false">IF(P18=M$14,T18,0)</f>
        <v>0</v>
      </c>
    </row>
    <row r="19" customFormat="false" ht="15.75" hidden="false" customHeight="false" outlineLevel="0" collapsed="false">
      <c r="B19" s="3" t="s">
        <v>64</v>
      </c>
      <c r="F19" s="14"/>
      <c r="G19" s="30" t="n">
        <v>4440</v>
      </c>
      <c r="H19" s="12" t="s">
        <v>65</v>
      </c>
      <c r="I19" s="31"/>
      <c r="K19" s="10"/>
      <c r="L19" s="29" t="s">
        <v>66</v>
      </c>
      <c r="M19" s="12" t="n">
        <f aca="false">W91</f>
        <v>0.174</v>
      </c>
      <c r="N19" s="11"/>
      <c r="O19" s="12"/>
      <c r="P19" s="1" t="s">
        <v>67</v>
      </c>
      <c r="Q19" s="1" t="n">
        <v>2.75</v>
      </c>
      <c r="R19" s="1" t="n">
        <v>2.49</v>
      </c>
      <c r="S19" s="1" t="n">
        <v>72.4</v>
      </c>
      <c r="T19" s="1" t="n">
        <v>10700</v>
      </c>
      <c r="U19" s="1" t="n">
        <f aca="false">IF(P19=M$14,Q19,0)</f>
        <v>0</v>
      </c>
      <c r="V19" s="1" t="n">
        <f aca="false">IF(P19=M$14,R19,0)</f>
        <v>0</v>
      </c>
      <c r="W19" s="1" t="n">
        <f aca="false">IF(P19=M$14,S19,0)</f>
        <v>0</v>
      </c>
      <c r="X19" s="1" t="n">
        <f aca="false">IF(P19=M$14,T19,0)</f>
        <v>0</v>
      </c>
    </row>
    <row r="20" s="12" customFormat="true" ht="15.75" hidden="false" customHeight="false" outlineLevel="0" collapsed="false">
      <c r="B20" s="28"/>
      <c r="F20" s="21"/>
      <c r="G20" s="21"/>
      <c r="J20" s="1"/>
      <c r="K20" s="10"/>
      <c r="L20" s="12" t="s">
        <v>64</v>
      </c>
      <c r="M20" s="12" t="n">
        <f aca="false">X91</f>
        <v>4440</v>
      </c>
      <c r="N20" s="11"/>
      <c r="O20" s="1"/>
      <c r="P20" s="1" t="s">
        <v>68</v>
      </c>
      <c r="Q20" s="1" t="n">
        <v>2.18</v>
      </c>
      <c r="R20" s="1" t="n">
        <v>2.193</v>
      </c>
      <c r="S20" s="1" t="n">
        <v>38</v>
      </c>
      <c r="T20" s="1" t="n">
        <v>9700</v>
      </c>
      <c r="U20" s="1" t="n">
        <f aca="false">IF(P20=M$14,Q20,0)</f>
        <v>0</v>
      </c>
      <c r="V20" s="1" t="n">
        <f aca="false">IF(P20=M$14,R20,0)</f>
        <v>0</v>
      </c>
      <c r="W20" s="1" t="n">
        <f aca="false">IF(P20=M$14,S20,0)</f>
        <v>0</v>
      </c>
      <c r="X20" s="1" t="n">
        <f aca="false">IF(P20=M$14,T20,0)</f>
        <v>0</v>
      </c>
    </row>
    <row r="21" customFormat="false" ht="15.75" hidden="false" customHeight="false" outlineLevel="0" collapsed="false">
      <c r="B21" s="5" t="s">
        <v>69</v>
      </c>
      <c r="C21" s="5"/>
      <c r="D21" s="5"/>
      <c r="E21" s="5"/>
      <c r="F21" s="5"/>
      <c r="G21" s="5"/>
      <c r="H21" s="5"/>
      <c r="K21" s="10"/>
      <c r="L21" s="12" t="s">
        <v>70</v>
      </c>
      <c r="M21" s="12"/>
      <c r="N21" s="11"/>
      <c r="P21" s="1" t="s">
        <v>71</v>
      </c>
      <c r="Q21" s="1" t="n">
        <v>2.05</v>
      </c>
      <c r="R21" s="1" t="n">
        <v>2.136</v>
      </c>
      <c r="S21" s="1" t="n">
        <v>30.9</v>
      </c>
      <c r="T21" s="1" t="n">
        <v>9300</v>
      </c>
      <c r="U21" s="1" t="n">
        <f aca="false">IF(P21=M$14,Q21,0)</f>
        <v>0</v>
      </c>
      <c r="V21" s="1" t="n">
        <f aca="false">IF(P21=M$14,R21,0)</f>
        <v>0</v>
      </c>
      <c r="W21" s="1" t="n">
        <f aca="false">IF(P21=M$14,S21,0)</f>
        <v>0</v>
      </c>
      <c r="X21" s="1" t="n">
        <f aca="false">IF(P21=M$14,T21,0)</f>
        <v>0</v>
      </c>
    </row>
    <row r="22" customFormat="false" ht="15.75" hidden="false" customHeight="false" outlineLevel="0" collapsed="false">
      <c r="B22" s="5" t="s">
        <v>72</v>
      </c>
      <c r="C22" s="5"/>
      <c r="D22" s="5"/>
      <c r="E22" s="5"/>
      <c r="F22" s="5"/>
      <c r="G22" s="5"/>
      <c r="H22" s="5"/>
      <c r="K22" s="10"/>
      <c r="L22" s="29" t="s">
        <v>60</v>
      </c>
      <c r="M22" s="32" t="n">
        <f aca="false">M17*1.98847E+030</f>
        <v>1.391929E+030</v>
      </c>
      <c r="N22" s="11" t="s">
        <v>48</v>
      </c>
      <c r="P22" s="1" t="s">
        <v>73</v>
      </c>
      <c r="Q22" s="1" t="n">
        <v>1.98</v>
      </c>
      <c r="R22" s="1" t="n">
        <v>2.117</v>
      </c>
      <c r="S22" s="1" t="n">
        <v>24</v>
      </c>
      <c r="T22" s="1" t="n">
        <v>8800</v>
      </c>
      <c r="U22" s="1" t="n">
        <f aca="false">IF(P22=M$14,Q22,0)</f>
        <v>0</v>
      </c>
      <c r="V22" s="1" t="n">
        <f aca="false">IF(P22=M$14,R22,0)</f>
        <v>0</v>
      </c>
      <c r="W22" s="1" t="n">
        <f aca="false">IF(P22=M$14,S22,0)</f>
        <v>0</v>
      </c>
      <c r="X22" s="1" t="n">
        <f aca="false">IF(P22=M$14,T22,0)</f>
        <v>0</v>
      </c>
    </row>
    <row r="23" customFormat="false" ht="15.75" hidden="false" customHeight="false" outlineLevel="0" collapsed="false">
      <c r="F23" s="14"/>
      <c r="G23" s="14"/>
      <c r="K23" s="10"/>
      <c r="L23" s="29" t="s">
        <v>62</v>
      </c>
      <c r="M23" s="33" t="n">
        <f aca="false">ROUND(M18*695900000,-6)</f>
        <v>488000000</v>
      </c>
      <c r="N23" s="11" t="s">
        <v>33</v>
      </c>
      <c r="P23" s="1" t="s">
        <v>74</v>
      </c>
      <c r="Q23" s="1" t="n">
        <v>1.86</v>
      </c>
      <c r="R23" s="1" t="n">
        <v>1.861</v>
      </c>
      <c r="S23" s="1" t="n">
        <v>17</v>
      </c>
      <c r="T23" s="1" t="n">
        <v>8600</v>
      </c>
      <c r="U23" s="1" t="n">
        <f aca="false">IF(P23=M$14,Q23,0)</f>
        <v>0</v>
      </c>
      <c r="V23" s="1" t="n">
        <f aca="false">IF(P23=M$14,R23,0)</f>
        <v>0</v>
      </c>
      <c r="W23" s="1" t="n">
        <f aca="false">IF(P23=M$14,S23,0)</f>
        <v>0</v>
      </c>
      <c r="X23" s="1" t="n">
        <f aca="false">IF(P23=M$14,T23,0)</f>
        <v>0</v>
      </c>
    </row>
    <row r="24" customFormat="false" ht="15.75" hidden="false" customHeight="false" outlineLevel="0" collapsed="false">
      <c r="B24" s="3" t="s">
        <v>75</v>
      </c>
      <c r="F24" s="34" t="n">
        <v>488000000</v>
      </c>
      <c r="G24" s="34"/>
      <c r="H24" s="1" t="s">
        <v>33</v>
      </c>
      <c r="K24" s="10"/>
      <c r="L24" s="29" t="s">
        <v>66</v>
      </c>
      <c r="M24" s="32" t="n">
        <f aca="false">M19*3.828E+026</f>
        <v>6.66072E+025</v>
      </c>
      <c r="N24" s="11" t="s">
        <v>76</v>
      </c>
      <c r="P24" s="1" t="s">
        <v>77</v>
      </c>
      <c r="Q24" s="1" t="n">
        <v>1.93</v>
      </c>
      <c r="R24" s="1" t="n">
        <v>1.794</v>
      </c>
      <c r="S24" s="1" t="n">
        <v>13.5</v>
      </c>
      <c r="T24" s="1" t="n">
        <v>8250</v>
      </c>
      <c r="U24" s="1" t="n">
        <f aca="false">IF(P24=M$14,Q24,0)</f>
        <v>0</v>
      </c>
      <c r="V24" s="1" t="n">
        <f aca="false">IF(P24=M$14,R24,0)</f>
        <v>0</v>
      </c>
      <c r="W24" s="1" t="n">
        <f aca="false">IF(P24=M$14,S24,0)</f>
        <v>0</v>
      </c>
      <c r="X24" s="1" t="n">
        <f aca="false">IF(P24=M$14,T24,0)</f>
        <v>0</v>
      </c>
    </row>
    <row r="25" customFormat="false" ht="15.75" hidden="false" customHeight="false" outlineLevel="0" collapsed="false">
      <c r="K25" s="10"/>
      <c r="L25" s="29" t="s">
        <v>78</v>
      </c>
      <c r="M25" s="12" t="n">
        <f aca="false">ROUND(M17*1.98847E+030*0.0000000000667408/(M18*695900000)^2/9.80665,1)</f>
        <v>39.8</v>
      </c>
      <c r="N25" s="11" t="s">
        <v>51</v>
      </c>
      <c r="P25" s="1" t="s">
        <v>79</v>
      </c>
      <c r="Q25" s="1" t="n">
        <v>1.88</v>
      </c>
      <c r="R25" s="1" t="n">
        <v>1.785</v>
      </c>
      <c r="S25" s="1" t="n">
        <v>12.3</v>
      </c>
      <c r="T25" s="1" t="n">
        <v>8100</v>
      </c>
      <c r="U25" s="1" t="n">
        <f aca="false">IF(P25=M$14,Q25,0)</f>
        <v>0</v>
      </c>
      <c r="V25" s="1" t="n">
        <f aca="false">IF(P25=M$14,R25,0)</f>
        <v>0</v>
      </c>
      <c r="W25" s="1" t="n">
        <f aca="false">IF(P25=M$14,S25,0)</f>
        <v>0</v>
      </c>
      <c r="X25" s="1" t="n">
        <f aca="false">IF(P25=M$14,T25,0)</f>
        <v>0</v>
      </c>
    </row>
    <row r="26" customFormat="false" ht="15.75" hidden="false" customHeight="false" outlineLevel="0" collapsed="false">
      <c r="B26" s="5" t="s">
        <v>80</v>
      </c>
      <c r="C26" s="5"/>
      <c r="D26" s="5"/>
      <c r="E26" s="5"/>
      <c r="F26" s="5"/>
      <c r="G26" s="5"/>
      <c r="H26" s="5"/>
      <c r="K26" s="10"/>
      <c r="L26" s="29" t="s">
        <v>81</v>
      </c>
      <c r="M26" s="32" t="n">
        <f aca="false">10000000000*(1/M17)^2.5</f>
        <v>24392420598.6611</v>
      </c>
      <c r="N26" s="11" t="s">
        <v>82</v>
      </c>
      <c r="P26" s="1" t="s">
        <v>83</v>
      </c>
      <c r="Q26" s="1" t="n">
        <v>1.83</v>
      </c>
      <c r="R26" s="1" t="n">
        <v>1.775</v>
      </c>
      <c r="S26" s="1" t="n">
        <v>11.2</v>
      </c>
      <c r="T26" s="1" t="n">
        <v>7910</v>
      </c>
      <c r="U26" s="1" t="n">
        <f aca="false">IF(P26=M$14,Q26,0)</f>
        <v>0</v>
      </c>
      <c r="V26" s="1" t="n">
        <f aca="false">IF(P26=M$14,R26,0)</f>
        <v>0</v>
      </c>
      <c r="W26" s="1" t="n">
        <f aca="false">IF(P26=M$14,S26,0)</f>
        <v>0</v>
      </c>
      <c r="X26" s="1" t="n">
        <f aca="false">IF(P26=M$14,T26,0)</f>
        <v>0</v>
      </c>
    </row>
    <row r="27" customFormat="false" ht="15.75" hidden="false" customHeight="false" outlineLevel="0" collapsed="false">
      <c r="B27" s="5" t="s">
        <v>84</v>
      </c>
      <c r="C27" s="5"/>
      <c r="D27" s="5"/>
      <c r="E27" s="5"/>
      <c r="F27" s="5"/>
      <c r="G27" s="5"/>
      <c r="H27" s="5"/>
      <c r="K27" s="35"/>
      <c r="L27" s="36"/>
      <c r="M27" s="36"/>
      <c r="N27" s="37"/>
      <c r="P27" s="1" t="s">
        <v>85</v>
      </c>
      <c r="Q27" s="1" t="n">
        <v>1.77</v>
      </c>
      <c r="R27" s="1" t="n">
        <v>1.75</v>
      </c>
      <c r="S27" s="1" t="n">
        <v>10</v>
      </c>
      <c r="T27" s="1" t="n">
        <v>7760</v>
      </c>
      <c r="U27" s="1" t="n">
        <f aca="false">IF(P27=M$14,Q27,0)</f>
        <v>0</v>
      </c>
      <c r="V27" s="1" t="n">
        <f aca="false">IF(P27=M$14,R27,0)</f>
        <v>0</v>
      </c>
      <c r="W27" s="1" t="n">
        <f aca="false">IF(P27=M$14,S27,0)</f>
        <v>0</v>
      </c>
      <c r="X27" s="1" t="n">
        <f aca="false">IF(P27=M$14,T27,0)</f>
        <v>0</v>
      </c>
    </row>
    <row r="28" customFormat="false" ht="15.75" hidden="false" customHeight="false" outlineLevel="0" collapsed="false">
      <c r="P28" s="1" t="s">
        <v>86</v>
      </c>
      <c r="Q28" s="1" t="n">
        <v>1.81</v>
      </c>
      <c r="R28" s="1" t="n">
        <v>1.747</v>
      </c>
      <c r="S28" s="1" t="n">
        <v>9.12</v>
      </c>
      <c r="T28" s="1" t="n">
        <v>7590</v>
      </c>
      <c r="U28" s="1" t="n">
        <f aca="false">IF(P28=M$14,Q28,0)</f>
        <v>0</v>
      </c>
      <c r="V28" s="1" t="n">
        <f aca="false">IF(P28=M$14,R28,0)</f>
        <v>0</v>
      </c>
      <c r="W28" s="1" t="n">
        <f aca="false">IF(P28=M$14,S28,0)</f>
        <v>0</v>
      </c>
      <c r="X28" s="1" t="n">
        <f aca="false">IF(P28=M$14,T28,0)</f>
        <v>0</v>
      </c>
    </row>
    <row r="29" customFormat="false" ht="15.75" hidden="false" customHeight="false" outlineLevel="0" collapsed="false">
      <c r="F29" s="9" t="s">
        <v>87</v>
      </c>
      <c r="G29" s="9" t="s">
        <v>88</v>
      </c>
      <c r="H29" s="9" t="s">
        <v>89</v>
      </c>
      <c r="P29" s="1" t="s">
        <v>90</v>
      </c>
      <c r="Q29" s="1" t="n">
        <v>1.75</v>
      </c>
      <c r="R29" s="1" t="n">
        <v>1.747</v>
      </c>
      <c r="S29" s="1" t="n">
        <v>8.32</v>
      </c>
      <c r="T29" s="1" t="n">
        <v>7400</v>
      </c>
      <c r="U29" s="1" t="n">
        <f aca="false">IF(P29=M$14,Q29,0)</f>
        <v>0</v>
      </c>
      <c r="V29" s="1" t="n">
        <f aca="false">IF(P29=M$14,R29,0)</f>
        <v>0</v>
      </c>
      <c r="W29" s="1" t="n">
        <f aca="false">IF(P29=M$14,S29,0)</f>
        <v>0</v>
      </c>
      <c r="X29" s="1" t="n">
        <f aca="false">IF(P29=M$14,T29,0)</f>
        <v>0</v>
      </c>
    </row>
    <row r="30" customFormat="false" ht="15.75" hidden="false" customHeight="false" outlineLevel="0" collapsed="false">
      <c r="B30" s="36" t="s">
        <v>91</v>
      </c>
      <c r="C30" s="36"/>
      <c r="D30" s="36"/>
      <c r="E30" s="36" t="s">
        <v>92</v>
      </c>
      <c r="F30" s="38" t="s">
        <v>93</v>
      </c>
      <c r="G30" s="38" t="s">
        <v>94</v>
      </c>
      <c r="H30" s="38" t="s">
        <v>95</v>
      </c>
      <c r="P30" s="1" t="s">
        <v>96</v>
      </c>
      <c r="Q30" s="1" t="n">
        <v>1.61</v>
      </c>
      <c r="R30" s="1" t="n">
        <v>1.728</v>
      </c>
      <c r="S30" s="1" t="n">
        <v>7.24</v>
      </c>
      <c r="T30" s="1" t="n">
        <v>7220</v>
      </c>
      <c r="U30" s="1" t="n">
        <f aca="false">IF(P30=M$14,Q30,0)</f>
        <v>0</v>
      </c>
      <c r="V30" s="1" t="n">
        <f aca="false">IF(P30=M$14,R30,0)</f>
        <v>0</v>
      </c>
      <c r="W30" s="1" t="n">
        <f aca="false">IF(P30=M$14,S30,0)</f>
        <v>0</v>
      </c>
      <c r="X30" s="1" t="n">
        <f aca="false">IF(P30=M$14,T30,0)</f>
        <v>0</v>
      </c>
    </row>
    <row r="31" customFormat="false" ht="15.75" hidden="false" customHeight="false" outlineLevel="0" collapsed="false">
      <c r="B31" s="39" t="s">
        <v>97</v>
      </c>
      <c r="C31" s="39"/>
      <c r="D31" s="39"/>
      <c r="E31" s="1" t="s">
        <v>98</v>
      </c>
      <c r="F31" s="40" t="n">
        <v>0.91</v>
      </c>
      <c r="G31" s="41" t="n">
        <v>1.00794</v>
      </c>
      <c r="H31" s="41" t="n">
        <v>20.786</v>
      </c>
      <c r="P31" s="1" t="s">
        <v>99</v>
      </c>
      <c r="Q31" s="1" t="n">
        <v>1.5</v>
      </c>
      <c r="R31" s="1" t="n">
        <v>1.679</v>
      </c>
      <c r="S31" s="1" t="n">
        <v>6.17</v>
      </c>
      <c r="T31" s="1" t="n">
        <v>7020</v>
      </c>
      <c r="U31" s="1" t="n">
        <f aca="false">IF(P31=M$14,Q31,0)</f>
        <v>0</v>
      </c>
      <c r="V31" s="1" t="n">
        <f aca="false">IF(P31=M$14,R31,0)</f>
        <v>0</v>
      </c>
      <c r="W31" s="1" t="n">
        <f aca="false">IF(P31=M$14,S31,0)</f>
        <v>0</v>
      </c>
      <c r="X31" s="1" t="n">
        <f aca="false">IF(P31=M$14,T31,0)</f>
        <v>0</v>
      </c>
    </row>
    <row r="32" customFormat="false" ht="15.75" hidden="false" customHeight="false" outlineLevel="0" collapsed="false">
      <c r="B32" s="12" t="s">
        <v>100</v>
      </c>
      <c r="C32" s="12"/>
      <c r="D32" s="12"/>
      <c r="E32" s="1" t="s">
        <v>101</v>
      </c>
      <c r="F32" s="40" t="n">
        <v>0.09</v>
      </c>
      <c r="G32" s="41" t="n">
        <v>4.002602</v>
      </c>
      <c r="H32" s="41" t="n">
        <v>20.786</v>
      </c>
      <c r="P32" s="1" t="s">
        <v>102</v>
      </c>
      <c r="Q32" s="1" t="n">
        <v>1.46</v>
      </c>
      <c r="R32" s="1" t="n">
        <v>1.622</v>
      </c>
      <c r="S32" s="1" t="n">
        <v>5.13</v>
      </c>
      <c r="T32" s="1" t="n">
        <v>6820</v>
      </c>
      <c r="U32" s="1" t="n">
        <f aca="false">IF(P32=M$14,Q32,0)</f>
        <v>0</v>
      </c>
      <c r="V32" s="1" t="n">
        <f aca="false">IF(P32=M$14,R32,0)</f>
        <v>0</v>
      </c>
      <c r="W32" s="1" t="n">
        <f aca="false">IF(P32=M$14,S32,0)</f>
        <v>0</v>
      </c>
      <c r="X32" s="1" t="n">
        <f aca="false">IF(P32=M$14,T32,0)</f>
        <v>0</v>
      </c>
    </row>
    <row r="33" customFormat="false" ht="15.75" hidden="false" customHeight="false" outlineLevel="0" collapsed="false">
      <c r="B33" s="12" t="s">
        <v>103</v>
      </c>
      <c r="C33" s="12"/>
      <c r="D33" s="12"/>
      <c r="E33" s="1" t="s">
        <v>104</v>
      </c>
      <c r="F33" s="40" t="n">
        <v>0</v>
      </c>
      <c r="G33" s="41" t="n">
        <v>12.0107</v>
      </c>
      <c r="H33" s="41" t="n">
        <f aca="false">IF(C$79&lt;6000,21.1751-0.812428*(C$79/1000)+0.448537*(C$79/1000)^2-0.043256*(C$79/1000)^3-0.013103/(C$79/1000)^2,23.104)</f>
        <v>22.6234062368496</v>
      </c>
      <c r="P33" s="1" t="s">
        <v>105</v>
      </c>
      <c r="Q33" s="1" t="n">
        <v>1.44</v>
      </c>
      <c r="R33" s="1" t="n">
        <v>1.578</v>
      </c>
      <c r="S33" s="1" t="n">
        <v>4.68</v>
      </c>
      <c r="T33" s="1" t="n">
        <v>6750</v>
      </c>
      <c r="U33" s="1" t="n">
        <f aca="false">IF(P33=M$14,Q33,0)</f>
        <v>0</v>
      </c>
      <c r="V33" s="1" t="n">
        <f aca="false">IF(P33=M$14,R33,0)</f>
        <v>0</v>
      </c>
      <c r="W33" s="1" t="n">
        <f aca="false">IF(P33=M$14,S33,0)</f>
        <v>0</v>
      </c>
      <c r="X33" s="1" t="n">
        <f aca="false">IF(P33=M$14,T33,0)</f>
        <v>0</v>
      </c>
    </row>
    <row r="34" customFormat="false" ht="15.75" hidden="false" customHeight="false" outlineLevel="0" collapsed="false">
      <c r="B34" s="12" t="s">
        <v>106</v>
      </c>
      <c r="C34" s="12"/>
      <c r="D34" s="12"/>
      <c r="E34" s="1" t="s">
        <v>107</v>
      </c>
      <c r="F34" s="40" t="n">
        <v>0</v>
      </c>
      <c r="G34" s="41" t="n">
        <v>15.9994</v>
      </c>
      <c r="H34" s="41" t="n">
        <f aca="false">IF(C$79&lt;100,23.703,IF(C$79&lt;500,-5.00499E-015*C$79^6+0.0000000000104865*C$79^5-0.00000000893094*C$79^4+0.00000391307*C$79^3-0.000901465*C$79^2+0.0914424*C$79+20.4536,IF(C$79&lt;2000,3.03148E-019*C$79^6-2.60434E-015*C$79^5+0.00000000000925823*C$79^4-0.0000000175234*C$79^3+0.000018842*C$79^2-0.0111892*C$79+23.8291,IF(C$79&lt;6000,-2.877905173E-022*C$79^6+8.692226181E-018*C$79^5-0.0000000000001046934*C$79^4+0.0000000006207112561*C$79^3-0.000001789778603*C$79^2+0.00242890052*C$79+19.57683811,22.273))))</f>
        <v>21.5150566464376</v>
      </c>
      <c r="P34" s="1" t="s">
        <v>108</v>
      </c>
      <c r="Q34" s="1" t="n">
        <v>1.38</v>
      </c>
      <c r="R34" s="1" t="n">
        <v>1.533</v>
      </c>
      <c r="S34" s="1" t="n">
        <v>4.17</v>
      </c>
      <c r="T34" s="1" t="n">
        <v>6670</v>
      </c>
      <c r="U34" s="1" t="n">
        <f aca="false">IF(P34=M$14,Q34,0)</f>
        <v>0</v>
      </c>
      <c r="V34" s="1" t="n">
        <f aca="false">IF(P34=M$14,R34,0)</f>
        <v>0</v>
      </c>
      <c r="W34" s="1" t="n">
        <f aca="false">IF(P34=M$14,S34,0)</f>
        <v>0</v>
      </c>
      <c r="X34" s="1" t="n">
        <f aca="false">IF(P34=M$14,T34,0)</f>
        <v>0</v>
      </c>
    </row>
    <row r="35" customFormat="false" ht="15.75" hidden="false" customHeight="false" outlineLevel="0" collapsed="false">
      <c r="B35" s="42"/>
      <c r="C35" s="42"/>
      <c r="D35" s="42"/>
      <c r="E35" s="43"/>
      <c r="F35" s="40"/>
      <c r="G35" s="44"/>
      <c r="H35" s="44"/>
      <c r="P35" s="1" t="s">
        <v>109</v>
      </c>
      <c r="Q35" s="1" t="n">
        <v>1.33</v>
      </c>
      <c r="R35" s="1" t="n">
        <v>1.473</v>
      </c>
      <c r="S35" s="1" t="n">
        <v>3.63</v>
      </c>
      <c r="T35" s="1" t="n">
        <v>6550</v>
      </c>
      <c r="U35" s="1" t="n">
        <f aca="false">IF(P35=M$14,Q35,0)</f>
        <v>0</v>
      </c>
      <c r="V35" s="1" t="n">
        <f aca="false">IF(P35=M$14,R35,0)</f>
        <v>0</v>
      </c>
      <c r="W35" s="1" t="n">
        <f aca="false">IF(P35=M$14,S35,0)</f>
        <v>0</v>
      </c>
      <c r="X35" s="1" t="n">
        <f aca="false">IF(P35=M$14,T35,0)</f>
        <v>0</v>
      </c>
    </row>
    <row r="36" customFormat="false" ht="15.75" hidden="false" customHeight="false" outlineLevel="0" collapsed="false">
      <c r="B36" s="42"/>
      <c r="C36" s="42"/>
      <c r="D36" s="42"/>
      <c r="E36" s="43"/>
      <c r="F36" s="40"/>
      <c r="G36" s="44"/>
      <c r="H36" s="44"/>
      <c r="P36" s="1" t="s">
        <v>110</v>
      </c>
      <c r="Q36" s="1" t="n">
        <v>1.25</v>
      </c>
      <c r="R36" s="1" t="n">
        <v>1.359</v>
      </c>
      <c r="S36" s="1" t="n">
        <v>2.69</v>
      </c>
      <c r="T36" s="1" t="n">
        <v>6350</v>
      </c>
      <c r="U36" s="1" t="n">
        <f aca="false">IF(P36=M$14,Q36,0)</f>
        <v>0</v>
      </c>
      <c r="V36" s="1" t="n">
        <f aca="false">IF(P36=M$14,R36,0)</f>
        <v>0</v>
      </c>
      <c r="W36" s="1" t="n">
        <f aca="false">IF(P36=M$14,S36,0)</f>
        <v>0</v>
      </c>
      <c r="X36" s="1" t="n">
        <f aca="false">IF(P36=M$14,T36,0)</f>
        <v>0</v>
      </c>
    </row>
    <row r="37" customFormat="false" ht="15.75" hidden="false" customHeight="false" outlineLevel="0" collapsed="false">
      <c r="B37" s="45"/>
      <c r="C37" s="45"/>
      <c r="D37" s="45"/>
      <c r="E37" s="45"/>
      <c r="F37" s="46"/>
      <c r="G37" s="47"/>
      <c r="H37" s="47"/>
      <c r="P37" s="1" t="s">
        <v>111</v>
      </c>
      <c r="Q37" s="1" t="n">
        <v>1.21</v>
      </c>
      <c r="R37" s="1" t="n">
        <v>1.324</v>
      </c>
      <c r="S37" s="1" t="n">
        <v>2.45</v>
      </c>
      <c r="T37" s="1" t="n">
        <v>6280</v>
      </c>
      <c r="U37" s="1" t="n">
        <f aca="false">IF(P37=M$14,Q37,0)</f>
        <v>0</v>
      </c>
      <c r="V37" s="1" t="n">
        <f aca="false">IF(P37=M$14,R37,0)</f>
        <v>0</v>
      </c>
      <c r="W37" s="1" t="n">
        <f aca="false">IF(P37=M$14,S37,0)</f>
        <v>0</v>
      </c>
      <c r="X37" s="1" t="n">
        <f aca="false">IF(P37=M$14,T37,0)</f>
        <v>0</v>
      </c>
    </row>
    <row r="38" customFormat="false" ht="15.75" hidden="false" customHeight="false" outlineLevel="0" collapsed="false">
      <c r="B38" s="1" t="s">
        <v>112</v>
      </c>
      <c r="F38" s="48" t="n">
        <f aca="false">SUM(F31:F37)</f>
        <v>1</v>
      </c>
      <c r="P38" s="1" t="s">
        <v>113</v>
      </c>
      <c r="Q38" s="1" t="n">
        <v>1.18</v>
      </c>
      <c r="R38" s="1" t="n">
        <v>1.221</v>
      </c>
      <c r="S38" s="1" t="n">
        <v>1.95</v>
      </c>
      <c r="T38" s="1" t="n">
        <v>6180</v>
      </c>
      <c r="U38" s="1" t="n">
        <f aca="false">IF(P38=M$14,Q38,0)</f>
        <v>0</v>
      </c>
      <c r="V38" s="1" t="n">
        <f aca="false">IF(P38=M$14,R38,0)</f>
        <v>0</v>
      </c>
      <c r="W38" s="1" t="n">
        <f aca="false">IF(P38=M$14,S38,0)</f>
        <v>0</v>
      </c>
      <c r="X38" s="1" t="n">
        <f aca="false">IF(P38=M$14,T38,0)</f>
        <v>0</v>
      </c>
    </row>
    <row r="39" customFormat="false" ht="15.75" hidden="false" customHeight="false" outlineLevel="0" collapsed="false">
      <c r="P39" s="12" t="s">
        <v>114</v>
      </c>
      <c r="Q39" s="12" t="n">
        <v>1.13</v>
      </c>
      <c r="R39" s="12" t="n">
        <v>1.167</v>
      </c>
      <c r="S39" s="12" t="n">
        <v>1.66</v>
      </c>
      <c r="T39" s="12" t="n">
        <v>6050</v>
      </c>
      <c r="U39" s="1" t="n">
        <f aca="false">IF(P39=M$14,Q39,0)</f>
        <v>0</v>
      </c>
      <c r="V39" s="1" t="n">
        <f aca="false">IF(P39=M$14,R39,0)</f>
        <v>0</v>
      </c>
      <c r="W39" s="1" t="n">
        <f aca="false">IF(P39=M$14,S39,0)</f>
        <v>0</v>
      </c>
      <c r="X39" s="1" t="n">
        <f aca="false">IF(P39=M$14,T39,0)</f>
        <v>0</v>
      </c>
    </row>
    <row r="40" customFormat="false" ht="15.75" hidden="false" customHeight="false" outlineLevel="0" collapsed="false">
      <c r="B40" s="3" t="s">
        <v>115</v>
      </c>
      <c r="P40" s="1" t="s">
        <v>116</v>
      </c>
      <c r="Q40" s="1" t="n">
        <v>1.06</v>
      </c>
      <c r="R40" s="1" t="n">
        <v>1.1</v>
      </c>
      <c r="S40" s="1" t="n">
        <v>1.35</v>
      </c>
      <c r="T40" s="1" t="n">
        <v>5930</v>
      </c>
      <c r="U40" s="1" t="n">
        <f aca="false">IF(P40=M$14,Q40,0)</f>
        <v>0</v>
      </c>
      <c r="V40" s="1" t="n">
        <f aca="false">IF(P40=M$14,R40,0)</f>
        <v>0</v>
      </c>
      <c r="W40" s="1" t="n">
        <f aca="false">IF(P40=M$14,S40,0)</f>
        <v>0</v>
      </c>
      <c r="X40" s="1" t="n">
        <f aca="false">IF(P40=M$14,T40,0)</f>
        <v>0</v>
      </c>
    </row>
    <row r="41" customFormat="false" ht="15.75" hidden="false" customHeight="false" outlineLevel="0" collapsed="false">
      <c r="B41" s="3" t="s">
        <v>117</v>
      </c>
      <c r="P41" s="1" t="s">
        <v>118</v>
      </c>
      <c r="Q41" s="1" t="n">
        <v>1.03</v>
      </c>
      <c r="R41" s="1" t="n">
        <v>1.06</v>
      </c>
      <c r="S41" s="1" t="n">
        <v>1.2</v>
      </c>
      <c r="T41" s="1" t="n">
        <v>5860</v>
      </c>
      <c r="U41" s="1" t="n">
        <f aca="false">IF(P41=M$14,Q41,0)</f>
        <v>0</v>
      </c>
      <c r="V41" s="1" t="n">
        <f aca="false">IF(P41=M$14,R41,0)</f>
        <v>0</v>
      </c>
      <c r="W41" s="1" t="n">
        <f aca="false">IF(P41=M$14,S41,0)</f>
        <v>0</v>
      </c>
      <c r="X41" s="1" t="n">
        <f aca="false">IF(P41=M$14,T41,0)</f>
        <v>0</v>
      </c>
    </row>
    <row r="42" customFormat="false" ht="15.75" hidden="false" customHeight="false" outlineLevel="0" collapsed="false">
      <c r="P42" s="1" t="s">
        <v>119</v>
      </c>
      <c r="Q42" s="1" t="n">
        <v>1</v>
      </c>
      <c r="R42" s="1" t="n">
        <v>1.012</v>
      </c>
      <c r="S42" s="1" t="n">
        <v>1.02</v>
      </c>
      <c r="T42" s="1" t="n">
        <v>5770</v>
      </c>
      <c r="U42" s="1" t="n">
        <f aca="false">IF(P42=M$14,Q42,0)</f>
        <v>0</v>
      </c>
      <c r="V42" s="1" t="n">
        <f aca="false">IF(P42=M$14,R42,0)</f>
        <v>0</v>
      </c>
      <c r="W42" s="1" t="n">
        <f aca="false">IF(P42=M$14,S42,0)</f>
        <v>0</v>
      </c>
      <c r="X42" s="1" t="n">
        <f aca="false">IF(P42=M$14,T42,0)</f>
        <v>0</v>
      </c>
    </row>
    <row r="43" customFormat="false" ht="15.75" hidden="false" customHeight="false" outlineLevel="0" collapsed="false">
      <c r="B43" s="5" t="s">
        <v>120</v>
      </c>
      <c r="C43" s="5"/>
      <c r="D43" s="5"/>
      <c r="E43" s="5"/>
      <c r="F43" s="5"/>
      <c r="G43" s="5"/>
      <c r="H43" s="5"/>
      <c r="P43" s="1" t="s">
        <v>121</v>
      </c>
      <c r="Q43" s="1" t="n">
        <v>0.99</v>
      </c>
      <c r="R43" s="1" t="n">
        <v>1.002</v>
      </c>
      <c r="S43" s="1" t="n">
        <v>0.977</v>
      </c>
      <c r="T43" s="1" t="n">
        <v>5720</v>
      </c>
      <c r="U43" s="1" t="n">
        <f aca="false">IF(P43=M$14,Q43,0)</f>
        <v>0</v>
      </c>
      <c r="V43" s="1" t="n">
        <f aca="false">IF(P43=M$14,R43,0)</f>
        <v>0</v>
      </c>
      <c r="W43" s="1" t="n">
        <f aca="false">IF(P43=M$14,S43,0)</f>
        <v>0</v>
      </c>
      <c r="X43" s="1" t="n">
        <f aca="false">IF(P43=M$14,T43,0)</f>
        <v>0</v>
      </c>
    </row>
    <row r="44" customFormat="false" ht="15.75" hidden="false" customHeight="false" outlineLevel="0" collapsed="false">
      <c r="B44" s="5" t="s">
        <v>122</v>
      </c>
      <c r="C44" s="5"/>
      <c r="D44" s="5"/>
      <c r="E44" s="5"/>
      <c r="F44" s="5"/>
      <c r="G44" s="5"/>
      <c r="H44" s="5"/>
      <c r="P44" s="1" t="s">
        <v>123</v>
      </c>
      <c r="Q44" s="1" t="n">
        <v>0.985</v>
      </c>
      <c r="R44" s="1" t="n">
        <v>0.991</v>
      </c>
      <c r="S44" s="1" t="n">
        <v>0.912</v>
      </c>
      <c r="T44" s="1" t="n">
        <v>5680</v>
      </c>
      <c r="U44" s="1" t="n">
        <f aca="false">IF(P44=M$14,Q44,0)</f>
        <v>0</v>
      </c>
      <c r="V44" s="1" t="n">
        <f aca="false">IF(P44=M$14,R44,0)</f>
        <v>0</v>
      </c>
      <c r="W44" s="1" t="n">
        <f aca="false">IF(P44=M$14,S44,0)</f>
        <v>0</v>
      </c>
      <c r="X44" s="1" t="n">
        <f aca="false">IF(P44=M$14,T44,0)</f>
        <v>0</v>
      </c>
    </row>
    <row r="45" customFormat="false" ht="15.75" hidden="false" customHeight="false" outlineLevel="0" collapsed="false">
      <c r="P45" s="1" t="s">
        <v>124</v>
      </c>
      <c r="Q45" s="1" t="n">
        <v>0.98</v>
      </c>
      <c r="R45" s="1" t="n">
        <v>0.977</v>
      </c>
      <c r="S45" s="1" t="n">
        <v>0.891</v>
      </c>
      <c r="T45" s="1" t="n">
        <v>5660</v>
      </c>
      <c r="U45" s="1" t="n">
        <f aca="false">IF(P45=M$14,Q45,0)</f>
        <v>0</v>
      </c>
      <c r="V45" s="1" t="n">
        <f aca="false">IF(P45=M$14,R45,0)</f>
        <v>0</v>
      </c>
      <c r="W45" s="1" t="n">
        <f aca="false">IF(P45=M$14,S45,0)</f>
        <v>0</v>
      </c>
      <c r="X45" s="1" t="n">
        <f aca="false">IF(P45=M$14,T45,0)</f>
        <v>0</v>
      </c>
    </row>
    <row r="46" s="12" customFormat="true" ht="15.75" hidden="false" customHeight="false" outlineLevel="0" collapsed="false">
      <c r="B46" s="12" t="s">
        <v>36</v>
      </c>
      <c r="P46" s="1" t="s">
        <v>125</v>
      </c>
      <c r="Q46" s="1" t="n">
        <v>0.97</v>
      </c>
      <c r="R46" s="1" t="n">
        <v>0.949</v>
      </c>
      <c r="S46" s="1" t="n">
        <v>0.794</v>
      </c>
      <c r="T46" s="1" t="n">
        <v>5600</v>
      </c>
      <c r="U46" s="1" t="n">
        <f aca="false">IF(P46=M$14,Q46,0)</f>
        <v>0</v>
      </c>
      <c r="V46" s="1" t="n">
        <f aca="false">IF(P46=M$14,R46,0)</f>
        <v>0</v>
      </c>
      <c r="W46" s="1" t="n">
        <f aca="false">IF(P46=M$14,S46,0)</f>
        <v>0</v>
      </c>
      <c r="X46" s="1" t="n">
        <f aca="false">IF(P46=M$14,T46,0)</f>
        <v>0</v>
      </c>
    </row>
    <row r="47" s="12" customFormat="true" ht="15.75" hidden="false" customHeight="false" outlineLevel="0" collapsed="false">
      <c r="B47" s="29" t="s">
        <v>50</v>
      </c>
      <c r="G47" s="49" t="n">
        <f aca="false">MAX(,IF(G12&gt;0,IF(F11&gt;0,G12/F11^2/9.80665,25),IF(G13&gt;0,IF(F11&gt;0,G13*0.0000000000667408/F11^2/9.80665,25),IF(G14&gt;0,G14,25))),0.1)</f>
        <v>39.8</v>
      </c>
      <c r="H47" s="12" t="s">
        <v>51</v>
      </c>
      <c r="P47" s="1" t="s">
        <v>126</v>
      </c>
      <c r="Q47" s="1" t="n">
        <v>0.95</v>
      </c>
      <c r="R47" s="1" t="n">
        <v>0.927</v>
      </c>
      <c r="S47" s="1" t="n">
        <v>0.741</v>
      </c>
      <c r="T47" s="1" t="n">
        <v>5550</v>
      </c>
      <c r="U47" s="1" t="n">
        <f aca="false">IF(P47=M$14,Q47,0)</f>
        <v>0</v>
      </c>
      <c r="V47" s="1" t="n">
        <f aca="false">IF(P47=M$14,R47,0)</f>
        <v>0</v>
      </c>
      <c r="W47" s="1" t="n">
        <f aca="false">IF(P47=M$14,S47,0)</f>
        <v>0</v>
      </c>
      <c r="X47" s="1" t="n">
        <f aca="false">IF(P47=M$14,T47,0)</f>
        <v>0</v>
      </c>
    </row>
    <row r="48" customFormat="false" ht="15.75" hidden="false" customHeight="false" outlineLevel="0" collapsed="false">
      <c r="B48" s="29" t="s">
        <v>127</v>
      </c>
      <c r="G48" s="50" t="n">
        <f aca="false">IF(F38&gt;0,(F31*G31+F32*G32+F33*G33+F34*G34+F35*G35+F36*G36+F37*G37)/(SUM(F31:F34)+IF(G35&gt;0,F35,0)+IF(G36&gt;0,F36,0)+IF(G37&gt;0,F37,0)),1.3)</f>
        <v>1.27745958</v>
      </c>
      <c r="H48" s="1" t="s">
        <v>128</v>
      </c>
      <c r="P48" s="1" t="s">
        <v>129</v>
      </c>
      <c r="Q48" s="1" t="n">
        <v>0.94</v>
      </c>
      <c r="R48" s="1" t="n">
        <v>0.914</v>
      </c>
      <c r="S48" s="1" t="n">
        <v>0.676</v>
      </c>
      <c r="T48" s="1" t="n">
        <v>5480</v>
      </c>
      <c r="U48" s="1" t="n">
        <f aca="false">IF(P48=M$14,Q48,0)</f>
        <v>0</v>
      </c>
      <c r="V48" s="1" t="n">
        <f aca="false">IF(P48=M$14,R48,0)</f>
        <v>0</v>
      </c>
      <c r="W48" s="1" t="n">
        <f aca="false">IF(P48=M$14,S48,0)</f>
        <v>0</v>
      </c>
      <c r="X48" s="1" t="n">
        <f aca="false">IF(P48=M$14,T48,0)</f>
        <v>0</v>
      </c>
    </row>
    <row r="49" customFormat="false" ht="15.75" hidden="false" customHeight="false" outlineLevel="0" collapsed="false">
      <c r="B49" s="29" t="s">
        <v>130</v>
      </c>
      <c r="G49" s="50" t="n">
        <f aca="false">IF(F38&gt;0,1/(1-8.3144621/((F31*H31+F32*H32+F33*H33+F34*H34+F35*H35+F36*H36+F37*H37)/(SUM(F31:F34)+IF(H35&gt;0,F35,0)+IF(H36&gt;0,F36,0)+IF(H37&gt;0,F37,0)))),4/3)</f>
        <v>1.66667496556299</v>
      </c>
      <c r="P49" s="1" t="s">
        <v>131</v>
      </c>
      <c r="Q49" s="1" t="n">
        <v>0.9</v>
      </c>
      <c r="R49" s="1" t="n">
        <v>0.853</v>
      </c>
      <c r="S49" s="1" t="n">
        <v>0.55</v>
      </c>
      <c r="T49" s="1" t="n">
        <v>5380</v>
      </c>
      <c r="U49" s="1" t="n">
        <f aca="false">IF(P49=M$14,Q49,0)</f>
        <v>0</v>
      </c>
      <c r="V49" s="1" t="n">
        <f aca="false">IF(P49=M$14,R49,0)</f>
        <v>0</v>
      </c>
      <c r="W49" s="1" t="n">
        <f aca="false">IF(P49=M$14,S49,0)</f>
        <v>0</v>
      </c>
      <c r="X49" s="1" t="n">
        <f aca="false">IF(P49=M$14,T49,0)</f>
        <v>0</v>
      </c>
    </row>
    <row r="50" customFormat="false" ht="15.75" hidden="false" customHeight="false" outlineLevel="0" collapsed="false">
      <c r="B50" s="29" t="s">
        <v>132</v>
      </c>
      <c r="G50" s="51" t="n">
        <f aca="false">4*PI()*F11^2*0.000000056704*G19^4</f>
        <v>5.85964227646797E+023</v>
      </c>
      <c r="H50" s="1" t="s">
        <v>76</v>
      </c>
      <c r="P50" s="1" t="s">
        <v>133</v>
      </c>
      <c r="Q50" s="1" t="n">
        <v>0.88</v>
      </c>
      <c r="R50" s="1" t="n">
        <v>0.813</v>
      </c>
      <c r="S50" s="1" t="n">
        <v>0.457</v>
      </c>
      <c r="T50" s="1" t="n">
        <v>5270</v>
      </c>
      <c r="U50" s="1" t="n">
        <f aca="false">IF(P50=M$14,Q50,0)</f>
        <v>0</v>
      </c>
      <c r="V50" s="1" t="n">
        <f aca="false">IF(P50=M$14,R50,0)</f>
        <v>0</v>
      </c>
      <c r="W50" s="1" t="n">
        <f aca="false">IF(P50=M$14,S50,0)</f>
        <v>0</v>
      </c>
      <c r="X50" s="1" t="n">
        <f aca="false">IF(P50=M$14,T50,0)</f>
        <v>0</v>
      </c>
    </row>
    <row r="51" customFormat="false" ht="15.75" hidden="false" customHeight="false" outlineLevel="0" collapsed="false">
      <c r="B51" s="29" t="s">
        <v>134</v>
      </c>
      <c r="G51" s="31" t="n">
        <f aca="false">IF(F9&gt;0,G50/(4*PI()*F9^2),1000)</f>
        <v>252.11206251223</v>
      </c>
      <c r="H51" s="1" t="s">
        <v>135</v>
      </c>
      <c r="P51" s="1" t="s">
        <v>136</v>
      </c>
      <c r="Q51" s="1" t="n">
        <v>0.86</v>
      </c>
      <c r="R51" s="1" t="n">
        <v>0.797</v>
      </c>
      <c r="S51" s="1" t="n">
        <v>0.407</v>
      </c>
      <c r="T51" s="1" t="n">
        <v>5170</v>
      </c>
      <c r="U51" s="1" t="n">
        <f aca="false">IF(P51=M$14,Q51,0)</f>
        <v>0</v>
      </c>
      <c r="V51" s="1" t="n">
        <f aca="false">IF(P51=M$14,R51,0)</f>
        <v>0</v>
      </c>
      <c r="W51" s="1" t="n">
        <f aca="false">IF(P51=M$14,S51,0)</f>
        <v>0</v>
      </c>
      <c r="X51" s="1" t="n">
        <f aca="false">IF(P51=M$14,T51,0)</f>
        <v>0</v>
      </c>
    </row>
    <row r="52" customFormat="false" ht="15.75" hidden="false" customHeight="false" outlineLevel="0" collapsed="false">
      <c r="A52" s="52"/>
      <c r="G52" s="50"/>
      <c r="P52" s="1" t="s">
        <v>137</v>
      </c>
      <c r="Q52" s="1" t="n">
        <v>0.82</v>
      </c>
      <c r="R52" s="1" t="n">
        <v>0.783</v>
      </c>
      <c r="S52" s="1" t="n">
        <v>0.372</v>
      </c>
      <c r="T52" s="1" t="n">
        <v>5100</v>
      </c>
      <c r="U52" s="1" t="n">
        <f aca="false">IF(P52=M$14,Q52,0)</f>
        <v>0</v>
      </c>
      <c r="V52" s="1" t="n">
        <f aca="false">IF(P52=M$14,R52,0)</f>
        <v>0</v>
      </c>
      <c r="W52" s="1" t="n">
        <f aca="false">IF(P52=M$14,S52,0)</f>
        <v>0</v>
      </c>
      <c r="X52" s="1" t="n">
        <f aca="false">IF(P52=M$14,T52,0)</f>
        <v>0</v>
      </c>
    </row>
    <row r="53" customFormat="false" ht="15.75" hidden="false" customHeight="false" outlineLevel="0" collapsed="false">
      <c r="A53" s="52"/>
      <c r="B53" s="53" t="s">
        <v>138</v>
      </c>
      <c r="C53" s="53"/>
      <c r="D53" s="53"/>
      <c r="E53" s="53"/>
      <c r="F53" s="53"/>
      <c r="G53" s="53"/>
      <c r="H53" s="53"/>
      <c r="P53" s="1" t="s">
        <v>139</v>
      </c>
      <c r="Q53" s="1" t="n">
        <v>0.78</v>
      </c>
      <c r="R53" s="1" t="n">
        <v>0.755</v>
      </c>
      <c r="S53" s="1" t="n">
        <v>0.282</v>
      </c>
      <c r="T53" s="1" t="n">
        <v>4830</v>
      </c>
      <c r="U53" s="1" t="n">
        <f aca="false">IF(P53=M$14,Q53,0)</f>
        <v>0</v>
      </c>
      <c r="V53" s="1" t="n">
        <f aca="false">IF(P53=M$14,R53,0)</f>
        <v>0</v>
      </c>
      <c r="W53" s="1" t="n">
        <f aca="false">IF(P53=M$14,S53,0)</f>
        <v>0</v>
      </c>
      <c r="X53" s="1" t="n">
        <f aca="false">IF(P53=M$14,T53,0)</f>
        <v>0</v>
      </c>
    </row>
    <row r="54" customFormat="false" ht="15.75" hidden="false" customHeight="false" outlineLevel="0" collapsed="false">
      <c r="A54" s="52"/>
      <c r="B54" s="5" t="s">
        <v>140</v>
      </c>
      <c r="C54" s="5"/>
      <c r="D54" s="5"/>
      <c r="E54" s="5"/>
      <c r="F54" s="5"/>
      <c r="G54" s="5"/>
      <c r="H54" s="5"/>
      <c r="P54" s="1" t="s">
        <v>141</v>
      </c>
      <c r="Q54" s="1" t="n">
        <v>0.73</v>
      </c>
      <c r="R54" s="1" t="n">
        <v>0.713</v>
      </c>
      <c r="S54" s="1" t="n">
        <v>0.204</v>
      </c>
      <c r="T54" s="1" t="n">
        <v>4600</v>
      </c>
      <c r="U54" s="1" t="n">
        <f aca="false">IF(P54=M$14,Q54,0)</f>
        <v>0</v>
      </c>
      <c r="V54" s="1" t="n">
        <f aca="false">IF(P54=M$14,R54,0)</f>
        <v>0</v>
      </c>
      <c r="W54" s="1" t="n">
        <f aca="false">IF(P54=M$14,S54,0)</f>
        <v>0</v>
      </c>
      <c r="X54" s="1" t="n">
        <f aca="false">IF(P54=M$14,T54,0)</f>
        <v>0</v>
      </c>
    </row>
    <row r="55" customFormat="false" ht="15.75" hidden="false" customHeight="false" outlineLevel="0" collapsed="false">
      <c r="A55" s="52"/>
      <c r="G55" s="50"/>
      <c r="P55" s="1" t="s">
        <v>53</v>
      </c>
      <c r="Q55" s="1" t="n">
        <v>0.7</v>
      </c>
      <c r="R55" s="1" t="n">
        <v>0.701</v>
      </c>
      <c r="S55" s="1" t="n">
        <v>0.174</v>
      </c>
      <c r="T55" s="1" t="n">
        <v>4440</v>
      </c>
      <c r="U55" s="1" t="n">
        <f aca="false">IF(P55=M$14,Q55,0)</f>
        <v>0.7</v>
      </c>
      <c r="V55" s="1" t="n">
        <f aca="false">IF(P55=M$14,R55,0)</f>
        <v>0.701</v>
      </c>
      <c r="W55" s="1" t="n">
        <f aca="false">IF(P55=M$14,S55,0)</f>
        <v>0.174</v>
      </c>
      <c r="X55" s="1" t="n">
        <f aca="false">IF(P55=M$14,T55,0)</f>
        <v>4440</v>
      </c>
    </row>
    <row r="56" customFormat="false" ht="15.75" hidden="false" customHeight="false" outlineLevel="0" collapsed="false">
      <c r="A56" s="52"/>
      <c r="B56" s="29" t="s">
        <v>142</v>
      </c>
      <c r="G56" s="50" t="n">
        <f aca="false">IF(F11&gt;0,IF(F24&gt;0,F11/F24,0.1),0.1)</f>
        <v>0.0942622950819672</v>
      </c>
      <c r="P56" s="1" t="s">
        <v>143</v>
      </c>
      <c r="Q56" s="1" t="n">
        <v>0.69</v>
      </c>
      <c r="R56" s="1" t="n">
        <v>0.676</v>
      </c>
      <c r="S56" s="1" t="n">
        <v>0.141</v>
      </c>
      <c r="T56" s="1" t="n">
        <v>4300</v>
      </c>
      <c r="U56" s="1" t="n">
        <f aca="false">IF(P56=M$14,Q56,0)</f>
        <v>0</v>
      </c>
      <c r="V56" s="1" t="n">
        <f aca="false">IF(P56=M$14,R56,0)</f>
        <v>0</v>
      </c>
      <c r="W56" s="1" t="n">
        <f aca="false">IF(P56=M$14,S56,0)</f>
        <v>0</v>
      </c>
      <c r="X56" s="1" t="n">
        <f aca="false">IF(P56=M$14,T56,0)</f>
        <v>0</v>
      </c>
    </row>
    <row r="57" customFormat="false" ht="15.75" hidden="false" customHeight="false" outlineLevel="0" collapsed="false">
      <c r="A57" s="52"/>
      <c r="B57" s="29" t="s">
        <v>144</v>
      </c>
      <c r="G57" s="31" t="n">
        <f aca="false">(F79-F94)/LN(H94/H79)</f>
        <v>73314.9408776959</v>
      </c>
      <c r="H57" s="1" t="s">
        <v>33</v>
      </c>
      <c r="P57" s="1" t="s">
        <v>145</v>
      </c>
      <c r="Q57" s="1" t="n">
        <v>0.64</v>
      </c>
      <c r="R57" s="1" t="n">
        <v>0.633</v>
      </c>
      <c r="S57" s="1" t="n">
        <v>0.102</v>
      </c>
      <c r="T57" s="1" t="n">
        <v>4100</v>
      </c>
      <c r="U57" s="1" t="n">
        <f aca="false">IF(P57=M$14,Q57,0)</f>
        <v>0</v>
      </c>
      <c r="V57" s="1" t="n">
        <f aca="false">IF(P57=M$14,R57,0)</f>
        <v>0</v>
      </c>
      <c r="W57" s="1" t="n">
        <f aca="false">IF(P57=M$14,S57,0)</f>
        <v>0</v>
      </c>
      <c r="X57" s="1" t="n">
        <f aca="false">IF(P57=M$14,T57,0)</f>
        <v>0</v>
      </c>
    </row>
    <row r="58" customFormat="false" ht="15.75" hidden="false" customHeight="false" outlineLevel="0" collapsed="false">
      <c r="A58" s="52"/>
      <c r="B58" s="29" t="s">
        <v>146</v>
      </c>
      <c r="G58" s="50" t="n">
        <f aca="false">(G56-0.09412)/0.90588*(1-IF(G57&gt;19609.054,0.024794*LOG(G57)^4-0.61307*LOG(G57)^3+5.7765*LOG(G57)^2-24.691*LOG(G57)+40.622,1))+IF(G57&gt;19609.054,0.024794*LOG(G57)^4-0.61307*LOG(G57)^3+5.7765*LOG(G57)^2-24.691*LOG(G57)+40.622,1)</f>
        <v>0.516465720226387</v>
      </c>
      <c r="I58" s="50"/>
      <c r="P58" s="1" t="s">
        <v>147</v>
      </c>
      <c r="Q58" s="1" t="n">
        <v>0.62</v>
      </c>
      <c r="R58" s="1" t="n">
        <v>0.623</v>
      </c>
      <c r="S58" s="1" t="n">
        <v>0.0891</v>
      </c>
      <c r="T58" s="1" t="n">
        <v>3990</v>
      </c>
      <c r="U58" s="1" t="n">
        <f aca="false">IF(P58=M$14,Q58,0)</f>
        <v>0</v>
      </c>
      <c r="V58" s="1" t="n">
        <f aca="false">IF(P58=M$14,R58,0)</f>
        <v>0</v>
      </c>
      <c r="W58" s="1" t="n">
        <f aca="false">IF(P58=M$14,S58,0)</f>
        <v>0</v>
      </c>
      <c r="X58" s="1" t="n">
        <f aca="false">IF(P58=M$14,T58,0)</f>
        <v>0</v>
      </c>
    </row>
    <row r="59" customFormat="false" ht="15.75" hidden="false" customHeight="false" outlineLevel="0" collapsed="false">
      <c r="A59" s="52"/>
      <c r="P59" s="1" t="s">
        <v>148</v>
      </c>
      <c r="Q59" s="1" t="n">
        <v>0.59</v>
      </c>
      <c r="R59" s="1" t="n">
        <v>0.594</v>
      </c>
      <c r="S59" s="1" t="n">
        <v>0.0759</v>
      </c>
      <c r="T59" s="1" t="n">
        <v>3930</v>
      </c>
      <c r="U59" s="1" t="n">
        <f aca="false">IF(P59=M$14,Q59,0)</f>
        <v>0</v>
      </c>
      <c r="V59" s="1" t="n">
        <f aca="false">IF(P59=M$14,R59,0)</f>
        <v>0</v>
      </c>
      <c r="W59" s="1" t="n">
        <f aca="false">IF(P59=M$14,S59,0)</f>
        <v>0</v>
      </c>
      <c r="X59" s="1" t="n">
        <f aca="false">IF(P59=M$14,T59,0)</f>
        <v>0</v>
      </c>
    </row>
    <row r="60" customFormat="false" ht="15.75" hidden="false" customHeight="false" outlineLevel="0" collapsed="false">
      <c r="A60" s="52"/>
      <c r="B60" s="29" t="s">
        <v>149</v>
      </c>
      <c r="F60" s="54" t="s">
        <v>150</v>
      </c>
      <c r="G60" s="55" t="n">
        <f aca="false">G58</f>
        <v>0.516465720226387</v>
      </c>
      <c r="P60" s="1" t="s">
        <v>151</v>
      </c>
      <c r="Q60" s="1" t="n">
        <v>0.57</v>
      </c>
      <c r="R60" s="1" t="n">
        <v>0.575</v>
      </c>
      <c r="S60" s="1" t="n">
        <v>0.0661</v>
      </c>
      <c r="T60" s="1" t="n">
        <v>3850</v>
      </c>
      <c r="U60" s="1" t="n">
        <f aca="false">IF(P60=M$14,Q60,0)</f>
        <v>0</v>
      </c>
      <c r="V60" s="1" t="n">
        <f aca="false">IF(P60=M$14,R60,0)</f>
        <v>0</v>
      </c>
      <c r="W60" s="1" t="n">
        <f aca="false">IF(P60=M$14,S60,0)</f>
        <v>0</v>
      </c>
      <c r="X60" s="1" t="n">
        <f aca="false">IF(P60=M$14,T60,0)</f>
        <v>0</v>
      </c>
    </row>
    <row r="61" customFormat="false" ht="15.75" hidden="false" customHeight="false" outlineLevel="0" collapsed="false">
      <c r="A61" s="52"/>
      <c r="B61" s="29" t="s">
        <v>152</v>
      </c>
      <c r="G61" s="56" t="n">
        <f aca="false">'Star CFG'!B14</f>
        <v>436000</v>
      </c>
      <c r="H61" s="1" t="s">
        <v>33</v>
      </c>
      <c r="P61" s="1" t="s">
        <v>153</v>
      </c>
      <c r="Q61" s="1" t="n">
        <v>0.5</v>
      </c>
      <c r="R61" s="1" t="n">
        <v>0.501</v>
      </c>
      <c r="S61" s="1" t="n">
        <v>0.0407</v>
      </c>
      <c r="T61" s="1" t="n">
        <v>3660</v>
      </c>
      <c r="U61" s="1" t="n">
        <f aca="false">IF(P61=M$14,Q61,0)</f>
        <v>0</v>
      </c>
      <c r="V61" s="1" t="n">
        <f aca="false">IF(P61=M$14,R61,0)</f>
        <v>0</v>
      </c>
      <c r="W61" s="1" t="n">
        <f aca="false">IF(P61=M$14,S61,0)</f>
        <v>0</v>
      </c>
      <c r="X61" s="1" t="n">
        <f aca="false">IF(P61=M$14,T61,0)</f>
        <v>0</v>
      </c>
    </row>
    <row r="62" customFormat="false" ht="15.75" hidden="false" customHeight="false" outlineLevel="0" collapsed="false">
      <c r="P62" s="1" t="s">
        <v>154</v>
      </c>
      <c r="Q62" s="1" t="n">
        <v>0.44</v>
      </c>
      <c r="R62" s="1" t="n">
        <v>0.446</v>
      </c>
      <c r="S62" s="1" t="n">
        <v>0.0288</v>
      </c>
      <c r="T62" s="1" t="n">
        <v>3560</v>
      </c>
      <c r="U62" s="1" t="n">
        <f aca="false">IF(P62=M$14,Q62,0)</f>
        <v>0</v>
      </c>
      <c r="V62" s="1" t="n">
        <f aca="false">IF(P62=M$14,R62,0)</f>
        <v>0</v>
      </c>
      <c r="W62" s="1" t="n">
        <f aca="false">IF(P62=M$14,S62,0)</f>
        <v>0</v>
      </c>
      <c r="X62" s="1" t="n">
        <f aca="false">IF(P62=M$14,T62,0)</f>
        <v>0</v>
      </c>
    </row>
    <row r="63" customFormat="false" ht="15.75" hidden="false" customHeight="false" outlineLevel="0" collapsed="false">
      <c r="B63" s="5" t="s">
        <v>155</v>
      </c>
      <c r="C63" s="5"/>
      <c r="D63" s="5"/>
      <c r="E63" s="5"/>
      <c r="F63" s="5"/>
      <c r="G63" s="5"/>
      <c r="H63" s="5"/>
      <c r="I63" s="5"/>
      <c r="J63" s="5"/>
      <c r="P63" s="1" t="s">
        <v>156</v>
      </c>
      <c r="Q63" s="1" t="n">
        <v>0.37</v>
      </c>
      <c r="R63" s="1" t="n">
        <v>0.361</v>
      </c>
      <c r="S63" s="1" t="n">
        <v>0.0162</v>
      </c>
      <c r="T63" s="1" t="n">
        <v>3430</v>
      </c>
      <c r="U63" s="1" t="n">
        <f aca="false">IF(P63=M$14,Q63,0)</f>
        <v>0</v>
      </c>
      <c r="V63" s="1" t="n">
        <f aca="false">IF(P63=M$14,R63,0)</f>
        <v>0</v>
      </c>
      <c r="W63" s="1" t="n">
        <f aca="false">IF(P63=M$14,S63,0)</f>
        <v>0</v>
      </c>
      <c r="X63" s="1" t="n">
        <f aca="false">IF(P63=M$14,T63,0)</f>
        <v>0</v>
      </c>
    </row>
    <row r="64" customFormat="false" ht="15.75" hidden="false" customHeight="false" outlineLevel="0" collapsed="false">
      <c r="B64" s="5" t="s">
        <v>157</v>
      </c>
      <c r="C64" s="5"/>
      <c r="D64" s="5"/>
      <c r="E64" s="5"/>
      <c r="F64" s="5"/>
      <c r="G64" s="5"/>
      <c r="H64" s="5"/>
      <c r="I64" s="5"/>
      <c r="J64" s="5"/>
      <c r="P64" s="1" t="s">
        <v>158</v>
      </c>
      <c r="Q64" s="1" t="n">
        <v>0.23</v>
      </c>
      <c r="R64" s="1" t="n">
        <v>0.274</v>
      </c>
      <c r="S64" s="1" t="n">
        <v>0.00724</v>
      </c>
      <c r="T64" s="1" t="n">
        <v>3210</v>
      </c>
      <c r="U64" s="1" t="n">
        <f aca="false">IF(P64=M$14,Q64,0)</f>
        <v>0</v>
      </c>
      <c r="V64" s="1" t="n">
        <f aca="false">IF(P64=M$14,R64,0)</f>
        <v>0</v>
      </c>
      <c r="W64" s="1" t="n">
        <f aca="false">IF(P64=M$14,S64,0)</f>
        <v>0</v>
      </c>
      <c r="X64" s="1" t="n">
        <f aca="false">IF(P64=M$14,T64,0)</f>
        <v>0</v>
      </c>
    </row>
    <row r="65" customFormat="false" ht="15.75" hidden="false" customHeight="false" outlineLevel="0" collapsed="false">
      <c r="B65" s="5" t="s">
        <v>159</v>
      </c>
      <c r="C65" s="5"/>
      <c r="D65" s="5"/>
      <c r="E65" s="5"/>
      <c r="F65" s="5"/>
      <c r="G65" s="5"/>
      <c r="H65" s="5"/>
      <c r="I65" s="5"/>
      <c r="J65" s="5"/>
      <c r="P65" s="1" t="s">
        <v>160</v>
      </c>
      <c r="Q65" s="1" t="n">
        <v>0.162</v>
      </c>
      <c r="R65" s="1" t="n">
        <v>0.196</v>
      </c>
      <c r="S65" s="1" t="n">
        <v>0.00302</v>
      </c>
      <c r="T65" s="1" t="n">
        <v>3060</v>
      </c>
      <c r="U65" s="1" t="n">
        <f aca="false">IF(P65=M$14,Q65,0)</f>
        <v>0</v>
      </c>
      <c r="V65" s="1" t="n">
        <f aca="false">IF(P65=M$14,R65,0)</f>
        <v>0</v>
      </c>
      <c r="W65" s="1" t="n">
        <f aca="false">IF(P65=M$14,S65,0)</f>
        <v>0</v>
      </c>
      <c r="X65" s="1" t="n">
        <f aca="false">IF(P65=M$14,T65,0)</f>
        <v>0</v>
      </c>
    </row>
    <row r="66" customFormat="false" ht="15.75" hidden="false" customHeight="false" outlineLevel="0" collapsed="false">
      <c r="B66" s="5" t="s">
        <v>161</v>
      </c>
      <c r="C66" s="5"/>
      <c r="D66" s="5"/>
      <c r="E66" s="5"/>
      <c r="F66" s="5"/>
      <c r="G66" s="5"/>
      <c r="H66" s="5"/>
      <c r="I66" s="5"/>
      <c r="J66" s="5"/>
      <c r="P66" s="1" t="s">
        <v>162</v>
      </c>
      <c r="Q66" s="1" t="n">
        <v>0.102</v>
      </c>
      <c r="R66" s="1" t="n">
        <v>0.137</v>
      </c>
      <c r="S66" s="1" t="n">
        <v>0.001047</v>
      </c>
      <c r="T66" s="1" t="n">
        <v>2810</v>
      </c>
      <c r="U66" s="1" t="n">
        <f aca="false">IF(P66=M$14,Q66,0)</f>
        <v>0</v>
      </c>
      <c r="V66" s="1" t="n">
        <f aca="false">IF(P66=M$14,R66,0)</f>
        <v>0</v>
      </c>
      <c r="W66" s="1" t="n">
        <f aca="false">IF(P66=M$14,S66,0)</f>
        <v>0</v>
      </c>
      <c r="X66" s="1" t="n">
        <f aca="false">IF(P66=M$14,T66,0)</f>
        <v>0</v>
      </c>
    </row>
    <row r="67" customFormat="false" ht="15.75" hidden="false" customHeight="false" outlineLevel="0" collapsed="false">
      <c r="P67" s="1" t="s">
        <v>163</v>
      </c>
      <c r="Q67" s="1" t="n">
        <v>0.09</v>
      </c>
      <c r="R67" s="1" t="n">
        <v>0.12</v>
      </c>
      <c r="S67" s="1" t="n">
        <v>0.000646</v>
      </c>
      <c r="T67" s="1" t="n">
        <v>2680</v>
      </c>
      <c r="U67" s="1" t="n">
        <f aca="false">IF(P67=M$14,Q67,0)</f>
        <v>0</v>
      </c>
      <c r="V67" s="1" t="n">
        <f aca="false">IF(P67=M$14,R67,0)</f>
        <v>0</v>
      </c>
      <c r="W67" s="1" t="n">
        <f aca="false">IF(P67=M$14,S67,0)</f>
        <v>0</v>
      </c>
      <c r="X67" s="1" t="n">
        <f aca="false">IF(P67=M$14,T67,0)</f>
        <v>0</v>
      </c>
    </row>
    <row r="68" customFormat="false" ht="15.75" hidden="false" customHeight="false" outlineLevel="0" collapsed="false">
      <c r="B68" s="29" t="s">
        <v>164</v>
      </c>
      <c r="P68" s="1" t="s">
        <v>165</v>
      </c>
      <c r="Q68" s="1" t="n">
        <v>0.085</v>
      </c>
      <c r="R68" s="1" t="n">
        <v>0.114</v>
      </c>
      <c r="S68" s="1" t="n">
        <v>0.000525</v>
      </c>
      <c r="T68" s="1" t="n">
        <v>2570</v>
      </c>
      <c r="U68" s="1" t="n">
        <f aca="false">IF(P68=M$14,Q68,0)</f>
        <v>0</v>
      </c>
      <c r="V68" s="1" t="n">
        <f aca="false">IF(P68=M$14,R68,0)</f>
        <v>0</v>
      </c>
      <c r="W68" s="1" t="n">
        <f aca="false">IF(P68=M$14,S68,0)</f>
        <v>0</v>
      </c>
      <c r="X68" s="1" t="n">
        <f aca="false">IF(P68=M$14,T68,0)</f>
        <v>0</v>
      </c>
    </row>
    <row r="69" customFormat="false" ht="15.75" hidden="false" customHeight="false" outlineLevel="0" collapsed="false">
      <c r="B69" s="29" t="s">
        <v>166</v>
      </c>
      <c r="P69" s="1" t="s">
        <v>167</v>
      </c>
      <c r="Q69" s="1" t="n">
        <v>0.079</v>
      </c>
      <c r="R69" s="1" t="n">
        <v>0.102</v>
      </c>
      <c r="S69" s="1" t="n">
        <v>0.000302</v>
      </c>
      <c r="T69" s="1" t="n">
        <v>2380</v>
      </c>
      <c r="U69" s="1" t="n">
        <f aca="false">IF(P69=M$14,Q69,0)</f>
        <v>0</v>
      </c>
      <c r="V69" s="1" t="n">
        <f aca="false">IF(P69=M$14,R69,0)</f>
        <v>0</v>
      </c>
      <c r="W69" s="1" t="n">
        <f aca="false">IF(P69=M$14,S69,0)</f>
        <v>0</v>
      </c>
      <c r="X69" s="1" t="n">
        <f aca="false">IF(P69=M$14,T69,0)</f>
        <v>0</v>
      </c>
    </row>
    <row r="70" customFormat="false" ht="15.75" hidden="false" customHeight="false" outlineLevel="0" collapsed="false">
      <c r="B70" s="29" t="s">
        <v>168</v>
      </c>
      <c r="P70" s="1" t="s">
        <v>169</v>
      </c>
      <c r="Q70" s="1" t="n">
        <v>0.077</v>
      </c>
      <c r="R70" s="1" t="n">
        <v>0.102</v>
      </c>
      <c r="S70" s="1" t="n">
        <v>0.000251</v>
      </c>
      <c r="T70" s="1" t="n">
        <v>2270</v>
      </c>
      <c r="U70" s="1" t="n">
        <f aca="false">IF(P70=M$14,Q70,0)</f>
        <v>0</v>
      </c>
      <c r="V70" s="1" t="n">
        <f aca="false">IF(P70=M$14,R70,0)</f>
        <v>0</v>
      </c>
      <c r="W70" s="1" t="n">
        <f aca="false">IF(P70=M$14,S70,0)</f>
        <v>0</v>
      </c>
      <c r="X70" s="1" t="n">
        <f aca="false">IF(P70=M$14,T70,0)</f>
        <v>0</v>
      </c>
    </row>
    <row r="71" customFormat="false" ht="15.75" hidden="false" customHeight="false" outlineLevel="0" collapsed="false">
      <c r="B71" s="29" t="s">
        <v>170</v>
      </c>
      <c r="P71" s="1" t="s">
        <v>171</v>
      </c>
      <c r="Q71" s="1" t="n">
        <v>0.076</v>
      </c>
      <c r="R71" s="1" t="n">
        <v>0.0995</v>
      </c>
      <c r="S71" s="1" t="n">
        <v>0.000195</v>
      </c>
      <c r="T71" s="1" t="n">
        <v>2160</v>
      </c>
      <c r="U71" s="1" t="n">
        <f aca="false">IF(P71=M$14,Q71,0)</f>
        <v>0</v>
      </c>
      <c r="V71" s="1" t="n">
        <f aca="false">IF(P71=M$14,R71,0)</f>
        <v>0</v>
      </c>
      <c r="W71" s="1" t="n">
        <f aca="false">IF(P71=M$14,S71,0)</f>
        <v>0</v>
      </c>
      <c r="X71" s="1" t="n">
        <f aca="false">IF(P71=M$14,T71,0)</f>
        <v>0</v>
      </c>
    </row>
    <row r="72" customFormat="false" ht="15.75" hidden="false" customHeight="false" outlineLevel="0" collapsed="false">
      <c r="B72" s="29" t="s">
        <v>172</v>
      </c>
      <c r="P72" s="1" t="s">
        <v>173</v>
      </c>
      <c r="Q72" s="1" t="n">
        <v>0.075</v>
      </c>
      <c r="R72" s="1" t="n">
        <v>0.097</v>
      </c>
      <c r="S72" s="1" t="n">
        <v>0.000151</v>
      </c>
      <c r="T72" s="1" t="n">
        <v>2060</v>
      </c>
      <c r="U72" s="1" t="n">
        <f aca="false">IF(P72=M$14,Q72,0)</f>
        <v>0</v>
      </c>
      <c r="V72" s="1" t="n">
        <f aca="false">IF(P72=M$14,R72,0)</f>
        <v>0</v>
      </c>
      <c r="W72" s="1" t="n">
        <f aca="false">IF(P72=M$14,S72,0)</f>
        <v>0</v>
      </c>
      <c r="X72" s="1" t="n">
        <f aca="false">IF(P72=M$14,T72,0)</f>
        <v>0</v>
      </c>
    </row>
    <row r="73" customFormat="false" ht="15.75" hidden="false" customHeight="false" outlineLevel="0" collapsed="false">
      <c r="B73" s="29" t="s">
        <v>174</v>
      </c>
      <c r="P73" s="1" t="s">
        <v>175</v>
      </c>
      <c r="R73" s="1" t="n">
        <v>0.0942</v>
      </c>
      <c r="S73" s="1" t="n">
        <v>0.00011</v>
      </c>
      <c r="T73" s="1" t="n">
        <v>1920</v>
      </c>
      <c r="U73" s="1" t="n">
        <f aca="false">IF(P73=M$14,Q73,0)</f>
        <v>0</v>
      </c>
      <c r="V73" s="1" t="n">
        <f aca="false">IF(P73=M$14,R73,0)</f>
        <v>0</v>
      </c>
      <c r="W73" s="1" t="n">
        <f aca="false">IF(P73=M$14,S73,0)</f>
        <v>0</v>
      </c>
      <c r="X73" s="1" t="n">
        <f aca="false">IF(P73=M$14,T73,0)</f>
        <v>0</v>
      </c>
    </row>
    <row r="74" customFormat="false" ht="15.75" hidden="false" customHeight="false" outlineLevel="0" collapsed="false">
      <c r="P74" s="1" t="s">
        <v>176</v>
      </c>
      <c r="R74" s="1" t="n">
        <v>0.094</v>
      </c>
      <c r="S74" s="1" t="n">
        <v>9.77E-005</v>
      </c>
      <c r="T74" s="1" t="n">
        <v>1870</v>
      </c>
      <c r="U74" s="1" t="n">
        <f aca="false">IF(P74=M$14,Q74,0)</f>
        <v>0</v>
      </c>
      <c r="V74" s="1" t="n">
        <f aca="false">IF(P74=M$14,R74,0)</f>
        <v>0</v>
      </c>
      <c r="W74" s="1" t="n">
        <f aca="false">IF(P74=M$14,S74,0)</f>
        <v>0</v>
      </c>
      <c r="X74" s="1" t="n">
        <f aca="false">IF(P74=M$14,T74,0)</f>
        <v>0</v>
      </c>
    </row>
    <row r="75" customFormat="false" ht="15.75" hidden="false" customHeight="false" outlineLevel="0" collapsed="false">
      <c r="B75" s="9"/>
      <c r="C75" s="9" t="s">
        <v>177</v>
      </c>
      <c r="F75" s="9"/>
      <c r="J75" s="9" t="s">
        <v>178</v>
      </c>
      <c r="P75" s="1" t="s">
        <v>179</v>
      </c>
      <c r="R75" s="1" t="n">
        <v>0.0909</v>
      </c>
      <c r="S75" s="1" t="n">
        <v>6.31E-005</v>
      </c>
      <c r="T75" s="1" t="n">
        <v>1710</v>
      </c>
      <c r="U75" s="1" t="n">
        <f aca="false">IF(P75=M$14,Q75,0)</f>
        <v>0</v>
      </c>
      <c r="V75" s="1" t="n">
        <f aca="false">IF(P75=M$14,R75,0)</f>
        <v>0</v>
      </c>
      <c r="W75" s="1" t="n">
        <f aca="false">IF(P75=M$14,S75,0)</f>
        <v>0</v>
      </c>
      <c r="X75" s="1" t="n">
        <f aca="false">IF(P75=M$14,T75,0)</f>
        <v>0</v>
      </c>
    </row>
    <row r="76" customFormat="false" ht="15.75" hidden="false" customHeight="false" outlineLevel="0" collapsed="false">
      <c r="B76" s="9" t="s">
        <v>180</v>
      </c>
      <c r="C76" s="9" t="s">
        <v>181</v>
      </c>
      <c r="D76" s="9" t="s">
        <v>182</v>
      </c>
      <c r="E76" s="9" t="s">
        <v>183</v>
      </c>
      <c r="F76" s="9" t="s">
        <v>184</v>
      </c>
      <c r="G76" s="9" t="s">
        <v>98</v>
      </c>
      <c r="H76" s="9" t="s">
        <v>185</v>
      </c>
      <c r="I76" s="9" t="s">
        <v>186</v>
      </c>
      <c r="J76" s="9" t="s">
        <v>187</v>
      </c>
      <c r="P76" s="1" t="s">
        <v>188</v>
      </c>
      <c r="R76" s="1" t="n">
        <v>0.0891</v>
      </c>
      <c r="S76" s="1" t="n">
        <v>4.17E-005</v>
      </c>
      <c r="T76" s="1" t="n">
        <v>1550</v>
      </c>
      <c r="U76" s="1" t="n">
        <f aca="false">IF(P76=M$14,Q76,0)</f>
        <v>0</v>
      </c>
      <c r="V76" s="1" t="n">
        <f aca="false">IF(P76=M$14,R76,0)</f>
        <v>0</v>
      </c>
      <c r="W76" s="1" t="n">
        <f aca="false">IF(P76=M$14,S76,0)</f>
        <v>0</v>
      </c>
      <c r="X76" s="1" t="n">
        <f aca="false">IF(P76=M$14,T76,0)</f>
        <v>0</v>
      </c>
    </row>
    <row r="77" customFormat="false" ht="15.75" hidden="false" customHeight="false" outlineLevel="0" collapsed="false">
      <c r="B77" s="9" t="s">
        <v>189</v>
      </c>
      <c r="C77" s="9" t="s">
        <v>65</v>
      </c>
      <c r="D77" s="9" t="s">
        <v>190</v>
      </c>
      <c r="E77" s="9" t="s">
        <v>191</v>
      </c>
      <c r="F77" s="9" t="s">
        <v>33</v>
      </c>
      <c r="G77" s="9" t="s">
        <v>33</v>
      </c>
      <c r="H77" s="9" t="s">
        <v>192</v>
      </c>
      <c r="I77" s="9" t="s">
        <v>193</v>
      </c>
      <c r="J77" s="9" t="s">
        <v>33</v>
      </c>
      <c r="P77" s="1" t="s">
        <v>194</v>
      </c>
      <c r="R77" s="1" t="n">
        <v>0.0886</v>
      </c>
      <c r="S77" s="1" t="n">
        <v>3.89E-005</v>
      </c>
      <c r="T77" s="1" t="n">
        <v>1530</v>
      </c>
      <c r="U77" s="1" t="n">
        <f aca="false">IF(P77=M$14,Q77,0)</f>
        <v>0</v>
      </c>
      <c r="V77" s="1" t="n">
        <f aca="false">IF(P77=M$14,R77,0)</f>
        <v>0</v>
      </c>
      <c r="W77" s="1" t="n">
        <f aca="false">IF(P77=M$14,S77,0)</f>
        <v>0</v>
      </c>
      <c r="X77" s="1" t="n">
        <f aca="false">IF(P77=M$14,T77,0)</f>
        <v>0</v>
      </c>
    </row>
    <row r="78" customFormat="false" ht="15.75" hidden="false" customHeight="false" outlineLevel="0" collapsed="false">
      <c r="B78" s="9"/>
      <c r="C78" s="9"/>
      <c r="D78" s="9"/>
      <c r="E78" s="57"/>
      <c r="P78" s="1" t="s">
        <v>195</v>
      </c>
      <c r="R78" s="1" t="n">
        <v>0.0875</v>
      </c>
      <c r="S78" s="1" t="n">
        <v>2.82E-005</v>
      </c>
      <c r="T78" s="1" t="n">
        <v>1420</v>
      </c>
      <c r="U78" s="1" t="n">
        <f aca="false">IF(P78=M$14,Q78,0)</f>
        <v>0</v>
      </c>
      <c r="V78" s="1" t="n">
        <f aca="false">IF(P78=M$14,R78,0)</f>
        <v>0</v>
      </c>
      <c r="W78" s="1" t="n">
        <f aca="false">IF(P78=M$14,S78,0)</f>
        <v>0</v>
      </c>
      <c r="X78" s="1" t="n">
        <f aca="false">IF(P78=M$14,T78,0)</f>
        <v>0</v>
      </c>
    </row>
    <row r="79" s="1" customFormat="true" ht="15.75" hidden="false" customHeight="false" outlineLevel="0" collapsed="false">
      <c r="B79" s="58" t="n">
        <f aca="false">LOG(0.1)</f>
        <v>-1</v>
      </c>
      <c r="C79" s="59" t="n">
        <f aca="false">IF(G$19&gt;0,G$19,5000)</f>
        <v>4440</v>
      </c>
      <c r="D79" s="9"/>
      <c r="E79" s="57" t="n">
        <v>0</v>
      </c>
      <c r="F79" s="57" t="n">
        <v>0</v>
      </c>
      <c r="G79" s="57" t="n">
        <f aca="false">8314.4621*C79/(G$48*G$47*9.80665)</f>
        <v>74039.9663866777</v>
      </c>
      <c r="H79" s="60" t="n">
        <f aca="false">10^B79*101325</f>
        <v>10132.5</v>
      </c>
      <c r="I79" s="60" t="n">
        <f aca="false">H79/(8314.4621/G$48*C79)</f>
        <v>0.000350628046320769</v>
      </c>
      <c r="J79" s="57" t="n">
        <f aca="false">F79*IF(G$60&gt;0,G$60,1)</f>
        <v>0</v>
      </c>
      <c r="P79" s="1" t="s">
        <v>196</v>
      </c>
      <c r="R79" s="1" t="n">
        <v>0.0877</v>
      </c>
      <c r="S79" s="1" t="n">
        <v>2.45E-005</v>
      </c>
      <c r="T79" s="1" t="n">
        <v>1370</v>
      </c>
      <c r="U79" s="1" t="n">
        <f aca="false">IF(P79=M$14,Q79,0)</f>
        <v>0</v>
      </c>
      <c r="V79" s="1" t="n">
        <f aca="false">IF(P79=M$14,R79,0)</f>
        <v>0</v>
      </c>
      <c r="W79" s="1" t="n">
        <f aca="false">IF(P79=M$14,S79,0)</f>
        <v>0</v>
      </c>
      <c r="X79" s="1" t="n">
        <f aca="false">IF(P79=M$14,T79,0)</f>
        <v>0</v>
      </c>
    </row>
    <row r="80" customFormat="false" ht="15.75" hidden="false" customHeight="false" outlineLevel="0" collapsed="false">
      <c r="A80" s="31"/>
      <c r="B80" s="58" t="n">
        <f aca="false">B79-1/3</f>
        <v>-1.33333333333333</v>
      </c>
      <c r="C80" s="61" t="n">
        <f aca="false">IF(G$19&gt;0,G$19,5000)*0.867</f>
        <v>3849.48</v>
      </c>
      <c r="D80" s="60" t="n">
        <f aca="false">(C80-C79)/(E80-E79)</f>
        <v>-0.0111505402002104</v>
      </c>
      <c r="E80" s="57" t="n">
        <f aca="false">IF(D80=0,(8314.4621*C79*LN(H80/H79)/(-G$47*9.80665*G$48)),C79/D80*(1/(H80/H79)^(8314.4621*D80/(G$47*9.80665*G$48))-1))+E79</f>
        <v>52958.8692024854</v>
      </c>
      <c r="F80" s="57" t="n">
        <f aca="false">F$24*E80/(F$24-E80)</f>
        <v>52964.6170431132</v>
      </c>
      <c r="G80" s="57" t="n">
        <f aca="false">8314.4621*C80/(G$48*G$47*9.80665)</f>
        <v>64192.6508572496</v>
      </c>
      <c r="H80" s="60" t="n">
        <f aca="false">10^B80*101325</f>
        <v>4703.08988565815</v>
      </c>
      <c r="I80" s="60" t="n">
        <f aca="false">H80/(8314.4621/G$48*C80)</f>
        <v>0.000187712944008529</v>
      </c>
      <c r="J80" s="57" t="n">
        <f aca="false">F80*IF(G$60&gt;0,G$60,1)</f>
        <v>27354.4090876862</v>
      </c>
      <c r="P80" s="1" t="s">
        <v>197</v>
      </c>
      <c r="R80" s="1" t="n">
        <v>0.098</v>
      </c>
      <c r="S80" s="1" t="n">
        <v>2.19E-005</v>
      </c>
      <c r="T80" s="1" t="n">
        <v>1255</v>
      </c>
      <c r="U80" s="1" t="n">
        <f aca="false">IF(P80=M$14,Q80,0)</f>
        <v>0</v>
      </c>
      <c r="V80" s="1" t="n">
        <f aca="false">IF(P80=M$14,R80,0)</f>
        <v>0</v>
      </c>
      <c r="W80" s="1" t="n">
        <f aca="false">IF(P80=M$14,S80,0)</f>
        <v>0</v>
      </c>
      <c r="X80" s="1" t="n">
        <f aca="false">IF(P80=M$14,T80,0)</f>
        <v>0</v>
      </c>
    </row>
    <row r="81" customFormat="false" ht="15.75" hidden="false" customHeight="false" outlineLevel="0" collapsed="false">
      <c r="A81" s="31"/>
      <c r="B81" s="58" t="n">
        <f aca="false">B80-1/3</f>
        <v>-1.66666666666667</v>
      </c>
      <c r="C81" s="61" t="n">
        <f aca="false">IF(G$19&gt;0,G$19,5000)*0.785</f>
        <v>3485.4</v>
      </c>
      <c r="D81" s="60" t="n">
        <f aca="false">(C81-C80)/(E81-E80)</f>
        <v>-0.00776270679992873</v>
      </c>
      <c r="E81" s="57" t="n">
        <f aca="false">IF(D81=0,(8314.4621*C80*LN(H81/H80)/(-G$47*9.80665*G$48)),C80/D81*(1/(H81/H80)^(8314.4621*D81/(G$47*9.80665*G$48))-1))+E80</f>
        <v>99860.0351724977</v>
      </c>
      <c r="F81" s="57" t="n">
        <f aca="false">F$24*E81/(F$24-E81)</f>
        <v>99880.4738356744</v>
      </c>
      <c r="G81" s="57" t="n">
        <f aca="false">8314.4621*C81/(G$48*G$47*9.80665)</f>
        <v>58121.373613542</v>
      </c>
      <c r="H81" s="60" t="n">
        <f aca="false">10^B81*101325</f>
        <v>2182.98094967481</v>
      </c>
      <c r="I81" s="60" t="n">
        <f aca="false">H81/(8314.4621/G$48*C81)</f>
        <v>9.62299651326843E-005</v>
      </c>
      <c r="J81" s="57" t="n">
        <f aca="false">F81*IF(G$60&gt;0,G$60,1)</f>
        <v>51584.8408560944</v>
      </c>
      <c r="P81" s="1" t="s">
        <v>198</v>
      </c>
      <c r="R81" s="1" t="n">
        <v>0.1</v>
      </c>
      <c r="S81" s="1" t="n">
        <v>2.04E-005</v>
      </c>
      <c r="T81" s="1" t="n">
        <v>1240</v>
      </c>
      <c r="U81" s="1" t="n">
        <f aca="false">IF(P81=M$14,Q81,0)</f>
        <v>0</v>
      </c>
      <c r="V81" s="1" t="n">
        <f aca="false">IF(P81=M$14,R81,0)</f>
        <v>0</v>
      </c>
      <c r="W81" s="1" t="n">
        <f aca="false">IF(P81=M$14,S81,0)</f>
        <v>0</v>
      </c>
      <c r="X81" s="1" t="n">
        <f aca="false">IF(P81=M$14,T81,0)</f>
        <v>0</v>
      </c>
    </row>
    <row r="82" customFormat="false" ht="15.75" hidden="false" customHeight="false" outlineLevel="0" collapsed="false">
      <c r="A82" s="31"/>
      <c r="B82" s="58" t="n">
        <f aca="false">B81-1/3</f>
        <v>-2</v>
      </c>
      <c r="C82" s="61" t="n">
        <f aca="false">IF(G$19&gt;0,G$19,5000)*0.732</f>
        <v>3250.08</v>
      </c>
      <c r="D82" s="60" t="n">
        <f aca="false">(C82-C81)/(E82-E81)</f>
        <v>-0.00546159389156268</v>
      </c>
      <c r="E82" s="57" t="n">
        <f aca="false">IF(D82=0,(8314.4621*C81*LN(H82/H81)/(-G$47*9.80665*G$48)),C81/D82*(1/(H82/H81)^(8314.4621*D82/(G$47*9.80665*G$48))-1))+E81</f>
        <v>142946.358445917</v>
      </c>
      <c r="F82" s="57" t="n">
        <f aca="false">F$24*E82/(F$24-E82)</f>
        <v>142988.242971805</v>
      </c>
      <c r="G82" s="57" t="n">
        <f aca="false">8314.4621*C82/(G$48*G$47*9.80665)</f>
        <v>54197.2553950481</v>
      </c>
      <c r="H82" s="60" t="n">
        <f aca="false">10^B82*101325</f>
        <v>1013.25</v>
      </c>
      <c r="I82" s="60" t="n">
        <f aca="false">H82/(8314.4621/G$48*C82)</f>
        <v>4.7900006327974E-005</v>
      </c>
      <c r="J82" s="57" t="n">
        <f aca="false">F82*IF(G$60&gt;0,G$60,1)</f>
        <v>73848.5258903388</v>
      </c>
      <c r="P82" s="1" t="s">
        <v>199</v>
      </c>
      <c r="R82" s="1" t="n">
        <v>0.1</v>
      </c>
      <c r="S82" s="1" t="n">
        <v>1.86E-005</v>
      </c>
      <c r="T82" s="1" t="n">
        <v>1220</v>
      </c>
      <c r="U82" s="1" t="n">
        <f aca="false">IF(P82=M$14,Q82,0)</f>
        <v>0</v>
      </c>
      <c r="V82" s="1" t="n">
        <f aca="false">IF(P82=M$14,R82,0)</f>
        <v>0</v>
      </c>
      <c r="W82" s="1" t="n">
        <f aca="false">IF(P82=M$14,S82,0)</f>
        <v>0</v>
      </c>
      <c r="X82" s="1" t="n">
        <f aca="false">IF(P82=M$14,T82,0)</f>
        <v>0</v>
      </c>
    </row>
    <row r="83" customFormat="false" ht="15.75" hidden="false" customHeight="false" outlineLevel="0" collapsed="false">
      <c r="A83" s="31"/>
      <c r="B83" s="58" t="n">
        <f aca="false">B82-1/3</f>
        <v>-2.33333333333333</v>
      </c>
      <c r="C83" s="61" t="n">
        <f aca="false">IF(G$19&gt;0,G$19,5000)*0.71</f>
        <v>3152.4</v>
      </c>
      <c r="D83" s="60" t="n">
        <f aca="false">(C83-C82)/(E83-E82)</f>
        <v>-0.00238420414506644</v>
      </c>
      <c r="E83" s="57" t="n">
        <f aca="false">IF(D83=0,(8314.4621*C82*LN(H83/H82)/(-G$47*9.80665*G$48)),C82/D83*(1/(H83/H82)^(8314.4621*D83/(G$47*9.80665*G$48))-1))+E82</f>
        <v>183916.004523467</v>
      </c>
      <c r="F83" s="57" t="n">
        <f aca="false">F$24*E83/(F$24-E83)</f>
        <v>183985.344378854</v>
      </c>
      <c r="G83" s="57" t="n">
        <f aca="false">8314.4621*C83/(G$48*G$47*9.80665)</f>
        <v>52568.3761345412</v>
      </c>
      <c r="H83" s="60" t="n">
        <f aca="false">10^B83*101325</f>
        <v>470.308988565815</v>
      </c>
      <c r="I83" s="60" t="n">
        <f aca="false">H83/(8314.4621/G$48*C83)</f>
        <v>2.2922129923295E-005</v>
      </c>
      <c r="J83" s="57" t="n">
        <f aca="false">F83*IF(G$60&gt;0,G$60,1)</f>
        <v>95022.1233957248</v>
      </c>
      <c r="P83" s="1" t="s">
        <v>200</v>
      </c>
      <c r="R83" s="1" t="n">
        <v>0.102</v>
      </c>
      <c r="S83" s="1" t="n">
        <v>1.7E-005</v>
      </c>
      <c r="T83" s="1" t="n">
        <v>1200</v>
      </c>
      <c r="U83" s="1" t="n">
        <f aca="false">IF(P83=M$14,Q83,0)</f>
        <v>0</v>
      </c>
      <c r="V83" s="1" t="n">
        <f aca="false">IF(P83=M$14,R83,0)</f>
        <v>0</v>
      </c>
      <c r="W83" s="1" t="n">
        <f aca="false">IF(P83=M$14,S83,0)</f>
        <v>0</v>
      </c>
      <c r="X83" s="1" t="n">
        <f aca="false">IF(P83=M$14,T83,0)</f>
        <v>0</v>
      </c>
    </row>
    <row r="84" customFormat="false" ht="15.75" hidden="false" customHeight="false" outlineLevel="0" collapsed="false">
      <c r="A84" s="31"/>
      <c r="B84" s="58" t="n">
        <f aca="false">B83-1/3</f>
        <v>-2.66666666666667</v>
      </c>
      <c r="C84" s="61" t="n">
        <f aca="false">IF(G$19&gt;0,G$19,5000)*0.725</f>
        <v>3219</v>
      </c>
      <c r="D84" s="60" t="n">
        <f aca="false">(C84-C83)/(E84-E83)</f>
        <v>0.00163345620601626</v>
      </c>
      <c r="E84" s="57" t="n">
        <f aca="false">IF(D84=0,(8314.4621*C83*LN(H84/H83)/(-G$47*9.80665*G$48)),C83/D84*(1/(H84/H83)^(8314.4621*D84/(G$47*9.80665*G$48))-1))+E83</f>
        <v>224688.447491147</v>
      </c>
      <c r="F84" s="57" t="n">
        <f aca="false">F$24*E84/(F$24-E84)</f>
        <v>224791.947806231</v>
      </c>
      <c r="G84" s="57" t="n">
        <f aca="false">8314.4621*C84/(G$48*G$47*9.80665)</f>
        <v>53678.9756303413</v>
      </c>
      <c r="H84" s="60" t="n">
        <f aca="false">10^B84*101325</f>
        <v>218.298094967481</v>
      </c>
      <c r="I84" s="60" t="n">
        <f aca="false">H84/(8314.4621/G$48*C84)</f>
        <v>1.04193824316079E-005</v>
      </c>
      <c r="J84" s="57" t="n">
        <f aca="false">F84*IF(G$60&gt;0,G$60,1)</f>
        <v>116097.335224837</v>
      </c>
      <c r="P84" s="1" t="s">
        <v>201</v>
      </c>
      <c r="R84" s="1" t="n">
        <v>0.101</v>
      </c>
      <c r="S84" s="1" t="n">
        <v>1.45E-005</v>
      </c>
      <c r="T84" s="1" t="n">
        <v>1180</v>
      </c>
      <c r="U84" s="1" t="n">
        <f aca="false">IF(P84=M$14,Q84,0)</f>
        <v>0</v>
      </c>
      <c r="V84" s="1" t="n">
        <f aca="false">IF(P84=M$14,R84,0)</f>
        <v>0</v>
      </c>
      <c r="W84" s="1" t="n">
        <f aca="false">IF(P84=M$14,S84,0)</f>
        <v>0</v>
      </c>
      <c r="X84" s="1" t="n">
        <f aca="false">IF(P84=M$14,T84,0)</f>
        <v>0</v>
      </c>
    </row>
    <row r="85" customFormat="false" ht="15.75" hidden="false" customHeight="false" outlineLevel="0" collapsed="false">
      <c r="A85" s="31"/>
      <c r="B85" s="58" t="n">
        <f aca="false">B84-1/3</f>
        <v>-3</v>
      </c>
      <c r="C85" s="61" t="n">
        <f aca="false">IF(G$19&gt;0,G$19,5000)*0.768</f>
        <v>3409.92</v>
      </c>
      <c r="D85" s="60" t="n">
        <f aca="false">(C85-C84)/(E85-E84)</f>
        <v>0.00450174709093436</v>
      </c>
      <c r="E85" s="57" t="n">
        <f aca="false">IF(D85=0,(8314.4621*C84*LN(H85/H84)/(-G$47*9.80665*G$48)),C84/D85*(1/(H85/H84)^(8314.4621*D85/(G$47*9.80665*G$48))-1))+E84</f>
        <v>267098.648718238</v>
      </c>
      <c r="F85" s="57" t="n">
        <f aca="false">F$24*E85/(F$24-E85)</f>
        <v>267244.920761706</v>
      </c>
      <c r="G85" s="57" t="n">
        <f aca="false">8314.4621*C85/(G$48*G$47*9.80665)</f>
        <v>56862.6941849685</v>
      </c>
      <c r="H85" s="60" t="n">
        <f aca="false">10^B85*101325</f>
        <v>101.325</v>
      </c>
      <c r="I85" s="60" t="n">
        <f aca="false">H85/(8314.4621/G$48*C85)</f>
        <v>4.56546935313502E-006</v>
      </c>
      <c r="J85" s="57" t="n">
        <f aca="false">F85*IF(G$60&gt;0,G$60,1)</f>
        <v>138022.840478038</v>
      </c>
      <c r="P85" s="1" t="s">
        <v>202</v>
      </c>
      <c r="R85" s="1" t="n">
        <v>0.101</v>
      </c>
      <c r="S85" s="1" t="n">
        <v>1.12E-005</v>
      </c>
      <c r="T85" s="1" t="n">
        <v>1160</v>
      </c>
      <c r="U85" s="1" t="n">
        <f aca="false">IF(P85=M$14,Q85,0)</f>
        <v>0</v>
      </c>
      <c r="V85" s="1" t="n">
        <f aca="false">IF(P85=M$14,R85,0)</f>
        <v>0</v>
      </c>
      <c r="W85" s="1" t="n">
        <f aca="false">IF(P85=M$14,S85,0)</f>
        <v>0</v>
      </c>
      <c r="X85" s="1" t="n">
        <f aca="false">IF(P85=M$14,T85,0)</f>
        <v>0</v>
      </c>
    </row>
    <row r="86" customFormat="false" ht="15.75" hidden="false" customHeight="false" outlineLevel="0" collapsed="false">
      <c r="A86" s="31"/>
      <c r="B86" s="58" t="n">
        <f aca="false">B85-1/3</f>
        <v>-3.33333333333333</v>
      </c>
      <c r="C86" s="61" t="n">
        <f aca="false">IF(G$19&gt;0,G$19,5000)*0.835</f>
        <v>3707.4</v>
      </c>
      <c r="D86" s="60" t="n">
        <f aca="false">(C86-C85)/(E86-E85)</f>
        <v>0.00653501650844753</v>
      </c>
      <c r="E86" s="57" t="n">
        <f aca="false">IF(D86=0,(8314.4621*C85*LN(H86/H85)/(-G$47*9.80665*G$48)),C85/D86*(1/(H86/H85)^(8314.4621*D86/(G$47*9.80665*G$48))-1))+E85</f>
        <v>312619.574276033</v>
      </c>
      <c r="F86" s="57" t="n">
        <f aca="false">F$24*E86/(F$24-E86)</f>
        <v>312819.971091992</v>
      </c>
      <c r="G86" s="57" t="n">
        <f aca="false">8314.4621*C86/(G$48*G$47*9.80665)</f>
        <v>61823.3719328759</v>
      </c>
      <c r="H86" s="60" t="n">
        <f aca="false">10^B86*101325</f>
        <v>47.0308988565815</v>
      </c>
      <c r="I86" s="60" t="n">
        <f aca="false">H86/(8314.4621/G$48*C86)</f>
        <v>1.94906733479515E-006</v>
      </c>
      <c r="J86" s="57" t="n">
        <f aca="false">F86*IF(G$60&gt;0,G$60,1)</f>
        <v>161560.791671223</v>
      </c>
      <c r="P86" s="1" t="s">
        <v>203</v>
      </c>
      <c r="R86" s="1" t="n">
        <v>0.1</v>
      </c>
      <c r="S86" s="1" t="n">
        <v>7.59E-006</v>
      </c>
      <c r="T86" s="1" t="n">
        <v>950</v>
      </c>
      <c r="U86" s="1" t="n">
        <f aca="false">IF(P86=M$14,Q86,0)</f>
        <v>0</v>
      </c>
      <c r="V86" s="1" t="n">
        <f aca="false">IF(P86=M$14,R86,0)</f>
        <v>0</v>
      </c>
      <c r="W86" s="1" t="n">
        <f aca="false">IF(P86=M$14,S86,0)</f>
        <v>0</v>
      </c>
      <c r="X86" s="1" t="n">
        <f aca="false">IF(P86=M$14,T86,0)</f>
        <v>0</v>
      </c>
    </row>
    <row r="87" customFormat="false" ht="15.75" hidden="false" customHeight="false" outlineLevel="0" collapsed="false">
      <c r="A87" s="31"/>
      <c r="B87" s="58" t="n">
        <f aca="false">B86-1/3</f>
        <v>-3.66666666666667</v>
      </c>
      <c r="C87" s="61" t="n">
        <f aca="false">IF(G$19&gt;0,G$19,5000)*0.92</f>
        <v>4084.8</v>
      </c>
      <c r="D87" s="60" t="n">
        <f aca="false">(C87-C86)/(E87-E86)</f>
        <v>0.00757415263902825</v>
      </c>
      <c r="E87" s="57" t="n">
        <f aca="false">IF(D87=0,(8314.4621*C86*LN(H87/H86)/(-G$47*9.80665*G$48)),C86/D87*(1/(H87/H86)^(8314.4621*D87/(G$47*9.80665*G$48))-1))+E86</f>
        <v>362446.930283532</v>
      </c>
      <c r="F87" s="57" t="n">
        <f aca="false">F$24*E87/(F$24-E87)</f>
        <v>362716.326634254</v>
      </c>
      <c r="G87" s="57" t="n">
        <f aca="false">8314.4621*C87/(G$48*G$47*9.80665)</f>
        <v>68116.7690757435</v>
      </c>
      <c r="H87" s="60" t="n">
        <f aca="false">10^B87*101325</f>
        <v>21.829809496748</v>
      </c>
      <c r="I87" s="60" t="n">
        <f aca="false">H87/(8314.4621/G$48*C87)</f>
        <v>8.21092637273447E-007</v>
      </c>
      <c r="J87" s="57" t="n">
        <f aca="false">F87*IF(G$60&gt;0,G$60,1)</f>
        <v>187330.54887303</v>
      </c>
      <c r="P87" s="1" t="s">
        <v>204</v>
      </c>
      <c r="R87" s="1" t="n">
        <v>0.098</v>
      </c>
      <c r="S87" s="1" t="n">
        <v>4.27E-006</v>
      </c>
      <c r="T87" s="1" t="n">
        <v>825</v>
      </c>
      <c r="U87" s="1" t="n">
        <f aca="false">IF(P87=M$14,Q87,0)</f>
        <v>0</v>
      </c>
      <c r="V87" s="1" t="n">
        <f aca="false">IF(P87=M$14,R87,0)</f>
        <v>0</v>
      </c>
      <c r="W87" s="1" t="n">
        <f aca="false">IF(P87=M$14,S87,0)</f>
        <v>0</v>
      </c>
      <c r="X87" s="1" t="n">
        <f aca="false">IF(P87=M$14,T87,0)</f>
        <v>0</v>
      </c>
    </row>
    <row r="88" s="1" customFormat="true" ht="15.75" hidden="false" customHeight="false" outlineLevel="0" collapsed="false">
      <c r="B88" s="58" t="n">
        <f aca="false">B87-1/3</f>
        <v>-4</v>
      </c>
      <c r="C88" s="61" t="n">
        <f aca="false">IF(G$19&gt;0,G$19,5000)*1.01</f>
        <v>4484.4</v>
      </c>
      <c r="D88" s="60" t="n">
        <f aca="false">(C88-C87)/(E88-E87)</f>
        <v>0.00729209999532293</v>
      </c>
      <c r="E88" s="57" t="n">
        <f aca="false">IF(D88=0,(8314.4621*C87*LN(H88/H87)/(-G$47*9.80665*G$48)),C87/D88*(1/(H88/H87)^(8314.4621*D88/(G$47*9.80665*G$48))-1))+E87</f>
        <v>417245.959404951</v>
      </c>
      <c r="F88" s="57" t="n">
        <f aca="false">F$24*E88/(F$24-E88)</f>
        <v>417603.015082571</v>
      </c>
      <c r="G88" s="57" t="n">
        <f aca="false">8314.4621*C88/(G$48*G$47*9.80665)</f>
        <v>74780.3660505444</v>
      </c>
      <c r="H88" s="60" t="n">
        <f aca="false">10^B88*101325</f>
        <v>10.1325</v>
      </c>
      <c r="I88" s="60" t="n">
        <f aca="false">H88/(8314.4621/G$48*C88)</f>
        <v>3.47156481505712E-007</v>
      </c>
      <c r="J88" s="57" t="n">
        <f aca="false">F88*IF(G$60&gt;0,G$60,1)</f>
        <v>215677.641953331</v>
      </c>
      <c r="P88" s="1" t="s">
        <v>205</v>
      </c>
      <c r="R88" s="1" t="n">
        <v>0.095</v>
      </c>
      <c r="S88" s="1" t="n">
        <v>1.95E-006</v>
      </c>
      <c r="T88" s="1" t="n">
        <v>680</v>
      </c>
      <c r="U88" s="1" t="n">
        <f aca="false">IF(P88=M$14,Q88,0)</f>
        <v>0</v>
      </c>
      <c r="V88" s="1" t="n">
        <f aca="false">IF(P88=M$14,R88,0)</f>
        <v>0</v>
      </c>
      <c r="W88" s="1" t="n">
        <f aca="false">IF(P88=M$14,S88,0)</f>
        <v>0</v>
      </c>
      <c r="X88" s="1" t="n">
        <f aca="false">IF(P88=M$14,T88,0)</f>
        <v>0</v>
      </c>
    </row>
    <row r="89" customFormat="false" ht="15.75" hidden="false" customHeight="false" outlineLevel="0" collapsed="false">
      <c r="B89" s="58" t="n">
        <f aca="false">B88-1/3</f>
        <v>-4.33333333333333</v>
      </c>
      <c r="C89" s="61" t="n">
        <f aca="false">IF(G$19&gt;0,G$19,5000)*1.08</f>
        <v>4795.2</v>
      </c>
      <c r="D89" s="60" t="n">
        <f aca="false">(C89-C88)/(E89-E88)</f>
        <v>0.00523560103035274</v>
      </c>
      <c r="E89" s="57" t="n">
        <f aca="false">IF(D89=0,(8314.4621*C88*LN(H89/H88)/(-G$47*9.80665*G$48)),C88/D89*(1/(H89/H88)^(8314.4621*D89/(G$47*9.80665*G$48))-1))+E88</f>
        <v>476608.771467631</v>
      </c>
      <c r="F89" s="57" t="n">
        <f aca="false">F$24*E89/(F$24-E89)</f>
        <v>477074.709974637</v>
      </c>
      <c r="G89" s="57" t="n">
        <f aca="false">8314.4621*C89/(G$48*G$47*9.80665)</f>
        <v>79963.1636976119</v>
      </c>
      <c r="H89" s="60" t="n">
        <f aca="false">10^B89*101325</f>
        <v>4.70308988565815</v>
      </c>
      <c r="I89" s="60" t="n">
        <f aca="false">H89/(8314.4621/G$48*C89)</f>
        <v>1.50691780051292E-007</v>
      </c>
      <c r="J89" s="57" t="n">
        <f aca="false">F89*IF(G$60&gt;0,G$60,1)</f>
        <v>246392.733688846</v>
      </c>
      <c r="P89" s="1" t="s">
        <v>206</v>
      </c>
      <c r="R89" s="1" t="n">
        <v>0.1</v>
      </c>
      <c r="S89" s="1" t="n">
        <v>7.08E-007</v>
      </c>
      <c r="T89" s="1" t="n">
        <v>560</v>
      </c>
      <c r="U89" s="1" t="n">
        <f aca="false">IF(P89=M$14,Q89,0)</f>
        <v>0</v>
      </c>
      <c r="V89" s="1" t="n">
        <f aca="false">IF(P89=M$14,R89,0)</f>
        <v>0</v>
      </c>
      <c r="W89" s="1" t="n">
        <f aca="false">IF(P89=M$14,S89,0)</f>
        <v>0</v>
      </c>
      <c r="X89" s="1" t="n">
        <f aca="false">IF(P89=M$14,T89,0)</f>
        <v>0</v>
      </c>
    </row>
    <row r="90" customFormat="false" ht="15.75" hidden="false" customHeight="false" outlineLevel="0" collapsed="false">
      <c r="B90" s="58" t="n">
        <f aca="false">B89-1/3</f>
        <v>-4.66666666666667</v>
      </c>
      <c r="C90" s="61" t="n">
        <f aca="false">IF(G$19&gt;0,G$19,5000)*1.15</f>
        <v>5106</v>
      </c>
      <c r="D90" s="60" t="n">
        <f aca="false">(C90-C89)/(E90-E89)</f>
        <v>0.00490668524248958</v>
      </c>
      <c r="E90" s="57" t="n">
        <f aca="false">IF(D90=0,(8314.4621*C89*LN(H90/H89)/(-G$47*9.80665*G$48)),C89/D90*(1/(H90/H89)^(8314.4621*D90/(G$47*9.80665*G$48))-1))+E89</f>
        <v>539950.922969141</v>
      </c>
      <c r="F90" s="57" t="n">
        <f aca="false">F$24*E90/(F$24-E90)</f>
        <v>540549.017109916</v>
      </c>
      <c r="G90" s="57" t="n">
        <f aca="false">8314.4621*C90/(G$48*G$47*9.80665)</f>
        <v>85145.9613446793</v>
      </c>
      <c r="H90" s="60" t="n">
        <f aca="false">10^B90*101325</f>
        <v>2.18298094967481</v>
      </c>
      <c r="I90" s="60" t="n">
        <f aca="false">H90/(8314.4621/G$48*C90)</f>
        <v>6.56874109818759E-008</v>
      </c>
      <c r="J90" s="57" t="n">
        <f aca="false">F90*IF(G$60&gt;0,G$60,1)</f>
        <v>279175.037439339</v>
      </c>
    </row>
    <row r="91" customFormat="false" ht="15.75" hidden="false" customHeight="false" outlineLevel="0" collapsed="false">
      <c r="B91" s="58" t="n">
        <f aca="false">B90-1/3</f>
        <v>-5</v>
      </c>
      <c r="C91" s="61" t="n">
        <f aca="false">IF(G$19&gt;0,G$19,5000)*1.22</f>
        <v>5416.8</v>
      </c>
      <c r="D91" s="60" t="n">
        <f aca="false">(C91-C90)/(E91-E90)</f>
        <v>0.00461666486033203</v>
      </c>
      <c r="E91" s="57" t="n">
        <f aca="false">IF(D91=0,(8314.4621*C90*LN(H91/H90)/(-G$47*9.80665*G$48)),C90/D91*(1/(H91/H90)^(8314.4621*D91/(G$47*9.80665*G$48))-1))+E90</f>
        <v>607272.248948529</v>
      </c>
      <c r="F91" s="57" t="n">
        <f aca="false">F$24*E91/(F$24-E91)</f>
        <v>608028.886385539</v>
      </c>
      <c r="G91" s="57" t="n">
        <f aca="false">8314.4621*C91/(G$48*G$47*9.80665)</f>
        <v>90328.7589917468</v>
      </c>
      <c r="H91" s="60" t="n">
        <f aca="false">10^B91*101325</f>
        <v>1.01325</v>
      </c>
      <c r="I91" s="60" t="n">
        <f aca="false">H91/(8314.4621/G$48*C91)</f>
        <v>2.87400037967844E-008</v>
      </c>
      <c r="J91" s="57" t="n">
        <f aca="false">F91*IF(G$60&gt;0,G$60,1)</f>
        <v>314026.076725556</v>
      </c>
      <c r="U91" s="1" t="n">
        <f aca="false">SUM(U7:U90)</f>
        <v>0.7</v>
      </c>
      <c r="V91" s="1" t="n">
        <f aca="false">SUM(V7:V90)</f>
        <v>0.701</v>
      </c>
      <c r="W91" s="1" t="n">
        <f aca="false">SUM(W7:W90)</f>
        <v>0.174</v>
      </c>
      <c r="X91" s="1" t="n">
        <f aca="false">SUM(X7:X90)</f>
        <v>4440</v>
      </c>
    </row>
    <row r="92" customFormat="false" ht="15.75" hidden="false" customHeight="false" outlineLevel="0" collapsed="false">
      <c r="B92" s="58" t="n">
        <f aca="false">B91-1/3</f>
        <v>-5.33333333333333</v>
      </c>
      <c r="C92" s="61" t="n">
        <f aca="false">IF(G$19&gt;0,G$19,5000)*1.3</f>
        <v>5772</v>
      </c>
      <c r="D92" s="60" t="n">
        <f aca="false">(C92-C91)/(E92-E91)</f>
        <v>0.00496235379444376</v>
      </c>
      <c r="E92" s="57" t="n">
        <f aca="false">IF(D92=0,(8314.4621*C91*LN(H92/H91)/(-G$47*9.80665*G$48)),C91/D92*(1/(H92/H91)^(8314.4621*D92/(G$47*9.80665*G$48))-1))+E91</f>
        <v>678851.184009086</v>
      </c>
      <c r="F92" s="57" t="n">
        <f aca="false">F$24*E92/(F$24-E92)</f>
        <v>679796.841572174</v>
      </c>
      <c r="G92" s="57" t="n">
        <f aca="false">8314.4621*C92/(G$48*G$47*9.80665)</f>
        <v>96251.956302681</v>
      </c>
      <c r="H92" s="60" t="n">
        <f aca="false">10^B92*101325</f>
        <v>0.470308988565816</v>
      </c>
      <c r="I92" s="60" t="n">
        <f aca="false">H92/(8314.4621/G$48*C92)</f>
        <v>1.25190094196458E-008</v>
      </c>
      <c r="J92" s="57" t="n">
        <f aca="false">F92*IF(G$60&gt;0,G$60,1)</f>
        <v>351091.765390196</v>
      </c>
    </row>
    <row r="93" s="1" customFormat="true" ht="15.75" hidden="false" customHeight="false" outlineLevel="0" collapsed="false">
      <c r="B93" s="58" t="n">
        <f aca="false">B92-1/3</f>
        <v>-5.66666666666667</v>
      </c>
      <c r="C93" s="61" t="n">
        <f aca="false">IF(G$19&gt;0,G$19,5000)*1.42</f>
        <v>6304.8</v>
      </c>
      <c r="D93" s="60" t="n">
        <f aca="false">(C93-C92)/(E93-E92)</f>
        <v>0.00689837285700266</v>
      </c>
      <c r="E93" s="57" t="n">
        <f aca="false">IF(D93=0,(8314.4621*C92*LN(H93/H92)/(-G$47*9.80665*G$48)),C92/D93*(1/(H93/H92)^(8314.4621*D93/(G$47*9.80665*G$48))-1))+E92</f>
        <v>756086.788845833</v>
      </c>
      <c r="F93" s="57" t="n">
        <f aca="false">F$24*E93/(F$24-E93)</f>
        <v>757260.055903188</v>
      </c>
      <c r="G93" s="57" t="n">
        <f aca="false">8314.4621*C93/(G$48*G$47*9.80665)</f>
        <v>105136.752269082</v>
      </c>
      <c r="H93" s="60" t="n">
        <f aca="false">10^B93*101325</f>
        <v>0.218298094967481</v>
      </c>
      <c r="I93" s="60" t="n">
        <f aca="false">H93/(8314.4621/G$48*C93)</f>
        <v>5.3197551147294E-009</v>
      </c>
      <c r="J93" s="57" t="n">
        <f aca="false">F93*IF(G$60&gt;0,G$60,1)</f>
        <v>391098.860170714</v>
      </c>
    </row>
    <row r="94" s="1" customFormat="true" ht="15.75" hidden="false" customHeight="false" outlineLevel="0" collapsed="false">
      <c r="B94" s="58" t="n">
        <f aca="false">B93-1/3</f>
        <v>-6</v>
      </c>
      <c r="C94" s="62" t="n">
        <f aca="false">IF(G$19&gt;0,G$19,5000)*1.63</f>
        <v>7237.2</v>
      </c>
      <c r="D94" s="60" t="n">
        <f aca="false">(C94-C93)/(E94-E93)</f>
        <v>0.0107760468084433</v>
      </c>
      <c r="E94" s="57" t="n">
        <f aca="false">IF(D94=0,(8314.4621*C93*LN(H94/H93)/(-G$47*9.80665*G$48)),C93/D94*(1/(H94/H93)^(8314.4621*D94/(G$47*9.80665*G$48))-1))+E93</f>
        <v>842612.025472445</v>
      </c>
      <c r="F94" s="57" t="n">
        <f aca="false">F$24*E94/(F$24-E94)</f>
        <v>844069.449793613</v>
      </c>
      <c r="G94" s="57" t="n">
        <f aca="false">8314.4621*C94/(G$48*G$47*9.80665)</f>
        <v>120685.145210285</v>
      </c>
      <c r="H94" s="60" t="n">
        <f aca="false">10^B94*101325</f>
        <v>0.101325</v>
      </c>
      <c r="I94" s="60" t="n">
        <f aca="false">H94/(8314.4621/G$48*C94)</f>
        <v>2.15109230871639E-009</v>
      </c>
      <c r="J94" s="57" t="n">
        <f aca="false">F94*IF(G$60&gt;0,G$60,1)</f>
        <v>435932.936308749</v>
      </c>
    </row>
  </sheetData>
  <mergeCells count="30">
    <mergeCell ref="B2:H2"/>
    <mergeCell ref="B4:H4"/>
    <mergeCell ref="B5:H5"/>
    <mergeCell ref="L5:M6"/>
    <mergeCell ref="B6:H6"/>
    <mergeCell ref="F9:G9"/>
    <mergeCell ref="F11:G11"/>
    <mergeCell ref="D12:E14"/>
    <mergeCell ref="B16:H16"/>
    <mergeCell ref="B17:H17"/>
    <mergeCell ref="B21:H21"/>
    <mergeCell ref="B22:H22"/>
    <mergeCell ref="F24:G24"/>
    <mergeCell ref="B26:H26"/>
    <mergeCell ref="B27:H27"/>
    <mergeCell ref="B31:D31"/>
    <mergeCell ref="B32:D32"/>
    <mergeCell ref="B33:D33"/>
    <mergeCell ref="B34:D34"/>
    <mergeCell ref="B35:D35"/>
    <mergeCell ref="B36:D36"/>
    <mergeCell ref="B37:D37"/>
    <mergeCell ref="B43:H43"/>
    <mergeCell ref="B44:H44"/>
    <mergeCell ref="B53:H53"/>
    <mergeCell ref="B54:H54"/>
    <mergeCell ref="B63:J63"/>
    <mergeCell ref="B64:J64"/>
    <mergeCell ref="B65:J65"/>
    <mergeCell ref="B66:J66"/>
  </mergeCells>
  <dataValidations count="1">
    <dataValidation allowBlank="true" errorStyle="stop" operator="between" showDropDown="false" showErrorMessage="true" showInputMessage="true" sqref="M14" type="list">
      <formula1>$P$7:$P$72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3" width="27.71"/>
    <col collapsed="false" customWidth="true" hidden="false" outlineLevel="0" max="5" min="2" style="63" width="14.69"/>
    <col collapsed="false" customWidth="false" hidden="false" outlineLevel="0" max="1024" min="6" style="63" width="9.13"/>
  </cols>
  <sheetData>
    <row r="1" customFormat="false" ht="47.25" hidden="false" customHeight="true" outlineLevel="0" collapsed="false">
      <c r="A1" s="64" t="s">
        <v>207</v>
      </c>
      <c r="B1" s="64"/>
      <c r="C1" s="64"/>
      <c r="D1" s="64"/>
      <c r="E1" s="64"/>
    </row>
    <row r="2" customFormat="false" ht="15" hidden="false" customHeight="false" outlineLevel="0" collapsed="false">
      <c r="A2" s="65"/>
      <c r="B2" s="65"/>
      <c r="C2" s="65"/>
      <c r="D2" s="65"/>
      <c r="E2" s="65"/>
    </row>
    <row r="3" customFormat="false" ht="15" hidden="false" customHeight="false" outlineLevel="0" collapsed="false">
      <c r="A3" s="65" t="s">
        <v>208</v>
      </c>
      <c r="B3" s="65"/>
      <c r="C3" s="65"/>
      <c r="D3" s="65"/>
      <c r="E3" s="65"/>
    </row>
    <row r="4" customFormat="false" ht="15" hidden="false" customHeight="false" outlineLevel="0" collapsed="false">
      <c r="A4" s="65" t="s">
        <v>209</v>
      </c>
      <c r="B4" s="65"/>
      <c r="C4" s="65"/>
      <c r="D4" s="65"/>
      <c r="E4" s="65"/>
    </row>
    <row r="5" customFormat="false" ht="15" hidden="false" customHeight="false" outlineLevel="0" collapsed="false">
      <c r="A5" s="66" t="s">
        <v>210</v>
      </c>
      <c r="B5" s="65"/>
      <c r="C5" s="65"/>
      <c r="D5" s="65"/>
      <c r="E5" s="65"/>
    </row>
    <row r="6" customFormat="false" ht="15" hidden="false" customHeight="false" outlineLevel="0" collapsed="false">
      <c r="A6" s="66" t="s">
        <v>209</v>
      </c>
      <c r="B6" s="65"/>
      <c r="C6" s="65"/>
      <c r="D6" s="65"/>
      <c r="E6" s="65"/>
    </row>
    <row r="7" customFormat="false" ht="15" hidden="false" customHeight="false" outlineLevel="0" collapsed="false">
      <c r="A7" s="67" t="s">
        <v>211</v>
      </c>
      <c r="B7" s="68" t="n">
        <f aca="false">ROUND(Star!G51,0)</f>
        <v>252</v>
      </c>
      <c r="C7" s="65"/>
      <c r="D7" s="65"/>
      <c r="E7" s="65"/>
    </row>
    <row r="8" customFormat="false" ht="15" hidden="false" customHeight="false" outlineLevel="0" collapsed="false">
      <c r="A8" s="66" t="s">
        <v>212</v>
      </c>
      <c r="B8" s="65"/>
      <c r="C8" s="65"/>
      <c r="D8" s="65"/>
      <c r="E8" s="65"/>
    </row>
    <row r="9" customFormat="false" ht="15" hidden="false" customHeight="false" outlineLevel="0" collapsed="false">
      <c r="A9" s="65" t="s">
        <v>212</v>
      </c>
      <c r="B9" s="65"/>
      <c r="C9" s="65"/>
      <c r="D9" s="65"/>
      <c r="E9" s="65"/>
    </row>
    <row r="10" customFormat="false" ht="15" hidden="false" customHeight="false" outlineLevel="0" collapsed="false">
      <c r="A10" s="65" t="s">
        <v>213</v>
      </c>
      <c r="B10" s="65"/>
      <c r="D10" s="65"/>
      <c r="E10" s="69"/>
    </row>
    <row r="11" customFormat="false" ht="15" hidden="false" customHeight="false" outlineLevel="0" collapsed="false">
      <c r="A11" s="65" t="s">
        <v>209</v>
      </c>
      <c r="B11" s="69"/>
      <c r="D11" s="65"/>
      <c r="E11" s="69"/>
    </row>
    <row r="12" customFormat="false" ht="15" hidden="false" customHeight="false" outlineLevel="0" collapsed="false">
      <c r="A12" s="66" t="s">
        <v>214</v>
      </c>
      <c r="B12" s="69" t="s">
        <v>215</v>
      </c>
      <c r="D12" s="69"/>
      <c r="E12" s="69"/>
    </row>
    <row r="13" customFormat="false" ht="15" hidden="false" customHeight="false" outlineLevel="0" collapsed="false">
      <c r="A13" s="66" t="s">
        <v>216</v>
      </c>
      <c r="B13" s="69" t="s">
        <v>217</v>
      </c>
      <c r="D13" s="69"/>
      <c r="E13" s="69"/>
    </row>
    <row r="14" customFormat="false" ht="15" hidden="false" customHeight="false" outlineLevel="0" collapsed="false">
      <c r="A14" s="66" t="s">
        <v>218</v>
      </c>
      <c r="B14" s="69" t="n">
        <f aca="false">MAX(B21:B36)</f>
        <v>436000</v>
      </c>
      <c r="D14" s="69"/>
      <c r="E14" s="69"/>
    </row>
    <row r="15" customFormat="false" ht="15" hidden="false" customHeight="false" outlineLevel="0" collapsed="false">
      <c r="A15" s="66" t="s">
        <v>219</v>
      </c>
      <c r="B15" s="70" t="n">
        <f aca="false">ROUND(Star!G$49,3)</f>
        <v>1.667</v>
      </c>
      <c r="D15" s="69"/>
      <c r="E15" s="69"/>
    </row>
    <row r="16" customFormat="false" ht="15" hidden="false" customHeight="false" outlineLevel="0" collapsed="false">
      <c r="A16" s="66" t="s">
        <v>220</v>
      </c>
      <c r="B16" s="69" t="n">
        <f aca="false">ROUND(Star!G$48/1000,6)</f>
        <v>0.001277</v>
      </c>
      <c r="D16" s="69"/>
      <c r="E16" s="69"/>
    </row>
    <row r="17" customFormat="false" ht="15" hidden="false" customHeight="false" outlineLevel="0" collapsed="false">
      <c r="A17" s="66" t="s">
        <v>221</v>
      </c>
      <c r="B17" s="68" t="n">
        <f aca="false">ROUND(Star!C$79,0)</f>
        <v>4440</v>
      </c>
      <c r="D17" s="69"/>
      <c r="E17" s="69"/>
    </row>
    <row r="18" customFormat="false" ht="15" hidden="false" customHeight="false" outlineLevel="0" collapsed="false">
      <c r="A18" s="66" t="s">
        <v>222</v>
      </c>
      <c r="B18" s="69" t="n">
        <f aca="false">C40</f>
        <v>10.1325</v>
      </c>
      <c r="D18" s="69"/>
      <c r="E18" s="69"/>
    </row>
    <row r="19" customFormat="false" ht="15" hidden="false" customHeight="false" outlineLevel="0" collapsed="false">
      <c r="A19" s="66" t="s">
        <v>223</v>
      </c>
      <c r="B19" s="69"/>
      <c r="D19" s="69"/>
      <c r="E19" s="69"/>
    </row>
    <row r="20" customFormat="false" ht="15" hidden="false" customHeight="false" outlineLevel="0" collapsed="false">
      <c r="A20" s="66" t="s">
        <v>209</v>
      </c>
      <c r="B20" s="65"/>
      <c r="C20" s="69"/>
      <c r="D20" s="69"/>
      <c r="E20" s="69"/>
    </row>
    <row r="21" customFormat="false" ht="15" hidden="false" customHeight="false" outlineLevel="0" collapsed="false">
      <c r="A21" s="69" t="s">
        <v>224</v>
      </c>
      <c r="B21" s="69" t="n">
        <f aca="false">ROUND(Star!J79,-1)</f>
        <v>0</v>
      </c>
      <c r="C21" s="68" t="n">
        <f aca="false">ROUND(Star!C79,0)</f>
        <v>4440</v>
      </c>
      <c r="D21" s="71" t="n">
        <v>0</v>
      </c>
      <c r="E21" s="71" t="n">
        <f aca="false">(C22-C21)/(B22-B21)</f>
        <v>-0.0216087751371115</v>
      </c>
    </row>
    <row r="22" customFormat="false" ht="15" hidden="false" customHeight="false" outlineLevel="0" collapsed="false">
      <c r="A22" s="69" t="s">
        <v>224</v>
      </c>
      <c r="B22" s="69" t="n">
        <f aca="false">ROUND(Star!J80,-1)</f>
        <v>27350</v>
      </c>
      <c r="C22" s="68" t="n">
        <f aca="false">ROUND(Star!C80,0)</f>
        <v>3849</v>
      </c>
      <c r="D22" s="71" t="n">
        <f aca="false">(C22-C21)/(B22-B21)</f>
        <v>-0.0216087751371115</v>
      </c>
      <c r="E22" s="71" t="n">
        <f aca="false">(C23-C22)/(B23-B22)</f>
        <v>-0.0150226991333058</v>
      </c>
    </row>
    <row r="23" customFormat="false" ht="15" hidden="false" customHeight="false" outlineLevel="0" collapsed="false">
      <c r="A23" s="69" t="s">
        <v>224</v>
      </c>
      <c r="B23" s="69" t="n">
        <f aca="false">ROUND(Star!J81,-1)</f>
        <v>51580</v>
      </c>
      <c r="C23" s="68" t="n">
        <f aca="false">ROUND(Star!C81,0)</f>
        <v>3485</v>
      </c>
      <c r="D23" s="71" t="n">
        <f aca="false">(C23-C22)/(B23-B22)</f>
        <v>-0.0150226991333058</v>
      </c>
      <c r="E23" s="71" t="n">
        <f aca="false">(C24-C23)/(B24-B23)</f>
        <v>-0.0105523125280647</v>
      </c>
    </row>
    <row r="24" customFormat="false" ht="15" hidden="false" customHeight="false" outlineLevel="0" collapsed="false">
      <c r="A24" s="69" t="s">
        <v>224</v>
      </c>
      <c r="B24" s="69" t="n">
        <f aca="false">ROUND(Star!J82,-1)</f>
        <v>73850</v>
      </c>
      <c r="C24" s="68" t="n">
        <f aca="false">ROUND(Star!C82,0)</f>
        <v>3250</v>
      </c>
      <c r="D24" s="71" t="n">
        <f aca="false">(C24-C23)/(B24-B23)</f>
        <v>-0.0105523125280647</v>
      </c>
      <c r="E24" s="71" t="n">
        <f aca="false">(C25-C24)/(B25-B24)</f>
        <v>-0.00462919225318847</v>
      </c>
    </row>
    <row r="25" customFormat="false" ht="15" hidden="false" customHeight="false" outlineLevel="0" collapsed="false">
      <c r="A25" s="69" t="s">
        <v>224</v>
      </c>
      <c r="B25" s="69" t="n">
        <f aca="false">ROUND(Star!J83,-1)</f>
        <v>95020</v>
      </c>
      <c r="C25" s="68" t="n">
        <f aca="false">ROUND(Star!C83,0)</f>
        <v>3152</v>
      </c>
      <c r="D25" s="71" t="n">
        <f aca="false">(C25-C24)/(B25-B24)</f>
        <v>-0.00462919225318847</v>
      </c>
      <c r="E25" s="71" t="n">
        <f aca="false">(C26-C25)/(B26-B25)</f>
        <v>0.00317836812144213</v>
      </c>
    </row>
    <row r="26" customFormat="false" ht="15" hidden="false" customHeight="false" outlineLevel="0" collapsed="false">
      <c r="A26" s="69" t="s">
        <v>224</v>
      </c>
      <c r="B26" s="69" t="n">
        <f aca="false">ROUND(Star!J84,-1)</f>
        <v>116100</v>
      </c>
      <c r="C26" s="68" t="n">
        <f aca="false">ROUND(Star!C84,0)</f>
        <v>3219</v>
      </c>
      <c r="D26" s="71" t="n">
        <f aca="false">(C26-C25)/(B26-B25)</f>
        <v>0.00317836812144213</v>
      </c>
      <c r="E26" s="71" t="n">
        <f aca="false">(C27-C26)/(B27-B26)</f>
        <v>0.00871350364963504</v>
      </c>
    </row>
    <row r="27" customFormat="false" ht="15" hidden="false" customHeight="false" outlineLevel="0" collapsed="false">
      <c r="A27" s="69" t="s">
        <v>224</v>
      </c>
      <c r="B27" s="69" t="n">
        <f aca="false">ROUND(Star!J85,-1)</f>
        <v>138020</v>
      </c>
      <c r="C27" s="68" t="n">
        <f aca="false">ROUND(Star!C85,0)</f>
        <v>3410</v>
      </c>
      <c r="D27" s="71" t="n">
        <f aca="false">(C27-C26)/(B27-B26)</f>
        <v>0.00871350364963504</v>
      </c>
      <c r="E27" s="71" t="n">
        <f aca="false">(C28-C27)/(B28-B27)</f>
        <v>0.0126168224299065</v>
      </c>
    </row>
    <row r="28" customFormat="false" ht="15" hidden="false" customHeight="false" outlineLevel="0" collapsed="false">
      <c r="A28" s="69" t="s">
        <v>224</v>
      </c>
      <c r="B28" s="69" t="n">
        <f aca="false">ROUND(Star!J86,-1)</f>
        <v>161560</v>
      </c>
      <c r="C28" s="68" t="n">
        <f aca="false">ROUND(Star!C86,0)</f>
        <v>3707</v>
      </c>
      <c r="D28" s="71" t="n">
        <f aca="false">(C28-C27)/(B28-B27)</f>
        <v>0.0126168224299065</v>
      </c>
      <c r="E28" s="71" t="n">
        <f aca="false">(C29-C28)/(B29-B28)</f>
        <v>0.0146682188591385</v>
      </c>
    </row>
    <row r="29" customFormat="false" ht="15" hidden="false" customHeight="false" outlineLevel="0" collapsed="false">
      <c r="A29" s="69" t="s">
        <v>224</v>
      </c>
      <c r="B29" s="69" t="n">
        <f aca="false">ROUND(Star!J87,-1)</f>
        <v>187330</v>
      </c>
      <c r="C29" s="68" t="n">
        <f aca="false">ROUND(Star!C87,0)</f>
        <v>4085</v>
      </c>
      <c r="D29" s="71" t="n">
        <f aca="false">(C29-C28)/(B29-B28)</f>
        <v>0.0146682188591385</v>
      </c>
      <c r="E29" s="71" t="n">
        <f aca="false">(C30-C29)/(B30-B29)</f>
        <v>0.0140740740740741</v>
      </c>
    </row>
    <row r="30" customFormat="false" ht="15" hidden="false" customHeight="false" outlineLevel="0" collapsed="false">
      <c r="A30" s="69" t="s">
        <v>224</v>
      </c>
      <c r="B30" s="69" t="n">
        <f aca="false">ROUND(Star!J88,-1)</f>
        <v>215680</v>
      </c>
      <c r="C30" s="68" t="n">
        <f aca="false">ROUND(Star!C88,0)</f>
        <v>4484</v>
      </c>
      <c r="D30" s="71" t="n">
        <f aca="false">(C30-C29)/(B30-B29)</f>
        <v>0.0140740740740741</v>
      </c>
      <c r="E30" s="71" t="n">
        <f aca="false">(C31-C30)/(B31-B30)</f>
        <v>0.0101269944643439</v>
      </c>
    </row>
    <row r="31" customFormat="false" ht="15" hidden="false" customHeight="false" outlineLevel="0" collapsed="false">
      <c r="A31" s="69" t="s">
        <v>224</v>
      </c>
      <c r="B31" s="69" t="n">
        <f aca="false">ROUND(Star!J89,-1)</f>
        <v>246390</v>
      </c>
      <c r="C31" s="68" t="n">
        <f aca="false">ROUND(Star!C89,0)</f>
        <v>4795</v>
      </c>
      <c r="D31" s="71" t="n">
        <f aca="false">(C31-C30)/(B31-B30)</f>
        <v>0.0101269944643439</v>
      </c>
      <c r="E31" s="71" t="n">
        <f aca="false">(C32-C31)/(B32-B31)</f>
        <v>0.00948459896309851</v>
      </c>
    </row>
    <row r="32" customFormat="false" ht="15" hidden="false" customHeight="false" outlineLevel="0" collapsed="false">
      <c r="A32" s="69" t="s">
        <v>224</v>
      </c>
      <c r="B32" s="69" t="n">
        <f aca="false">ROUND(Star!J90,-1)</f>
        <v>279180</v>
      </c>
      <c r="C32" s="68" t="n">
        <f aca="false">ROUND(Star!C90,0)</f>
        <v>5106</v>
      </c>
      <c r="D32" s="71" t="n">
        <f aca="false">(C32-C31)/(B32-B31)</f>
        <v>0.00948459896309851</v>
      </c>
      <c r="E32" s="71" t="n">
        <f aca="false">(C33-C32)/(B33-B32)</f>
        <v>0.00892395982783357</v>
      </c>
    </row>
    <row r="33" customFormat="false" ht="15" hidden="false" customHeight="false" outlineLevel="0" collapsed="false">
      <c r="A33" s="69" t="s">
        <v>224</v>
      </c>
      <c r="B33" s="69" t="n">
        <f aca="false">ROUND(Star!J91,-1)</f>
        <v>314030</v>
      </c>
      <c r="C33" s="68" t="n">
        <f aca="false">ROUND(Star!C91,0)</f>
        <v>5417</v>
      </c>
      <c r="D33" s="71" t="n">
        <f aca="false">(C33-C32)/(B33-B32)</f>
        <v>0.00892395982783357</v>
      </c>
      <c r="E33" s="71" t="n">
        <f aca="false">(C34-C33)/(B34-B33)</f>
        <v>0.00957906098219104</v>
      </c>
    </row>
    <row r="34" customFormat="false" ht="15" hidden="false" customHeight="false" outlineLevel="0" collapsed="false">
      <c r="A34" s="69" t="s">
        <v>224</v>
      </c>
      <c r="B34" s="69" t="n">
        <f aca="false">ROUND(Star!J92,-1)</f>
        <v>351090</v>
      </c>
      <c r="C34" s="68" t="n">
        <f aca="false">ROUND(Star!C92,0)</f>
        <v>5772</v>
      </c>
      <c r="D34" s="71" t="n">
        <f aca="false">(C34-C33)/(B34-B33)</f>
        <v>0.00957906098219104</v>
      </c>
      <c r="E34" s="71" t="n">
        <f aca="false">(C35-C34)/(B35-B34)</f>
        <v>0.0133216695826044</v>
      </c>
    </row>
    <row r="35" customFormat="false" ht="15" hidden="false" customHeight="false" outlineLevel="0" collapsed="false">
      <c r="A35" s="69" t="s">
        <v>224</v>
      </c>
      <c r="B35" s="69" t="n">
        <f aca="false">ROUND(Star!J93,-1)</f>
        <v>391100</v>
      </c>
      <c r="C35" s="68" t="n">
        <f aca="false">ROUND(Star!C93,0)</f>
        <v>6305</v>
      </c>
      <c r="D35" s="71" t="n">
        <f aca="false">(C35-C34)/(B35-B34)</f>
        <v>0.0133216695826044</v>
      </c>
      <c r="E35" s="71" t="n">
        <f aca="false">(C36-C35)/(B36-B35)</f>
        <v>0.0207572383073497</v>
      </c>
    </row>
    <row r="36" customFormat="false" ht="15" hidden="false" customHeight="false" outlineLevel="0" collapsed="false">
      <c r="A36" s="69" t="s">
        <v>224</v>
      </c>
      <c r="B36" s="68" t="n">
        <f aca="false">ROUND(Star!J94,-3)</f>
        <v>436000</v>
      </c>
      <c r="C36" s="68" t="n">
        <f aca="false">ROUND(Star!C94,0)</f>
        <v>7237</v>
      </c>
      <c r="D36" s="71" t="n">
        <f aca="false">(C36-C35)/(B36-B35)</f>
        <v>0.0207572383073497</v>
      </c>
      <c r="E36" s="71" t="n">
        <v>0</v>
      </c>
    </row>
    <row r="37" customFormat="false" ht="15" hidden="false" customHeight="false" outlineLevel="0" collapsed="false">
      <c r="A37" s="66" t="s">
        <v>212</v>
      </c>
      <c r="B37" s="69"/>
      <c r="C37" s="69"/>
      <c r="D37" s="71"/>
      <c r="E37" s="71"/>
    </row>
    <row r="38" customFormat="false" ht="15" hidden="false" customHeight="false" outlineLevel="0" collapsed="false">
      <c r="A38" s="66" t="s">
        <v>225</v>
      </c>
      <c r="B38" s="69"/>
      <c r="C38" s="69"/>
      <c r="D38" s="69"/>
      <c r="E38" s="69"/>
    </row>
    <row r="39" customFormat="false" ht="15" hidden="false" customHeight="false" outlineLevel="0" collapsed="false">
      <c r="A39" s="66" t="s">
        <v>209</v>
      </c>
      <c r="B39" s="69"/>
      <c r="C39" s="69"/>
      <c r="D39" s="69"/>
      <c r="E39" s="69"/>
    </row>
    <row r="40" customFormat="false" ht="15" hidden="false" customHeight="false" outlineLevel="0" collapsed="false">
      <c r="A40" s="69" t="s">
        <v>224</v>
      </c>
      <c r="B40" s="68" t="n">
        <f aca="false">ROUND(Star!J79,-1)</f>
        <v>0</v>
      </c>
      <c r="C40" s="71" t="n">
        <f aca="false">Star!H79/1000</f>
        <v>10.1325</v>
      </c>
      <c r="D40" s="71" t="n">
        <v>0</v>
      </c>
      <c r="E40" s="71" t="n">
        <f aca="false">-(C40*1.001-C40*0.999)/(Star!G79*LN((C40*1.001)/(C40*0.999)))/IF(Star!G$60&gt;0,Star!G$60,0.5)</f>
        <v>-0.000264977350742099</v>
      </c>
    </row>
    <row r="41" customFormat="false" ht="15" hidden="false" customHeight="false" outlineLevel="0" collapsed="false">
      <c r="A41" s="69" t="s">
        <v>224</v>
      </c>
      <c r="B41" s="68" t="n">
        <f aca="false">ROUND(Star!J80,-1)</f>
        <v>27350</v>
      </c>
      <c r="C41" s="71" t="n">
        <f aca="false">Star!H80/1000</f>
        <v>4.70308988565815</v>
      </c>
      <c r="D41" s="71" t="n">
        <f aca="false">-(C41*1.001-C41*0.999)/(Star!G80*LN((C41*1.001)/(C41*0.999)))/IF(Star!G$60&gt;0,Star!G$60,0.5)</f>
        <v>-0.000141858813421562</v>
      </c>
      <c r="E41" s="71" t="n">
        <f aca="false">D41</f>
        <v>-0.000141858813421562</v>
      </c>
    </row>
    <row r="42" customFormat="false" ht="15" hidden="false" customHeight="false" outlineLevel="0" collapsed="false">
      <c r="A42" s="69" t="s">
        <v>224</v>
      </c>
      <c r="B42" s="68" t="n">
        <f aca="false">ROUND(Star!J81,-1)</f>
        <v>51580</v>
      </c>
      <c r="C42" s="71" t="n">
        <f aca="false">Star!H81/1000</f>
        <v>2.18298094967481</v>
      </c>
      <c r="D42" s="71" t="n">
        <f aca="false">-(C42*1.001-C42*0.999)/(Star!G81*LN((C42*1.001)/(C42*0.999)))/IF(Star!G$60&gt;0,Star!G$60,0.5)</f>
        <v>-7.2723107835866E-005</v>
      </c>
      <c r="E42" s="71" t="n">
        <f aca="false">D42</f>
        <v>-7.2723107835866E-005</v>
      </c>
    </row>
    <row r="43" customFormat="false" ht="15" hidden="false" customHeight="false" outlineLevel="0" collapsed="false">
      <c r="A43" s="69" t="s">
        <v>224</v>
      </c>
      <c r="B43" s="68" t="n">
        <f aca="false">ROUND(Star!J82,-1)</f>
        <v>73850</v>
      </c>
      <c r="C43" s="71" t="n">
        <f aca="false">Star!H82/1000</f>
        <v>1.01325</v>
      </c>
      <c r="D43" s="71" t="n">
        <f aca="false">-(C43*1.001-C43*0.999)/(Star!G82*LN((C43*1.001)/(C43*0.999)))/IF(Star!G$60&gt;0,Star!G$60,0.5)</f>
        <v>-3.61990916314359E-005</v>
      </c>
      <c r="E43" s="71" t="n">
        <f aca="false">D43</f>
        <v>-3.61990916314359E-005</v>
      </c>
    </row>
    <row r="44" customFormat="false" ht="15" hidden="false" customHeight="false" outlineLevel="0" collapsed="false">
      <c r="A44" s="69" t="s">
        <v>224</v>
      </c>
      <c r="B44" s="68" t="n">
        <f aca="false">ROUND(Star!J83,-1)</f>
        <v>95020</v>
      </c>
      <c r="C44" s="71" t="n">
        <f aca="false">Star!H83/1000</f>
        <v>0.470308988565815</v>
      </c>
      <c r="D44" s="71" t="n">
        <f aca="false">-(C44*1.001-C44*0.999)/(Star!G83*LN((C44*1.001)/(C44*0.999)))/IF(Star!G$60&gt;0,Star!G$60,0.5)</f>
        <v>-1.73227593290824E-005</v>
      </c>
      <c r="E44" s="71" t="n">
        <f aca="false">D44</f>
        <v>-1.73227593290824E-005</v>
      </c>
    </row>
    <row r="45" customFormat="false" ht="15" hidden="false" customHeight="false" outlineLevel="0" collapsed="false">
      <c r="A45" s="69" t="s">
        <v>224</v>
      </c>
      <c r="B45" s="68" t="n">
        <f aca="false">ROUND(Star!J84,-1)</f>
        <v>116100</v>
      </c>
      <c r="C45" s="71" t="n">
        <f aca="false">Star!H84/1000</f>
        <v>0.21829809496748</v>
      </c>
      <c r="D45" s="71" t="n">
        <f aca="false">-(C45*1.001-C45*0.999)/(Star!G84*LN((C45*1.001)/(C45*0.999)))/IF(Star!G$60&gt;0,Star!G$60,0.5)</f>
        <v>-7.87415719326263E-006</v>
      </c>
      <c r="E45" s="71" t="n">
        <f aca="false">D45</f>
        <v>-7.87415719326263E-006</v>
      </c>
    </row>
    <row r="46" customFormat="false" ht="15" hidden="false" customHeight="false" outlineLevel="0" collapsed="false">
      <c r="A46" s="69" t="s">
        <v>224</v>
      </c>
      <c r="B46" s="68" t="n">
        <f aca="false">ROUND(Star!J85,-1)</f>
        <v>138020</v>
      </c>
      <c r="C46" s="71" t="n">
        <f aca="false">Star!H85/1000</f>
        <v>0.101325</v>
      </c>
      <c r="D46" s="71" t="n">
        <f aca="false">-(C46*1.001-C46*0.999)/(Star!G85*LN((C46*1.001)/(C46*0.999)))/IF(Star!G$60&gt;0,Star!G$60,0.5)</f>
        <v>-3.45022592112109E-006</v>
      </c>
      <c r="E46" s="71" t="n">
        <f aca="false">D46</f>
        <v>-3.45022592112109E-006</v>
      </c>
    </row>
    <row r="47" customFormat="false" ht="15" hidden="false" customHeight="false" outlineLevel="0" collapsed="false">
      <c r="A47" s="69" t="s">
        <v>224</v>
      </c>
      <c r="B47" s="68" t="n">
        <f aca="false">ROUND(Star!J86,-1)</f>
        <v>161560</v>
      </c>
      <c r="C47" s="71" t="n">
        <f aca="false">Star!H86/1000</f>
        <v>0.0470308988565815</v>
      </c>
      <c r="D47" s="71" t="n">
        <f aca="false">-(C47*1.001-C47*0.999)/(Star!G86*LN((C47*1.001)/(C47*0.999)))/IF(Star!G$60&gt;0,Star!G$60,0.5)</f>
        <v>-1.47295318846092E-006</v>
      </c>
      <c r="E47" s="71" t="n">
        <f aca="false">D47</f>
        <v>-1.47295318846092E-006</v>
      </c>
    </row>
    <row r="48" customFormat="false" ht="15" hidden="false" customHeight="false" outlineLevel="0" collapsed="false">
      <c r="A48" s="69" t="s">
        <v>224</v>
      </c>
      <c r="B48" s="68" t="n">
        <f aca="false">ROUND(Star!J87,-1)</f>
        <v>187330</v>
      </c>
      <c r="C48" s="71" t="n">
        <f aca="false">Star!H87/1000</f>
        <v>0.021829809496748</v>
      </c>
      <c r="D48" s="71" t="n">
        <f aca="false">-(C48*1.001-C48*0.999)/(Star!G87*LN((C48*1.001)/(C48*0.999)))/IF(Star!G$60&gt;0,Star!G$60,0.5)</f>
        <v>-6.20517822295143E-007</v>
      </c>
      <c r="E48" s="71" t="n">
        <f aca="false">D48</f>
        <v>-6.20517822295143E-007</v>
      </c>
    </row>
    <row r="49" customFormat="false" ht="15" hidden="false" customHeight="false" outlineLevel="0" collapsed="false">
      <c r="A49" s="69" t="s">
        <v>224</v>
      </c>
      <c r="B49" s="68" t="n">
        <f aca="false">ROUND(Star!J88,-1)</f>
        <v>215680</v>
      </c>
      <c r="C49" s="71" t="n">
        <f aca="false">Star!H88/1000</f>
        <v>0.0101325</v>
      </c>
      <c r="D49" s="71" t="n">
        <f aca="false">-(C49*1.001-C49*0.999)/(Star!G88*LN((C49*1.001)/(C49*0.999)))/IF(Star!G$60&gt;0,Star!G$60,0.5)</f>
        <v>-2.62353812615941E-007</v>
      </c>
      <c r="E49" s="71" t="n">
        <f aca="false">D49</f>
        <v>-2.62353812615941E-007</v>
      </c>
    </row>
    <row r="50" customFormat="false" ht="15" hidden="false" customHeight="false" outlineLevel="0" collapsed="false">
      <c r="A50" s="69" t="s">
        <v>224</v>
      </c>
      <c r="B50" s="68" t="n">
        <f aca="false">ROUND(Star!J89,-1)</f>
        <v>246390</v>
      </c>
      <c r="C50" s="71" t="n">
        <f aca="false">Star!H89/1000</f>
        <v>0.00470308988565815</v>
      </c>
      <c r="D50" s="71" t="n">
        <f aca="false">-(C50*1.001-C50*0.999)/(Star!G89*LN((C50*1.001)/(C50*0.999)))/IF(Star!G$60&gt;0,Star!G$60,0.5)</f>
        <v>-1.13881102996747E-007</v>
      </c>
      <c r="E50" s="71" t="n">
        <f aca="false">D50</f>
        <v>-1.13881102996747E-007</v>
      </c>
    </row>
    <row r="51" customFormat="false" ht="15" hidden="false" customHeight="false" outlineLevel="0" collapsed="false">
      <c r="A51" s="69" t="s">
        <v>224</v>
      </c>
      <c r="B51" s="68" t="n">
        <f aca="false">ROUND(Star!J90,-1)</f>
        <v>279180</v>
      </c>
      <c r="C51" s="71" t="n">
        <f aca="false">Star!H90/1000</f>
        <v>0.00218298094967481</v>
      </c>
      <c r="D51" s="71" t="n">
        <f aca="false">-(C51*1.001-C51*0.999)/(Star!G90*LN((C51*1.001)/(C51*0.999)))/IF(Star!G$60&gt;0,Star!G$60,0.5)</f>
        <v>-4.96414257836115E-008</v>
      </c>
      <c r="E51" s="71" t="n">
        <f aca="false">D51</f>
        <v>-4.96414257836115E-008</v>
      </c>
    </row>
    <row r="52" customFormat="false" ht="15" hidden="false" customHeight="false" outlineLevel="0" collapsed="false">
      <c r="A52" s="69" t="s">
        <v>224</v>
      </c>
      <c r="B52" s="68" t="n">
        <f aca="false">ROUND(Star!J91,-1)</f>
        <v>314030</v>
      </c>
      <c r="C52" s="71" t="n">
        <f aca="false">Star!H91/1000</f>
        <v>0.00101325</v>
      </c>
      <c r="D52" s="71" t="n">
        <f aca="false">-(C52*1.001-C52*0.999)/(Star!G91*LN((C52*1.001)/(C52*0.999)))/IF(Star!G$60&gt;0,Star!G$60,0.5)</f>
        <v>-2.1719454978862E-008</v>
      </c>
      <c r="E52" s="71" t="n">
        <f aca="false">D52</f>
        <v>-2.1719454978862E-008</v>
      </c>
    </row>
    <row r="53" customFormat="false" ht="15" hidden="false" customHeight="false" outlineLevel="0" collapsed="false">
      <c r="A53" s="69" t="s">
        <v>224</v>
      </c>
      <c r="B53" s="68" t="n">
        <f aca="false">ROUND(Star!J92,-1)</f>
        <v>351090</v>
      </c>
      <c r="C53" s="71" t="n">
        <f aca="false">Star!H92/1000</f>
        <v>0.000470308988565816</v>
      </c>
      <c r="D53" s="71" t="n">
        <f aca="false">-(C53*1.001-C53*0.999)/(Star!G92*LN((C53*1.001)/(C53*0.999)))/IF(Star!G$60&gt;0,Star!G$60,0.5)</f>
        <v>-9.460891633576E-009</v>
      </c>
      <c r="E53" s="71" t="n">
        <f aca="false">D53</f>
        <v>-9.460891633576E-009</v>
      </c>
    </row>
    <row r="54" customFormat="false" ht="15" hidden="false" customHeight="false" outlineLevel="0" collapsed="false">
      <c r="A54" s="69" t="s">
        <v>224</v>
      </c>
      <c r="B54" s="68" t="n">
        <f aca="false">ROUND(Star!J93,-1)</f>
        <v>391100</v>
      </c>
      <c r="C54" s="71" t="n">
        <f aca="false">Star!H93/1000</f>
        <v>0.000218298094967481</v>
      </c>
      <c r="D54" s="71" t="n">
        <f aca="false">-(C54*1.001-C54*0.999)/(Star!G93*LN((C54*1.001)/(C54*0.999)))/IF(Star!G$60&gt;0,Star!G$60,0.5)</f>
        <v>-4.02025631346154E-009</v>
      </c>
      <c r="E54" s="71" t="n">
        <f aca="false">D54</f>
        <v>-4.02025631346154E-009</v>
      </c>
    </row>
    <row r="55" customFormat="false" ht="15" hidden="false" customHeight="false" outlineLevel="0" collapsed="false">
      <c r="A55" s="69" t="s">
        <v>224</v>
      </c>
      <c r="B55" s="68" t="n">
        <f aca="false">ROUND(Star!J94,-3)</f>
        <v>436000</v>
      </c>
      <c r="C55" s="71" t="n">
        <v>0</v>
      </c>
      <c r="D55" s="71" t="n">
        <v>0</v>
      </c>
      <c r="E55" s="71" t="n">
        <v>0</v>
      </c>
    </row>
    <row r="56" customFormat="false" ht="15" hidden="false" customHeight="false" outlineLevel="0" collapsed="false">
      <c r="A56" s="66" t="s">
        <v>212</v>
      </c>
      <c r="B56" s="69"/>
      <c r="C56" s="69"/>
      <c r="D56" s="69"/>
      <c r="E56" s="69"/>
    </row>
    <row r="57" customFormat="false" ht="15" hidden="false" customHeight="false" outlineLevel="0" collapsed="false">
      <c r="A57" s="66" t="s">
        <v>226</v>
      </c>
      <c r="B57" s="69"/>
      <c r="C57" s="69"/>
      <c r="D57" s="71"/>
      <c r="E57" s="71"/>
    </row>
    <row r="58" customFormat="false" ht="15" hidden="false" customHeight="false" outlineLevel="0" collapsed="false">
      <c r="A58" s="66" t="s">
        <v>209</v>
      </c>
      <c r="B58" s="69"/>
      <c r="C58" s="69"/>
      <c r="D58" s="71"/>
      <c r="E58" s="71"/>
    </row>
    <row r="59" customFormat="false" ht="15" hidden="false" customHeight="false" outlineLevel="0" collapsed="false">
      <c r="A59" s="69" t="s">
        <v>224</v>
      </c>
      <c r="B59" s="69" t="n">
        <v>0</v>
      </c>
      <c r="C59" s="69" t="n">
        <v>0</v>
      </c>
      <c r="D59" s="69" t="n">
        <v>0</v>
      </c>
      <c r="E59" s="69" t="n">
        <v>0</v>
      </c>
    </row>
    <row r="60" customFormat="false" ht="15" hidden="false" customHeight="false" outlineLevel="0" collapsed="false">
      <c r="A60" s="66" t="s">
        <v>212</v>
      </c>
      <c r="B60" s="69"/>
      <c r="C60" s="69"/>
      <c r="D60" s="69"/>
      <c r="E60" s="69"/>
    </row>
    <row r="61" customFormat="false" ht="15" hidden="false" customHeight="false" outlineLevel="0" collapsed="false">
      <c r="A61" s="66" t="s">
        <v>227</v>
      </c>
      <c r="B61" s="69"/>
      <c r="C61" s="69"/>
      <c r="D61" s="69"/>
      <c r="E61" s="69"/>
    </row>
    <row r="62" customFormat="false" ht="15" hidden="false" customHeight="false" outlineLevel="0" collapsed="false">
      <c r="A62" s="66" t="s">
        <v>209</v>
      </c>
      <c r="B62" s="69"/>
      <c r="C62" s="69"/>
      <c r="D62" s="69"/>
      <c r="E62" s="69"/>
    </row>
    <row r="63" customFormat="false" ht="15" hidden="false" customHeight="false" outlineLevel="0" collapsed="false">
      <c r="A63" s="69" t="s">
        <v>224</v>
      </c>
      <c r="B63" s="69" t="n">
        <v>0</v>
      </c>
      <c r="C63" s="69" t="n">
        <v>0</v>
      </c>
      <c r="D63" s="69" t="n">
        <v>0</v>
      </c>
      <c r="E63" s="69" t="n">
        <v>0</v>
      </c>
    </row>
    <row r="64" customFormat="false" ht="15" hidden="false" customHeight="false" outlineLevel="0" collapsed="false">
      <c r="A64" s="66" t="s">
        <v>212</v>
      </c>
      <c r="B64" s="69"/>
      <c r="C64" s="69"/>
      <c r="D64" s="69"/>
      <c r="E64" s="69"/>
    </row>
    <row r="65" customFormat="false" ht="15" hidden="false" customHeight="false" outlineLevel="0" collapsed="false">
      <c r="A65" s="66" t="s">
        <v>228</v>
      </c>
      <c r="B65" s="69"/>
      <c r="C65" s="69"/>
      <c r="D65" s="69"/>
      <c r="E65" s="69"/>
    </row>
    <row r="66" customFormat="false" ht="15" hidden="false" customHeight="false" outlineLevel="0" collapsed="false">
      <c r="A66" s="66" t="s">
        <v>209</v>
      </c>
      <c r="B66" s="69"/>
      <c r="C66" s="69"/>
      <c r="D66" s="69"/>
      <c r="E66" s="69"/>
    </row>
    <row r="67" customFormat="false" ht="15" hidden="false" customHeight="false" outlineLevel="0" collapsed="false">
      <c r="A67" s="69" t="s">
        <v>224</v>
      </c>
      <c r="B67" s="69" t="n">
        <v>0</v>
      </c>
      <c r="C67" s="69" t="n">
        <v>0</v>
      </c>
      <c r="D67" s="69" t="n">
        <v>0</v>
      </c>
      <c r="E67" s="69" t="n">
        <v>0</v>
      </c>
    </row>
    <row r="68" customFormat="false" ht="15" hidden="false" customHeight="false" outlineLevel="0" collapsed="false">
      <c r="A68" s="66" t="s">
        <v>212</v>
      </c>
      <c r="B68" s="69"/>
      <c r="C68" s="69"/>
      <c r="D68" s="69"/>
      <c r="E68" s="69"/>
    </row>
    <row r="69" customFormat="false" ht="15" hidden="false" customHeight="false" outlineLevel="0" collapsed="false">
      <c r="A69" s="66" t="s">
        <v>229</v>
      </c>
      <c r="B69" s="69"/>
      <c r="C69" s="69"/>
      <c r="D69" s="69"/>
      <c r="E69" s="69"/>
    </row>
    <row r="70" customFormat="false" ht="15" hidden="false" customHeight="false" outlineLevel="0" collapsed="false">
      <c r="A70" s="66" t="s">
        <v>209</v>
      </c>
      <c r="B70" s="69"/>
      <c r="C70" s="69"/>
      <c r="D70" s="69"/>
      <c r="E70" s="69"/>
    </row>
    <row r="71" customFormat="false" ht="15" hidden="false" customHeight="false" outlineLevel="0" collapsed="false">
      <c r="A71" s="69" t="s">
        <v>224</v>
      </c>
      <c r="B71" s="69" t="n">
        <v>0</v>
      </c>
      <c r="C71" s="69" t="n">
        <v>0</v>
      </c>
      <c r="D71" s="69" t="n">
        <v>0</v>
      </c>
      <c r="E71" s="69" t="n">
        <v>0</v>
      </c>
    </row>
    <row r="72" customFormat="false" ht="15" hidden="false" customHeight="false" outlineLevel="0" collapsed="false">
      <c r="A72" s="66" t="s">
        <v>212</v>
      </c>
      <c r="B72" s="69"/>
      <c r="C72" s="69"/>
      <c r="D72" s="69"/>
      <c r="E72" s="69"/>
    </row>
    <row r="73" customFormat="false" ht="15" hidden="false" customHeight="false" outlineLevel="0" collapsed="false">
      <c r="A73" s="66" t="s">
        <v>230</v>
      </c>
      <c r="B73" s="69"/>
      <c r="C73" s="69"/>
      <c r="D73" s="69"/>
      <c r="E73" s="69"/>
    </row>
    <row r="74" customFormat="false" ht="15" hidden="false" customHeight="false" outlineLevel="0" collapsed="false">
      <c r="A74" s="66" t="s">
        <v>209</v>
      </c>
      <c r="B74" s="69"/>
      <c r="C74" s="69"/>
      <c r="D74" s="69"/>
      <c r="E74" s="69"/>
    </row>
    <row r="75" customFormat="false" ht="15" hidden="false" customHeight="false" outlineLevel="0" collapsed="false">
      <c r="A75" s="69" t="s">
        <v>224</v>
      </c>
      <c r="B75" s="69" t="n">
        <v>0</v>
      </c>
      <c r="C75" s="69" t="n">
        <v>0</v>
      </c>
      <c r="D75" s="69" t="n">
        <v>0</v>
      </c>
      <c r="E75" s="69" t="n">
        <v>0</v>
      </c>
    </row>
    <row r="76" customFormat="false" ht="15" hidden="false" customHeight="false" outlineLevel="0" collapsed="false">
      <c r="A76" s="66" t="s">
        <v>212</v>
      </c>
      <c r="B76" s="69"/>
      <c r="C76" s="69"/>
      <c r="D76" s="69"/>
      <c r="E76" s="69"/>
    </row>
    <row r="77" customFormat="false" ht="15" hidden="false" customHeight="false" outlineLevel="0" collapsed="false">
      <c r="A77" s="66" t="s">
        <v>231</v>
      </c>
      <c r="B77" s="69"/>
      <c r="C77" s="69"/>
      <c r="D77" s="69"/>
      <c r="E77" s="69"/>
    </row>
    <row r="78" customFormat="false" ht="15" hidden="false" customHeight="false" outlineLevel="0" collapsed="false">
      <c r="A78" s="66" t="s">
        <v>209</v>
      </c>
      <c r="B78" s="69"/>
      <c r="C78" s="69"/>
      <c r="D78" s="69"/>
      <c r="E78" s="69"/>
    </row>
    <row r="79" customFormat="false" ht="15" hidden="false" customHeight="false" outlineLevel="0" collapsed="false">
      <c r="A79" s="69" t="s">
        <v>224</v>
      </c>
      <c r="B79" s="69" t="n">
        <v>0</v>
      </c>
      <c r="C79" s="69" t="n">
        <v>0</v>
      </c>
      <c r="D79" s="69" t="n">
        <v>0</v>
      </c>
      <c r="E79" s="69" t="n">
        <v>0</v>
      </c>
    </row>
    <row r="80" customFormat="false" ht="15" hidden="false" customHeight="false" outlineLevel="0" collapsed="false">
      <c r="A80" s="66" t="s">
        <v>212</v>
      </c>
      <c r="B80" s="69"/>
      <c r="C80" s="69"/>
      <c r="D80" s="69"/>
      <c r="E80" s="69"/>
    </row>
    <row r="81" customFormat="false" ht="15" hidden="false" customHeight="false" outlineLevel="0" collapsed="false">
      <c r="A81" s="65" t="s">
        <v>212</v>
      </c>
      <c r="B81" s="69"/>
      <c r="C81" s="69"/>
      <c r="D81" s="69"/>
      <c r="E81" s="69"/>
    </row>
    <row r="83" customFormat="false" ht="15" hidden="false" customHeight="false" outlineLevel="0" collapsed="false">
      <c r="C83" s="72"/>
      <c r="D83" s="73"/>
      <c r="E83" s="73"/>
    </row>
    <row r="85" customFormat="false" ht="15" hidden="false" customHeight="false" outlineLevel="0" collapsed="false">
      <c r="E85" s="73"/>
    </row>
    <row r="86" customFormat="false" ht="15" hidden="false" customHeight="false" outlineLevel="0" collapsed="false">
      <c r="D86" s="73"/>
      <c r="E86" s="73"/>
    </row>
    <row r="87" customFormat="false" ht="15" hidden="false" customHeight="false" outlineLevel="0" collapsed="false">
      <c r="D87" s="73"/>
      <c r="E87" s="73"/>
    </row>
    <row r="88" customFormat="false" ht="15" hidden="false" customHeight="false" outlineLevel="0" collapsed="false">
      <c r="C88" s="72"/>
      <c r="D88" s="73"/>
      <c r="E88" s="73"/>
    </row>
    <row r="95" customFormat="false" ht="15" hidden="false" customHeight="false" outlineLevel="0" collapsed="false">
      <c r="D95" s="73"/>
      <c r="E95" s="73"/>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R1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75" zeroHeight="false" outlineLevelRow="0" outlineLevelCol="0"/>
  <cols>
    <col collapsed="false" customWidth="true" hidden="false" outlineLevel="0" max="1" min="1" style="1"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4" t="s">
        <v>232</v>
      </c>
      <c r="C2" s="4"/>
      <c r="D2" s="4"/>
      <c r="E2" s="4"/>
      <c r="F2" s="4"/>
      <c r="G2" s="4"/>
      <c r="H2" s="4"/>
    </row>
    <row r="4" customFormat="false" ht="15.75" hidden="false" customHeight="false" outlineLevel="0" collapsed="false">
      <c r="B4" s="5" t="s">
        <v>20</v>
      </c>
      <c r="C4" s="5"/>
      <c r="D4" s="5"/>
      <c r="E4" s="5"/>
      <c r="F4" s="5"/>
      <c r="G4" s="5"/>
      <c r="H4" s="5"/>
    </row>
    <row r="5" customFormat="false" ht="15.75" hidden="false" customHeight="false" outlineLevel="0" collapsed="false">
      <c r="B5" s="5" t="s">
        <v>233</v>
      </c>
      <c r="C5" s="5"/>
      <c r="D5" s="5"/>
      <c r="E5" s="5"/>
      <c r="F5" s="5"/>
      <c r="G5" s="5"/>
      <c r="H5" s="5"/>
    </row>
    <row r="6" customFormat="false" ht="15.75" hidden="false" customHeight="false" outlineLevel="0" collapsed="false">
      <c r="B6" s="5" t="s">
        <v>234</v>
      </c>
      <c r="C6" s="5"/>
      <c r="D6" s="5"/>
      <c r="E6" s="5"/>
      <c r="F6" s="5"/>
      <c r="G6" s="5"/>
      <c r="H6" s="5"/>
    </row>
    <row r="7" customFormat="false" ht="15.75" hidden="false" customHeight="false" outlineLevel="0" collapsed="false">
      <c r="B7" s="5" t="s">
        <v>235</v>
      </c>
      <c r="C7" s="5"/>
      <c r="D7" s="5"/>
      <c r="E7" s="5"/>
      <c r="F7" s="5"/>
      <c r="G7" s="5"/>
      <c r="H7" s="5"/>
    </row>
    <row r="9" customFormat="false" ht="15.75" hidden="false" customHeight="false" outlineLevel="0" collapsed="false">
      <c r="B9" s="1" t="s">
        <v>29</v>
      </c>
    </row>
    <row r="10" customFormat="false" ht="15.75" hidden="false" customHeight="false" outlineLevel="0" collapsed="false">
      <c r="B10" s="3" t="s">
        <v>32</v>
      </c>
      <c r="F10" s="13" t="n">
        <v>13599840256</v>
      </c>
      <c r="G10" s="13"/>
      <c r="H10" s="12" t="s">
        <v>33</v>
      </c>
    </row>
    <row r="11" customFormat="false" ht="15.75" hidden="false" customHeight="false" outlineLevel="0" collapsed="false">
      <c r="B11" s="1" t="s">
        <v>36</v>
      </c>
      <c r="F11" s="14"/>
      <c r="G11" s="14"/>
    </row>
    <row r="12" customFormat="false" ht="15.75" hidden="false" customHeight="false" outlineLevel="0" collapsed="false">
      <c r="B12" s="3" t="s">
        <v>39</v>
      </c>
      <c r="F12" s="13" t="n">
        <v>261600000</v>
      </c>
      <c r="G12" s="13"/>
      <c r="H12" s="1" t="s">
        <v>33</v>
      </c>
    </row>
    <row r="13" customFormat="false" ht="15" hidden="false" customHeight="true" outlineLevel="0" collapsed="false">
      <c r="B13" s="15" t="s">
        <v>42</v>
      </c>
      <c r="C13" s="16"/>
      <c r="D13" s="17" t="s">
        <v>43</v>
      </c>
      <c r="E13" s="17"/>
      <c r="F13" s="18"/>
      <c r="G13" s="19"/>
      <c r="H13" s="12" t="s">
        <v>44</v>
      </c>
    </row>
    <row r="14" customFormat="false" ht="15.75" hidden="false" customHeight="false" outlineLevel="0" collapsed="false">
      <c r="B14" s="20" t="s">
        <v>47</v>
      </c>
      <c r="C14" s="12"/>
      <c r="D14" s="17"/>
      <c r="E14" s="17"/>
      <c r="F14" s="21"/>
      <c r="G14" s="22"/>
      <c r="H14" s="1" t="s">
        <v>48</v>
      </c>
    </row>
    <row r="15" customFormat="false" ht="15.75" hidden="false" customHeight="false" outlineLevel="0" collapsed="false">
      <c r="B15" s="23" t="s">
        <v>50</v>
      </c>
      <c r="C15" s="24"/>
      <c r="D15" s="17"/>
      <c r="E15" s="17"/>
      <c r="F15" s="25"/>
      <c r="G15" s="26" t="n">
        <v>1.74684656100137</v>
      </c>
      <c r="H15" s="12" t="s">
        <v>51</v>
      </c>
    </row>
    <row r="16" customFormat="false" ht="15.75" hidden="false" customHeight="false" outlineLevel="0" collapsed="false">
      <c r="B16" s="3" t="s">
        <v>236</v>
      </c>
      <c r="F16" s="14"/>
      <c r="G16" s="30" t="n">
        <v>1360</v>
      </c>
      <c r="H16" s="12" t="s">
        <v>135</v>
      </c>
    </row>
    <row r="17" s="12" customFormat="true" ht="15.75" hidden="false" customHeight="false" outlineLevel="0" collapsed="false">
      <c r="B17" s="1" t="s">
        <v>237</v>
      </c>
      <c r="F17" s="21"/>
      <c r="G17" s="21"/>
      <c r="N17" s="1"/>
      <c r="O17" s="1"/>
      <c r="P17" s="1"/>
      <c r="Q17" s="1"/>
      <c r="R17" s="1"/>
    </row>
    <row r="18" s="12" customFormat="true" ht="15.75" hidden="false" customHeight="false" outlineLevel="0" collapsed="false">
      <c r="B18" s="3" t="s">
        <v>39</v>
      </c>
      <c r="C18" s="1"/>
      <c r="D18" s="1"/>
      <c r="E18" s="1"/>
      <c r="F18" s="13" t="n">
        <v>6000000</v>
      </c>
      <c r="G18" s="13"/>
      <c r="H18" s="1" t="s">
        <v>33</v>
      </c>
      <c r="N18" s="1"/>
      <c r="O18" s="1"/>
      <c r="P18" s="1"/>
      <c r="Q18" s="1"/>
      <c r="R18" s="1"/>
    </row>
    <row r="19" customFormat="false" ht="15" hidden="false" customHeight="true" outlineLevel="0" collapsed="false">
      <c r="B19" s="15" t="s">
        <v>42</v>
      </c>
      <c r="C19" s="16"/>
      <c r="D19" s="17" t="s">
        <v>43</v>
      </c>
      <c r="E19" s="17"/>
      <c r="F19" s="18"/>
      <c r="G19" s="19"/>
      <c r="H19" s="12" t="s">
        <v>44</v>
      </c>
    </row>
    <row r="20" s="12" customFormat="true" ht="15.75" hidden="false" customHeight="false" outlineLevel="0" collapsed="false">
      <c r="B20" s="20" t="s">
        <v>47</v>
      </c>
      <c r="D20" s="17"/>
      <c r="E20" s="17"/>
      <c r="F20" s="21"/>
      <c r="G20" s="22"/>
      <c r="H20" s="1" t="s">
        <v>48</v>
      </c>
      <c r="N20" s="1"/>
      <c r="O20" s="1"/>
      <c r="P20" s="1"/>
      <c r="Q20" s="1"/>
      <c r="R20" s="1"/>
    </row>
    <row r="21" customFormat="false" ht="15.75" hidden="false" customHeight="false" outlineLevel="0" collapsed="false">
      <c r="B21" s="23" t="s">
        <v>50</v>
      </c>
      <c r="C21" s="24"/>
      <c r="D21" s="17"/>
      <c r="E21" s="17"/>
      <c r="F21" s="25"/>
      <c r="G21" s="26" t="n">
        <v>0.800273295870079</v>
      </c>
      <c r="H21" s="12" t="s">
        <v>51</v>
      </c>
    </row>
    <row r="22" s="12" customFormat="true" ht="15.75" hidden="false" customHeight="false" outlineLevel="0" collapsed="false">
      <c r="B22" s="3" t="s">
        <v>238</v>
      </c>
      <c r="F22" s="21"/>
      <c r="G22" s="30" t="n">
        <v>0.52</v>
      </c>
    </row>
    <row r="23" s="12" customFormat="true" ht="15.75" hidden="false" customHeight="false" outlineLevel="0" collapsed="false">
      <c r="B23" s="3" t="s">
        <v>32</v>
      </c>
      <c r="F23" s="13" t="n">
        <v>68773560320</v>
      </c>
      <c r="G23" s="13"/>
      <c r="H23" s="12" t="s">
        <v>33</v>
      </c>
    </row>
    <row r="24" s="12" customFormat="true" ht="15.75" hidden="false" customHeight="false" outlineLevel="0" collapsed="false">
      <c r="B24" s="3" t="s">
        <v>239</v>
      </c>
      <c r="F24" s="21"/>
      <c r="G24" s="30" t="n">
        <v>0.05</v>
      </c>
    </row>
    <row r="25" s="12" customFormat="true" ht="15.75" hidden="false" customHeight="false" outlineLevel="0" collapsed="false">
      <c r="B25" s="3" t="s">
        <v>240</v>
      </c>
      <c r="F25" s="21"/>
      <c r="G25" s="30" t="n">
        <v>1.304</v>
      </c>
      <c r="H25" s="12" t="s">
        <v>241</v>
      </c>
    </row>
    <row r="26" s="12" customFormat="true" ht="15.75" hidden="false" customHeight="false" outlineLevel="0" collapsed="false">
      <c r="B26" s="3" t="s">
        <v>242</v>
      </c>
      <c r="F26" s="21"/>
      <c r="G26" s="30" t="n">
        <v>0</v>
      </c>
      <c r="H26" s="12" t="s">
        <v>241</v>
      </c>
      <c r="Q26" s="1"/>
    </row>
    <row r="27" s="12" customFormat="true" ht="15.75" hidden="false" customHeight="false" outlineLevel="0" collapsed="false">
      <c r="B27" s="28"/>
      <c r="F27" s="21"/>
      <c r="G27" s="21"/>
      <c r="Q27" s="1"/>
    </row>
    <row r="28" customFormat="false" ht="15.75" hidden="false" customHeight="false" outlineLevel="0" collapsed="false">
      <c r="B28" s="5" t="s">
        <v>69</v>
      </c>
      <c r="C28" s="5"/>
      <c r="D28" s="5"/>
      <c r="E28" s="5"/>
      <c r="F28" s="5"/>
      <c r="G28" s="5"/>
      <c r="H28" s="5"/>
      <c r="K28" s="12"/>
      <c r="L28" s="12"/>
      <c r="M28" s="12"/>
      <c r="N28" s="12"/>
      <c r="O28" s="12"/>
      <c r="P28" s="12"/>
    </row>
    <row r="29" customFormat="false" ht="15.75" hidden="false" customHeight="false" outlineLevel="0" collapsed="false">
      <c r="B29" s="5" t="s">
        <v>243</v>
      </c>
      <c r="C29" s="5"/>
      <c r="D29" s="5"/>
      <c r="E29" s="5"/>
      <c r="F29" s="5"/>
      <c r="G29" s="5"/>
      <c r="H29" s="5"/>
      <c r="K29" s="12"/>
      <c r="L29" s="12"/>
      <c r="M29" s="12"/>
      <c r="N29" s="12"/>
      <c r="O29" s="12"/>
      <c r="P29" s="12"/>
    </row>
    <row r="30" customFormat="false" ht="15.75" hidden="false" customHeight="false" outlineLevel="0" collapsed="false">
      <c r="F30" s="14"/>
      <c r="G30" s="14"/>
    </row>
    <row r="31" customFormat="false" ht="15.75" hidden="false" customHeight="false" outlineLevel="0" collapsed="false">
      <c r="B31" s="3" t="s">
        <v>75</v>
      </c>
      <c r="F31" s="34" t="n">
        <v>63750000</v>
      </c>
      <c r="G31" s="34" t="n">
        <v>60000000</v>
      </c>
      <c r="H31" s="1" t="s">
        <v>33</v>
      </c>
    </row>
    <row r="33" customFormat="false" ht="15.75" hidden="false" customHeight="false" outlineLevel="0" collapsed="false">
      <c r="B33" s="5" t="s">
        <v>80</v>
      </c>
      <c r="C33" s="5"/>
      <c r="D33" s="5"/>
      <c r="E33" s="5"/>
      <c r="F33" s="5"/>
      <c r="G33" s="5"/>
      <c r="H33" s="5"/>
    </row>
    <row r="34" customFormat="false" ht="15.75" hidden="false" customHeight="false" outlineLevel="0" collapsed="false">
      <c r="B34" s="5" t="s">
        <v>84</v>
      </c>
      <c r="C34" s="5"/>
      <c r="D34" s="5"/>
      <c r="E34" s="5"/>
      <c r="F34" s="5"/>
      <c r="G34" s="5"/>
      <c r="H34" s="5"/>
    </row>
    <row r="36" customFormat="false" ht="15.75" hidden="false" customHeight="false" outlineLevel="0" collapsed="false">
      <c r="F36" s="9" t="s">
        <v>87</v>
      </c>
      <c r="G36" s="9" t="s">
        <v>88</v>
      </c>
      <c r="H36" s="9" t="s">
        <v>89</v>
      </c>
    </row>
    <row r="37" customFormat="false" ht="15.75" hidden="false" customHeight="false" outlineLevel="0" collapsed="false">
      <c r="B37" s="36" t="s">
        <v>91</v>
      </c>
      <c r="C37" s="36"/>
      <c r="D37" s="36"/>
      <c r="E37" s="36" t="s">
        <v>92</v>
      </c>
      <c r="F37" s="38" t="s">
        <v>93</v>
      </c>
      <c r="G37" s="38" t="s">
        <v>94</v>
      </c>
      <c r="H37" s="38" t="s">
        <v>95</v>
      </c>
    </row>
    <row r="38" customFormat="false" ht="15.75" hidden="false" customHeight="false" outlineLevel="0" collapsed="false">
      <c r="B38" s="39" t="s">
        <v>244</v>
      </c>
      <c r="C38" s="39"/>
      <c r="D38" s="39"/>
      <c r="E38" s="1" t="s">
        <v>245</v>
      </c>
      <c r="F38" s="40" t="n">
        <v>0.9075</v>
      </c>
      <c r="G38" s="41" t="n">
        <v>2.01588</v>
      </c>
      <c r="H38" s="41" t="n">
        <f aca="false">IF(G$66&lt;100,28.154,IF(G$66&lt;298.15,-0.0000012385*G$66^3+0.000847907*G$66^2-0.174747*G$66+38.3882,IF(G$66&lt;1000,33.066178-11.363417*(G$66/1000)+11.432816*(G$66/1000)^2-2.772874*(G$66/1000)^3-0.158558/(G$66/1000)^2,IF(G$66&lt;2500,18.563083+12.257357*(G$66/1000)-2.859786*(G$66/1000)^2+0.268238*(G$66/1000)^3+1.97799/(G$66/1000)^2,IF(G$66&lt;6000,43.41356-4.293079*(G$66/1000)+1.272428*(G$66/1000)^2-0.096876*(G$66/1000)^3-20.533862/(G$66/1000)^2,41.965)))))</f>
        <v>27.3627877963519</v>
      </c>
    </row>
    <row r="39" customFormat="false" ht="15.75" hidden="false" customHeight="false" outlineLevel="0" collapsed="false">
      <c r="B39" s="12" t="s">
        <v>100</v>
      </c>
      <c r="C39" s="12"/>
      <c r="D39" s="12"/>
      <c r="E39" s="1" t="s">
        <v>101</v>
      </c>
      <c r="F39" s="40" t="n">
        <v>0.0925</v>
      </c>
      <c r="G39" s="41" t="n">
        <v>4.002602</v>
      </c>
      <c r="H39" s="41" t="n">
        <v>20.786</v>
      </c>
    </row>
    <row r="40" customFormat="false" ht="15.75" hidden="false" customHeight="false" outlineLevel="0" collapsed="false">
      <c r="B40" s="12" t="s">
        <v>246</v>
      </c>
      <c r="C40" s="12"/>
      <c r="D40" s="12"/>
      <c r="E40" s="1" t="s">
        <v>247</v>
      </c>
      <c r="F40" s="40" t="n">
        <v>0</v>
      </c>
      <c r="G40" s="41" t="n">
        <v>16.0425</v>
      </c>
      <c r="H40" s="41" t="n">
        <f aca="false">IF(G$66&lt;100,33.258,IF(G$66&lt;298.15,0.000000327888*G$66^3-0.000095605*G$66^2+0.00787935*G$66+33.0982,IF(G$66&lt;1300,-0.703029+108.4773*(G$66/1000)-42.52157*(G$66/1000)^2+5.862788*(G$66/1000)^3+0.678565/(G$66/1000)^2,IF(G$66&lt;6000,85.81217+11.26467*(G$66/1000)-2.114146*(G$66/1000)^2+0.13819*(G$66/1000)^3-26.42221/(G$66/1000)^2,106.306))))</f>
        <v>33.4261365995799</v>
      </c>
    </row>
    <row r="41" customFormat="false" ht="15.75" hidden="false" customHeight="false" outlineLevel="0" collapsed="false">
      <c r="B41" s="12" t="s">
        <v>248</v>
      </c>
      <c r="C41" s="12"/>
      <c r="D41" s="12"/>
      <c r="E41" s="1" t="s">
        <v>249</v>
      </c>
      <c r="F41" s="40" t="n">
        <v>0</v>
      </c>
      <c r="G41" s="41" t="n">
        <v>17.0305</v>
      </c>
      <c r="H41" s="41" t="n">
        <f aca="false">IF(G$66&lt;100,33.284,IF(G$66&lt;298.15,0.0000735664*G$66^2-0.0173399*G$66+34.2823,IF(G$66&lt;1400,19.99563+49.77119*(G$66/1000)-15.37599*(G$66/1000)^2+1.921168*(G$66/1000)^3+0.189174/(G$66/1000)^2,IF(G$66&lt;6000,52.02427+18.48801*(G$66/1000)-3.765128*(G$66/1000)^2+0.248541*(G$66/1000)^3-12.45799/(G$66/1000)^2,80.751))))</f>
        <v>33.6921101742703</v>
      </c>
    </row>
    <row r="42" customFormat="false" ht="15.75" hidden="false" customHeight="false" outlineLevel="0" collapsed="false">
      <c r="B42" s="12" t="s">
        <v>250</v>
      </c>
      <c r="C42" s="12"/>
      <c r="D42" s="12"/>
      <c r="E42" s="1" t="s">
        <v>251</v>
      </c>
      <c r="F42" s="40" t="n">
        <v>0</v>
      </c>
      <c r="G42" s="41" t="n">
        <v>3.02204</v>
      </c>
      <c r="H42" s="41" t="n">
        <f aca="false">IF(G$66&lt;100,29.288,IF(G$66&lt;298.15,0.0000056637*G$66^2-0.00269911*G$66+29.5013,IF(G$66&lt;1000,31.24992-7.58919*(G$66/1000)+9.011375*(G$66/1000)^2-1.914415*(G$66/1000)^3-0.047793/(G$66/1000)^2,IF(G$66&lt;6000,28.22296+4.575371*(G$66/1000)-0.551669*(G$66/1000)^2+0.031038*(G$66/1000)^3-1.732276/(G$66/1000)^2,42.339))))</f>
        <v>29.1906093448105</v>
      </c>
    </row>
    <row r="43" customFormat="false" ht="15.75" hidden="false" customHeight="false" outlineLevel="0" collapsed="false">
      <c r="B43" s="42"/>
      <c r="C43" s="42"/>
      <c r="D43" s="42"/>
      <c r="E43" s="43"/>
      <c r="F43" s="40"/>
      <c r="G43" s="44"/>
      <c r="H43" s="44"/>
    </row>
    <row r="44" customFormat="false" ht="15.75" hidden="false" customHeight="false" outlineLevel="0" collapsed="false">
      <c r="B44" s="42"/>
      <c r="C44" s="42"/>
      <c r="D44" s="42"/>
      <c r="E44" s="43"/>
      <c r="F44" s="40"/>
      <c r="G44" s="44"/>
      <c r="H44" s="44"/>
    </row>
    <row r="45" customFormat="false" ht="15.75" hidden="false" customHeight="false" outlineLevel="0" collapsed="false">
      <c r="B45" s="45"/>
      <c r="C45" s="45"/>
      <c r="D45" s="45"/>
      <c r="E45" s="45"/>
      <c r="F45" s="46"/>
      <c r="G45" s="47"/>
      <c r="H45" s="47"/>
    </row>
    <row r="46" customFormat="false" ht="15.75" hidden="false" customHeight="false" outlineLevel="0" collapsed="false">
      <c r="B46" s="1" t="s">
        <v>112</v>
      </c>
      <c r="F46" s="48" t="n">
        <f aca="false">SUM(F38:F45)</f>
        <v>1</v>
      </c>
    </row>
    <row r="48" customFormat="false" ht="15.75" hidden="false" customHeight="false" outlineLevel="0" collapsed="false">
      <c r="B48" s="3" t="s">
        <v>115</v>
      </c>
    </row>
    <row r="49" customFormat="false" ht="15.75" hidden="false" customHeight="false" outlineLevel="0" collapsed="false">
      <c r="B49" s="3" t="s">
        <v>117</v>
      </c>
    </row>
    <row r="51" customFormat="false" ht="15.75" hidden="false" customHeight="false" outlineLevel="0" collapsed="false">
      <c r="B51" s="5" t="s">
        <v>120</v>
      </c>
      <c r="C51" s="5"/>
      <c r="D51" s="5"/>
      <c r="E51" s="5"/>
      <c r="F51" s="5"/>
      <c r="G51" s="5"/>
      <c r="H51" s="5"/>
    </row>
    <row r="52" customFormat="false" ht="15.75" hidden="false" customHeight="false" outlineLevel="0" collapsed="false">
      <c r="B52" s="5" t="s">
        <v>252</v>
      </c>
      <c r="C52" s="5"/>
      <c r="D52" s="5"/>
      <c r="E52" s="5"/>
      <c r="F52" s="5"/>
      <c r="G52" s="5"/>
      <c r="H52" s="5"/>
    </row>
    <row r="53" customFormat="false" ht="15.75" hidden="false" customHeight="false" outlineLevel="0" collapsed="false">
      <c r="B53" s="5" t="s">
        <v>253</v>
      </c>
      <c r="C53" s="5"/>
      <c r="D53" s="5"/>
      <c r="E53" s="5"/>
      <c r="F53" s="5"/>
      <c r="G53" s="5"/>
      <c r="H53" s="5"/>
    </row>
    <row r="55" customFormat="false" ht="15.75" hidden="false" customHeight="false" outlineLevel="0" collapsed="false">
      <c r="B55" s="74" t="s">
        <v>254</v>
      </c>
      <c r="C55" s="74"/>
      <c r="D55" s="74"/>
      <c r="E55" s="74"/>
      <c r="F55" s="74"/>
      <c r="G55" s="74"/>
      <c r="H55" s="74"/>
    </row>
    <row r="57" s="12" customFormat="true" ht="15.75" hidden="false" customHeight="false" outlineLevel="0" collapsed="false">
      <c r="B57" s="12" t="s">
        <v>36</v>
      </c>
      <c r="I57" s="1"/>
    </row>
    <row r="58" s="12" customFormat="true" ht="15.75" hidden="false" customHeight="false" outlineLevel="0" collapsed="false">
      <c r="B58" s="29" t="s">
        <v>42</v>
      </c>
      <c r="G58" s="75" t="n">
        <f aca="false">IF(G13&gt;0,G13,IF(G14&gt;0,G14*0.0000000000667408,IF(G15&gt;0,IF(F12&gt;0,F12^2*G15*9.80665,1E+018),1E+018)))</f>
        <v>1.17233279483249E+018</v>
      </c>
      <c r="H58" s="12" t="s">
        <v>44</v>
      </c>
      <c r="I58" s="1"/>
    </row>
    <row r="59" s="12" customFormat="true" ht="15.75" hidden="false" customHeight="false" outlineLevel="0" collapsed="false">
      <c r="B59" s="12" t="s">
        <v>237</v>
      </c>
      <c r="I59" s="1"/>
    </row>
    <row r="60" s="12" customFormat="true" ht="15.75" hidden="false" customHeight="false" outlineLevel="0" collapsed="false">
      <c r="B60" s="29" t="s">
        <v>42</v>
      </c>
      <c r="C60" s="1"/>
      <c r="G60" s="75" t="n">
        <f aca="false">IF(G19&gt;0,G19,IF(G20&gt;0,G20*0.0000000000667408,IF(G21&gt;0,IF(F18&gt;0,F18^2*G21*9.80665,100000000000000),100000000000000)))</f>
        <v>282528004209995</v>
      </c>
      <c r="H60" s="12" t="s">
        <v>44</v>
      </c>
      <c r="I60" s="1"/>
    </row>
    <row r="61" s="12" customFormat="true" ht="15.75" hidden="false" customHeight="false" outlineLevel="0" collapsed="false">
      <c r="B61" s="29" t="s">
        <v>50</v>
      </c>
      <c r="G61" s="12" t="n">
        <f aca="false">MAX(IF(G19&gt;0,IF(F18&gt;0,G19/F18^2/9.80665,1),IF(G20&gt;0,IF(F18&gt;0,G20*0.0000000000667408/F18^2/9.80665,1),IF(G21&gt;0,G21,1))),IF(F31&gt;0,F31*0.000000001,0.01))</f>
        <v>0.800273295870079</v>
      </c>
      <c r="H61" s="12" t="s">
        <v>51</v>
      </c>
      <c r="I61" s="1"/>
    </row>
    <row r="62" s="12" customFormat="true" ht="15.75" hidden="false" customHeight="false" outlineLevel="0" collapsed="false">
      <c r="B62" s="29" t="s">
        <v>255</v>
      </c>
      <c r="C62" s="1"/>
      <c r="G62" s="76" t="n">
        <f aca="false">2*PI()*SQRT(F23^3/G58)/3600</f>
        <v>29072.6200299968</v>
      </c>
      <c r="H62" s="12" t="s">
        <v>256</v>
      </c>
      <c r="I62" s="1"/>
    </row>
    <row r="63" customFormat="false" ht="15.75" hidden="false" customHeight="false" outlineLevel="0" collapsed="false">
      <c r="B63" s="29" t="s">
        <v>257</v>
      </c>
      <c r="G63" s="77" t="n">
        <f aca="false">IF(F10&gt;0,IF(G16&gt;0,IF(F23&gt;0,G16*(F10/F23)^2,10),10),10)</f>
        <v>53.1818581251409</v>
      </c>
      <c r="H63" s="1" t="s">
        <v>135</v>
      </c>
    </row>
    <row r="64" customFormat="false" ht="15.75" hidden="false" customHeight="false" outlineLevel="0" collapsed="false">
      <c r="B64" s="29" t="s">
        <v>258</v>
      </c>
      <c r="G64" s="77" t="n">
        <f aca="false">(G63*(1-G22)/(4*0.000000056704))^0.25</f>
        <v>102.998942152929</v>
      </c>
      <c r="H64" s="1" t="s">
        <v>65</v>
      </c>
    </row>
    <row r="65" customFormat="false" ht="15.75" hidden="false" customHeight="false" outlineLevel="0" collapsed="false">
      <c r="B65" s="29" t="s">
        <v>127</v>
      </c>
      <c r="G65" s="50" t="n">
        <f aca="false">IF(F46&gt;0,(F38*G38+F39*G39+F40*G40+F41*G41+F42*G42+F43*G43+F44*G44+F45*G45)/(SUM(F38:F42)+IF(G43&gt;0,F43,0)+IF(G44&gt;0,F44,0)+IF(G45&gt;0,F45,0)),2.2)</f>
        <v>2.199651785</v>
      </c>
      <c r="H65" s="1" t="s">
        <v>128</v>
      </c>
    </row>
    <row r="66" customFormat="false" ht="15.75" hidden="false" customHeight="false" outlineLevel="0" collapsed="false">
      <c r="B66" s="78" t="s">
        <v>259</v>
      </c>
      <c r="G66" s="31" t="n">
        <f aca="false">(C113*I113+C114*I114+C115*I115+C116*I116+C117*I117+C118*I118+C119*I119+C120*I120+C121*I121+C122*I122)/SUM(I113:I122)</f>
        <v>194.445484211496</v>
      </c>
      <c r="H66" s="1" t="s">
        <v>65</v>
      </c>
    </row>
    <row r="67" customFormat="false" ht="15.75" hidden="false" customHeight="false" outlineLevel="0" collapsed="false">
      <c r="B67" s="29" t="s">
        <v>130</v>
      </c>
      <c r="G67" s="79" t="n">
        <f aca="false">IF(F46&gt;0,1/(1-8.3144621/((F38*H38+F39*H39+F40*H40+F41*H41+F42*H42+F43*H43+F44*H44+F45*H45)/(SUM(F38:F42)+IF(H43&gt;0,F43,0)+IF(H44&gt;0,F44,0)+IF(H45&gt;0,F45,0)))),1.4)</f>
        <v>1.45089340308801</v>
      </c>
    </row>
    <row r="68" customFormat="false" ht="15.75" hidden="false" customHeight="false" outlineLevel="0" collapsed="false">
      <c r="B68" s="52"/>
      <c r="G68" s="77"/>
    </row>
    <row r="69" customFormat="false" ht="15.75" hidden="false" customHeight="true" outlineLevel="0" collapsed="false">
      <c r="B69" s="80" t="s">
        <v>260</v>
      </c>
      <c r="C69" s="80"/>
      <c r="D69" s="80"/>
      <c r="E69" s="80"/>
      <c r="F69" s="80"/>
      <c r="G69" s="80"/>
      <c r="H69" s="80"/>
    </row>
    <row r="71" customFormat="false" ht="15.75" hidden="false" customHeight="false" outlineLevel="0" collapsed="false">
      <c r="B71" s="12" t="s">
        <v>237</v>
      </c>
    </row>
    <row r="72" customFormat="false" ht="15.75" hidden="false" customHeight="false" outlineLevel="0" collapsed="false">
      <c r="B72" s="29" t="s">
        <v>261</v>
      </c>
      <c r="G72" s="31" t="n">
        <f aca="false">ROUND(IF(250*LOG(G63)+500&gt;1.5*G64,250*LOG(G63)+500,1.5*G64),-1)</f>
        <v>930</v>
      </c>
      <c r="H72" s="1" t="s">
        <v>65</v>
      </c>
    </row>
    <row r="73" customFormat="false" ht="15.75" hidden="false" customHeight="false" outlineLevel="0" collapsed="false">
      <c r="B73" s="29" t="s">
        <v>262</v>
      </c>
      <c r="G73" s="31" t="n">
        <f aca="false">ROUND(IF(310*G61+510&gt;1.25*G64,310*G61+510,1.25*G64),-1)</f>
        <v>760</v>
      </c>
      <c r="H73" s="1" t="s">
        <v>65</v>
      </c>
    </row>
    <row r="74" customFormat="false" ht="15.75" hidden="false" customHeight="false" outlineLevel="0" collapsed="false">
      <c r="A74" s="52"/>
      <c r="B74" s="29" t="s">
        <v>263</v>
      </c>
      <c r="G74" s="1" t="n">
        <f aca="false">ROUND(G64*0.04405,0)</f>
        <v>5</v>
      </c>
      <c r="H74" s="1" t="s">
        <v>65</v>
      </c>
    </row>
    <row r="75" customFormat="false" ht="15.75" hidden="false" customHeight="false" outlineLevel="0" collapsed="false">
      <c r="A75" s="52"/>
      <c r="B75" s="29" t="s">
        <v>264</v>
      </c>
      <c r="G75" s="1" t="n">
        <f aca="false">ROUND(G64*0.01269,0)</f>
        <v>1</v>
      </c>
      <c r="H75" s="1" t="s">
        <v>65</v>
      </c>
    </row>
    <row r="76" customFormat="false" ht="15.75" hidden="false" customHeight="false" outlineLevel="0" collapsed="false">
      <c r="A76" s="52"/>
      <c r="B76" s="29" t="s">
        <v>265</v>
      </c>
      <c r="G76" s="1" t="n">
        <f aca="false">ROUND(G64*0.03928,0)</f>
        <v>4</v>
      </c>
      <c r="H76" s="1" t="s">
        <v>65</v>
      </c>
    </row>
    <row r="77" customFormat="false" ht="15.75" hidden="false" customHeight="false" outlineLevel="0" collapsed="false">
      <c r="A77" s="52"/>
      <c r="B77" s="29" t="s">
        <v>266</v>
      </c>
      <c r="G77" s="77" t="n">
        <f aca="false">(COS(RADIANS(38.2425-G25))*G63*(1-G22)/(PI()*0.000000056704))^0.25-(COS(RADIANS(38.2425+G25))*G63*(1-G22)/(PI()*0.000000056704))^0.25</f>
        <v>0.923910320797418</v>
      </c>
      <c r="H77" s="1" t="s">
        <v>65</v>
      </c>
      <c r="K77" s="31"/>
    </row>
    <row r="78" customFormat="false" ht="15.75" hidden="false" customHeight="false" outlineLevel="0" collapsed="false">
      <c r="A78" s="52"/>
      <c r="B78" s="29" t="s">
        <v>267</v>
      </c>
      <c r="G78" s="77" t="n">
        <f aca="false">IF(F23&gt;0,((F10/(F23*(1-G24)))^2*G16*(1-G22)/(4*0.000000056704))^0.25-((F10/(F23*(1+G24)))^2*G16*(1-G22)/(4*0.000000056704))^0.25,0)</f>
        <v>5.15800977591113</v>
      </c>
      <c r="H78" s="1" t="s">
        <v>65</v>
      </c>
      <c r="K78" s="31"/>
    </row>
    <row r="79" customFormat="false" ht="15.75" hidden="false" customHeight="false" outlineLevel="0" collapsed="false">
      <c r="A79" s="52"/>
      <c r="B79" s="29" t="s">
        <v>268</v>
      </c>
      <c r="G79" s="79" t="n">
        <f aca="false">IF(F18&gt;0,IF(G62&gt;0,IF((G62*(G31/F18)^0.5)^(2/3)&lt;400,0.0009*(G62*(G31/F18)^0.5)^(2/3),IF((G62*(G31/F18)^0.5)^(2/3)&lt;1600,-0.0000003333333333*((G62*(G31/F18)^0.5)^(2/3))^2+0.0012*((G62*(G31/F18)^0.5)^(2/3))-0.06666666667,1)),1),1)</f>
        <v>1</v>
      </c>
    </row>
    <row r="80" customFormat="false" ht="15.75" hidden="false" customHeight="false" outlineLevel="0" collapsed="false">
      <c r="A80" s="52"/>
      <c r="G80" s="50"/>
    </row>
    <row r="81" customFormat="false" ht="15.75" hidden="false" customHeight="false" outlineLevel="0" collapsed="false">
      <c r="A81" s="52"/>
      <c r="B81" s="53" t="s">
        <v>138</v>
      </c>
      <c r="C81" s="53"/>
      <c r="D81" s="53"/>
      <c r="E81" s="53"/>
      <c r="F81" s="53"/>
      <c r="G81" s="53"/>
      <c r="H81" s="53"/>
    </row>
    <row r="82" customFormat="false" ht="15.75" hidden="false" customHeight="false" outlineLevel="0" collapsed="false">
      <c r="A82" s="52"/>
      <c r="B82" s="5" t="s">
        <v>140</v>
      </c>
      <c r="C82" s="5"/>
      <c r="D82" s="5"/>
      <c r="E82" s="5"/>
      <c r="F82" s="5"/>
      <c r="G82" s="5"/>
      <c r="H82" s="5"/>
    </row>
    <row r="83" customFormat="false" ht="15.75" hidden="false" customHeight="false" outlineLevel="0" collapsed="false">
      <c r="A83" s="52"/>
      <c r="G83" s="50"/>
    </row>
    <row r="84" customFormat="false" ht="15.75" hidden="false" customHeight="false" outlineLevel="0" collapsed="false">
      <c r="A84" s="52"/>
      <c r="B84" s="29" t="s">
        <v>142</v>
      </c>
      <c r="G84" s="50" t="n">
        <f aca="false">IF(F18&gt;0,IF(F31&gt;0,F18/F31,0.1),0.1)</f>
        <v>0.0941176470588235</v>
      </c>
    </row>
    <row r="85" customFormat="false" ht="15.75" hidden="false" customHeight="false" outlineLevel="0" collapsed="false">
      <c r="A85" s="52"/>
      <c r="B85" s="29" t="s">
        <v>144</v>
      </c>
      <c r="G85" s="31" t="n">
        <f aca="false">(F113-F131)/LN(H131/H113)</f>
        <v>70384.4581413413</v>
      </c>
      <c r="H85" s="1" t="s">
        <v>33</v>
      </c>
    </row>
    <row r="86" customFormat="false" ht="15.75" hidden="false" customHeight="false" outlineLevel="0" collapsed="false">
      <c r="A86" s="52"/>
      <c r="B86" s="29" t="s">
        <v>146</v>
      </c>
      <c r="G86" s="50" t="n">
        <f aca="false">(G84-0.09412)/0.90588*(1-IF(G85&gt;3344.087,0.16684*LOG(G85)^2-1.8388*LOG(G85)+5.4082,1))+IF(G85&gt;3344.087,0.16684*LOG(G85)^2-1.8388*LOG(G85)+5.4082,1)</f>
        <v>0.415069693682659</v>
      </c>
    </row>
    <row r="87" customFormat="false" ht="15.75" hidden="false" customHeight="false" outlineLevel="0" collapsed="false">
      <c r="A87" s="52"/>
    </row>
    <row r="88" customFormat="false" ht="15.75" hidden="false" customHeight="false" outlineLevel="0" collapsed="false">
      <c r="A88" s="52"/>
      <c r="B88" s="29" t="s">
        <v>149</v>
      </c>
      <c r="F88" s="54" t="s">
        <v>150</v>
      </c>
      <c r="G88" s="55" t="n">
        <f aca="false">G86</f>
        <v>0.415069693682659</v>
      </c>
    </row>
    <row r="89" customFormat="false" ht="15.75" hidden="false" customHeight="false" outlineLevel="0" collapsed="false">
      <c r="A89" s="52"/>
      <c r="B89" s="29" t="s">
        <v>152</v>
      </c>
      <c r="G89" s="56" t="n">
        <f aca="false">'Gas Giant CFG'!B11</f>
        <v>424000</v>
      </c>
      <c r="H89" s="1" t="s">
        <v>33</v>
      </c>
    </row>
    <row r="91" customFormat="false" ht="15.75" hidden="false" customHeight="false" outlineLevel="0" collapsed="false">
      <c r="B91" s="5" t="s">
        <v>269</v>
      </c>
      <c r="C91" s="5"/>
      <c r="D91" s="5"/>
      <c r="E91" s="5"/>
      <c r="F91" s="5"/>
      <c r="G91" s="5"/>
      <c r="H91" s="5"/>
      <c r="I91" s="5"/>
      <c r="J91" s="5"/>
      <c r="K91" s="5"/>
      <c r="L91" s="5"/>
      <c r="M91" s="5"/>
      <c r="N91" s="5"/>
      <c r="O91" s="5"/>
      <c r="P91" s="5"/>
      <c r="Q91" s="5"/>
    </row>
    <row r="92" customFormat="false" ht="15.75" hidden="false" customHeight="false" outlineLevel="0" collapsed="false">
      <c r="B92" s="5" t="s">
        <v>270</v>
      </c>
      <c r="C92" s="5"/>
      <c r="D92" s="5"/>
      <c r="E92" s="5"/>
      <c r="F92" s="5"/>
      <c r="G92" s="5"/>
      <c r="H92" s="5"/>
      <c r="I92" s="5"/>
      <c r="J92" s="5"/>
      <c r="K92" s="5"/>
      <c r="L92" s="5"/>
      <c r="M92" s="5"/>
      <c r="N92" s="5"/>
      <c r="O92" s="5"/>
      <c r="P92" s="5"/>
      <c r="Q92" s="5"/>
    </row>
    <row r="93" customFormat="false" ht="15.75" hidden="false" customHeight="false" outlineLevel="0" collapsed="false">
      <c r="B93" s="5" t="s">
        <v>271</v>
      </c>
      <c r="C93" s="5"/>
      <c r="D93" s="5"/>
      <c r="E93" s="5"/>
      <c r="F93" s="5"/>
      <c r="G93" s="5"/>
      <c r="H93" s="5"/>
      <c r="I93" s="5"/>
      <c r="J93" s="5"/>
      <c r="K93" s="5"/>
      <c r="L93" s="5"/>
      <c r="M93" s="5"/>
      <c r="N93" s="5"/>
      <c r="O93" s="5"/>
      <c r="P93" s="5"/>
      <c r="Q93" s="5"/>
    </row>
    <row r="94" customFormat="false" ht="15.75" hidden="false" customHeight="false" outlineLevel="0" collapsed="false">
      <c r="J94" s="31"/>
    </row>
    <row r="95" customFormat="false" ht="15.75" hidden="false" customHeight="false" outlineLevel="0" collapsed="false">
      <c r="B95" s="29" t="s">
        <v>164</v>
      </c>
      <c r="J95" s="31"/>
    </row>
    <row r="96" customFormat="false" ht="15.75" hidden="false" customHeight="false" outlineLevel="0" collapsed="false">
      <c r="B96" s="29" t="s">
        <v>166</v>
      </c>
      <c r="J96" s="31"/>
    </row>
    <row r="97" customFormat="false" ht="15.75" hidden="false" customHeight="false" outlineLevel="0" collapsed="false">
      <c r="B97" s="29" t="s">
        <v>168</v>
      </c>
      <c r="J97" s="31"/>
    </row>
    <row r="98" customFormat="false" ht="15.75" hidden="false" customHeight="false" outlineLevel="0" collapsed="false">
      <c r="B98" s="29" t="s">
        <v>170</v>
      </c>
      <c r="J98" s="31"/>
    </row>
    <row r="99" customFormat="false" ht="15.75" hidden="false" customHeight="false" outlineLevel="0" collapsed="false">
      <c r="B99" s="29" t="s">
        <v>172</v>
      </c>
      <c r="J99" s="31"/>
    </row>
    <row r="100" customFormat="false" ht="15.75" hidden="false" customHeight="false" outlineLevel="0" collapsed="false">
      <c r="B100" s="29" t="s">
        <v>174</v>
      </c>
      <c r="J100" s="31"/>
    </row>
    <row r="101" customFormat="false" ht="15.75" hidden="false" customHeight="false" outlineLevel="0" collapsed="false">
      <c r="B101" s="29" t="s">
        <v>272</v>
      </c>
      <c r="J101" s="31"/>
    </row>
    <row r="102" customFormat="false" ht="15.75" hidden="false" customHeight="false" outlineLevel="0" collapsed="false">
      <c r="B102" s="29" t="s">
        <v>273</v>
      </c>
      <c r="J102" s="31"/>
    </row>
    <row r="103" customFormat="false" ht="15.75" hidden="false" customHeight="false" outlineLevel="0" collapsed="false">
      <c r="B103" s="29" t="s">
        <v>274</v>
      </c>
      <c r="J103" s="31"/>
    </row>
    <row r="104" customFormat="false" ht="15.75" hidden="false" customHeight="false" outlineLevel="0" collapsed="false">
      <c r="B104" s="29" t="s">
        <v>275</v>
      </c>
      <c r="J104" s="31"/>
      <c r="K104" s="81" t="s">
        <v>276</v>
      </c>
      <c r="L104" s="81" t="n">
        <f aca="false">854.416*LOG(G84)^2+100</f>
        <v>1000.00002530557</v>
      </c>
      <c r="M104" s="1" t="s">
        <v>277</v>
      </c>
    </row>
    <row r="106" customFormat="false" ht="15.75" hidden="false" customHeight="false" outlineLevel="0" collapsed="false">
      <c r="B106" s="9"/>
      <c r="C106" s="9" t="s">
        <v>177</v>
      </c>
      <c r="F106" s="9"/>
      <c r="N106" s="9" t="s">
        <v>178</v>
      </c>
      <c r="O106" s="9" t="s">
        <v>278</v>
      </c>
      <c r="P106" s="9" t="s">
        <v>279</v>
      </c>
      <c r="Q106" s="9" t="s">
        <v>280</v>
      </c>
    </row>
    <row r="107" customFormat="false" ht="15.75" hidden="false" customHeight="false" outlineLevel="0" collapsed="false">
      <c r="B107" s="9" t="s">
        <v>180</v>
      </c>
      <c r="C107" s="9" t="s">
        <v>181</v>
      </c>
      <c r="D107" s="9" t="s">
        <v>182</v>
      </c>
      <c r="E107" s="9" t="s">
        <v>183</v>
      </c>
      <c r="F107" s="9" t="s">
        <v>184</v>
      </c>
      <c r="G107" s="9" t="s">
        <v>98</v>
      </c>
      <c r="H107" s="9" t="s">
        <v>185</v>
      </c>
      <c r="I107" s="9" t="s">
        <v>186</v>
      </c>
      <c r="J107" s="9" t="s">
        <v>281</v>
      </c>
      <c r="K107" s="9" t="s">
        <v>282</v>
      </c>
      <c r="L107" s="9" t="s">
        <v>283</v>
      </c>
      <c r="M107" s="9" t="s">
        <v>284</v>
      </c>
      <c r="N107" s="9" t="s">
        <v>187</v>
      </c>
      <c r="O107" s="9" t="s">
        <v>181</v>
      </c>
      <c r="P107" s="9" t="s">
        <v>285</v>
      </c>
      <c r="Q107" s="9" t="s">
        <v>286</v>
      </c>
    </row>
    <row r="108" customFormat="false" ht="15.75" hidden="false" customHeight="false" outlineLevel="0" collapsed="false">
      <c r="B108" s="9" t="s">
        <v>189</v>
      </c>
      <c r="C108" s="9" t="s">
        <v>65</v>
      </c>
      <c r="D108" s="9" t="s">
        <v>190</v>
      </c>
      <c r="E108" s="9" t="s">
        <v>191</v>
      </c>
      <c r="F108" s="9" t="s">
        <v>33</v>
      </c>
      <c r="G108" s="9" t="s">
        <v>33</v>
      </c>
      <c r="H108" s="9" t="s">
        <v>192</v>
      </c>
      <c r="I108" s="9" t="s">
        <v>193</v>
      </c>
      <c r="J108" s="9" t="s">
        <v>287</v>
      </c>
      <c r="K108" s="9" t="s">
        <v>287</v>
      </c>
      <c r="L108" s="9" t="s">
        <v>192</v>
      </c>
      <c r="M108" s="9" t="s">
        <v>135</v>
      </c>
      <c r="N108" s="9" t="s">
        <v>33</v>
      </c>
      <c r="O108" s="9" t="s">
        <v>65</v>
      </c>
      <c r="P108" s="9" t="s">
        <v>288</v>
      </c>
      <c r="Q108" s="9" t="s">
        <v>288</v>
      </c>
    </row>
    <row r="109" customFormat="false" ht="15.75" hidden="false" customHeight="false" outlineLevel="0" collapsed="false">
      <c r="B109" s="9"/>
      <c r="C109" s="9"/>
      <c r="D109" s="9"/>
      <c r="E109" s="57"/>
      <c r="O109" s="9"/>
      <c r="P109" s="9"/>
    </row>
    <row r="110" s="1" customFormat="true" ht="15.75" hidden="false" customHeight="false" outlineLevel="0" collapsed="false">
      <c r="B110" s="58" t="n">
        <f aca="false">B111+1/3</f>
        <v>2</v>
      </c>
      <c r="C110" s="59" t="n">
        <f aca="false">G$73+(C$119-G$73)*0.52</f>
        <v>421.037422415499</v>
      </c>
      <c r="D110" s="9"/>
      <c r="E110" s="57" t="n">
        <v>0</v>
      </c>
      <c r="F110" s="57" t="n">
        <v>0</v>
      </c>
      <c r="G110" s="57" t="n">
        <f aca="false">8314.4621*C110/(G$65*G$61*9.80665)</f>
        <v>202787.844966488</v>
      </c>
      <c r="H110" s="60" t="n">
        <f aca="false">10^B110*101325</f>
        <v>10132500</v>
      </c>
      <c r="I110" s="60" t="n">
        <f aca="false">H110/(8314.4621/G$65*C110)</f>
        <v>6.36671913519188</v>
      </c>
      <c r="J110" s="57" t="n">
        <f aca="false">SQRT(8314.4621/G$65*G$67*C110)</f>
        <v>1519.56126143306</v>
      </c>
      <c r="K110" s="57" t="n">
        <f aca="false">IF(F$18&gt;0,SQRT(2*G$60/(F$18+N110)),10000)</f>
        <v>9704.4320494984</v>
      </c>
      <c r="L110" s="60" t="n">
        <f aca="false">I110*K110^2/2</f>
        <v>299796075.105225</v>
      </c>
      <c r="M110" s="60" t="n">
        <f aca="false">I110*K110^3/2</f>
        <v>2909350639564.97</v>
      </c>
      <c r="N110" s="9" t="n">
        <v>0</v>
      </c>
      <c r="O110" s="57" t="n">
        <f aca="false">C110-P110*(G$75+(G$74-G$75)*COS(RADIANS(38)))/2</f>
        <v>421.037422415499</v>
      </c>
      <c r="P110" s="82" t="n">
        <v>0</v>
      </c>
      <c r="Q110" s="9" t="str">
        <f aca="false">IF(M110/1000&gt;L$104,"|",IF(M109/1000&gt;L$104,"V",""))</f>
        <v>|</v>
      </c>
    </row>
    <row r="111" customFormat="false" ht="15.75" hidden="false" customHeight="false" outlineLevel="0" collapsed="false">
      <c r="A111" s="31"/>
      <c r="B111" s="58" t="n">
        <f aca="false">B112+1/3</f>
        <v>1.66666666666667</v>
      </c>
      <c r="C111" s="61" t="n">
        <f aca="false">G$73+(C$119-G$73)*0.639</f>
        <v>343.467140237508</v>
      </c>
      <c r="D111" s="60" t="n">
        <f aca="false">(C111-C110)/(E111-E110)</f>
        <v>-0.000550841546742665</v>
      </c>
      <c r="E111" s="57" t="n">
        <f aca="false">IF(D111=0,(8314.4621*C110*LN(H111/H110)/(-G$61*9.80665*G$65)),C110/D111*(1/(H111/H110)^(8314.4621*D111/(G$61*9.80665*G$65))-1))+E110</f>
        <v>140821.407965129</v>
      </c>
      <c r="F111" s="57" t="n">
        <f aca="false">G$31*E111/(G$31-E111)</f>
        <v>141152.696656483</v>
      </c>
      <c r="G111" s="57" t="n">
        <f aca="false">8314.4621*C111/(G$65*G$61*9.80665)</f>
        <v>165427.008330941</v>
      </c>
      <c r="H111" s="60" t="n">
        <f aca="false">10^B111*101325</f>
        <v>4703089.88565815</v>
      </c>
      <c r="I111" s="60" t="n">
        <f aca="false">H111/(8314.4621/G$65*C111)</f>
        <v>3.62257897693195</v>
      </c>
      <c r="J111" s="57" t="n">
        <f aca="false">SQRT(8314.4621/G$65*G$67*C111)</f>
        <v>1372.4624189886</v>
      </c>
      <c r="K111" s="57" t="n">
        <f aca="false">IF(F$18&gt;0,SQRT(2*G$60/(F$18+N111)),10000)</f>
        <v>9697.97602376456</v>
      </c>
      <c r="L111" s="60" t="n">
        <f aca="false">I111*K111^2/2</f>
        <v>170353114.856199</v>
      </c>
      <c r="M111" s="60" t="n">
        <f aca="false">I111*K111^3/2</f>
        <v>1652080423449.03</v>
      </c>
      <c r="N111" s="57" t="n">
        <f aca="false">IF(F$113&gt;0,20000*F111/F$113,20000)</f>
        <v>7991.16182654973</v>
      </c>
      <c r="O111" s="57" t="n">
        <f aca="false">C111-P111*(G$75+(G$74-G$75)*COS(RADIANS(38)))/2</f>
        <v>343.467140237508</v>
      </c>
      <c r="P111" s="82" t="n">
        <v>0</v>
      </c>
      <c r="Q111" s="9" t="str">
        <f aca="false">IF(M111/1000&gt;L$104,"|",IF(M110/1000&gt;L$104,"V",""))</f>
        <v>|</v>
      </c>
    </row>
    <row r="112" customFormat="false" ht="15.75" hidden="false" customHeight="false" outlineLevel="0" collapsed="false">
      <c r="A112" s="31"/>
      <c r="B112" s="58" t="n">
        <f aca="false">B113+1/3</f>
        <v>1.33333333333333</v>
      </c>
      <c r="C112" s="61" t="n">
        <f aca="false">G$73+(C$119-G$73)*0.732</f>
        <v>282.844986938741</v>
      </c>
      <c r="D112" s="60" t="n">
        <f aca="false">(C112-C111)/(E112-E111)</f>
        <v>-0.000525311222687719</v>
      </c>
      <c r="E112" s="57" t="n">
        <f aca="false">IF(D112=0,(8314.4621*C111*LN(H112/H111)/(-G$61*9.80665*G$65)),C111/D112*(1/(H112/H111)^(8314.4621*D112/(G$61*9.80665*G$65))-1))+E111</f>
        <v>256223.76504518</v>
      </c>
      <c r="F112" s="57" t="n">
        <f aca="false">G$31*E112/(G$31-E112)</f>
        <v>257322.634616393</v>
      </c>
      <c r="G112" s="57" t="n">
        <f aca="false">8314.4621*C112/(G$65*G$61*9.80665)</f>
        <v>136229.043565345</v>
      </c>
      <c r="H112" s="60" t="n">
        <f aca="false">10^B112*101325</f>
        <v>2182980.94967481</v>
      </c>
      <c r="I112" s="60" t="n">
        <f aca="false">H112/(8314.4621/G$65*C112)</f>
        <v>2.04183778978788</v>
      </c>
      <c r="J112" s="57" t="n">
        <f aca="false">SQRT(8314.4621/G$65*G$67*C112)</f>
        <v>1245.46666247</v>
      </c>
      <c r="K112" s="57" t="n">
        <f aca="false">IF(F$18&gt;0,SQRT(2*G$60/(F$18+N112)),10000)</f>
        <v>9692.67231157165</v>
      </c>
      <c r="L112" s="60" t="n">
        <f aca="false">I112*K112^2/2</f>
        <v>95913182.7127242</v>
      </c>
      <c r="M112" s="60" t="n">
        <f aca="false">I112*K112^3/2</f>
        <v>929655050394.334</v>
      </c>
      <c r="N112" s="57" t="n">
        <f aca="false">IF(F$113&gt;0,20000*F112/F$113,20000)</f>
        <v>14567.9598304669</v>
      </c>
      <c r="O112" s="57" t="n">
        <f aca="false">C112-P112*(G$75+(G$74-G$75)*COS(RADIANS(38)))/2</f>
        <v>282.844986938741</v>
      </c>
      <c r="P112" s="82" t="n">
        <v>0</v>
      </c>
      <c r="Q112" s="9" t="str">
        <f aca="false">IF(M112/1000&gt;L$104,"|",IF(M111/1000&gt;L$104,"V",""))</f>
        <v>|</v>
      </c>
    </row>
    <row r="113" customFormat="false" ht="15.75" hidden="false" customHeight="false" outlineLevel="0" collapsed="false">
      <c r="A113" s="31"/>
      <c r="B113" s="58" t="n">
        <f aca="false">B114+1/3</f>
        <v>1</v>
      </c>
      <c r="C113" s="61" t="n">
        <f aca="false">G$73+(C$119-G$73)*0.809</f>
        <v>232.652451411806</v>
      </c>
      <c r="D113" s="60" t="n">
        <f aca="false">(C113-C112)/(E113-E112)</f>
        <v>-0.000528451407145669</v>
      </c>
      <c r="E113" s="57" t="n">
        <f aca="false">IF(D113=0,(8314.4621*C112*LN(H113/H112)/(-G$61*9.80665*G$65)),C112/D113*(1/(H113/H112)^(8314.4621*D113/(G$61*9.80665*G$65))-1))+E112</f>
        <v>351204.183014055</v>
      </c>
      <c r="F113" s="57" t="n">
        <f aca="false">G$31*E113/(G$31-E113)</f>
        <v>353272.026571954</v>
      </c>
      <c r="G113" s="57" t="n">
        <f aca="false">8314.4621*C113/(G$65*G$61*9.80665)</f>
        <v>112054.384565874</v>
      </c>
      <c r="H113" s="60" t="n">
        <f aca="false">10^B113*101325</f>
        <v>1013250</v>
      </c>
      <c r="I113" s="60" t="n">
        <f aca="false">H113/(8314.4621/G$65*C113)</f>
        <v>1.15220235061259</v>
      </c>
      <c r="J113" s="57" t="n">
        <f aca="false">SQRT(8314.4621/G$65*G$67*C113)</f>
        <v>1129.56617991361</v>
      </c>
      <c r="K113" s="57" t="n">
        <f aca="false">IF(F$18&gt;0,SQRT(2*G$60/(F$18+N113)),10000)</f>
        <v>9688.29831922291</v>
      </c>
      <c r="L113" s="60" t="n">
        <f aca="false">I113*K113^2/2</f>
        <v>54074656.2399733</v>
      </c>
      <c r="M113" s="60" t="n">
        <f aca="false">I113*K113^3/2</f>
        <v>523891401162.29</v>
      </c>
      <c r="N113" s="57" t="n">
        <f aca="false">IF(F$113&gt;0,20000*F113/F$113,20000)</f>
        <v>20000</v>
      </c>
      <c r="O113" s="57" t="n">
        <f aca="false">C113-P113*(G$75+(G$74-G$75)*COS(RADIANS(38)))/2</f>
        <v>232.652451411806</v>
      </c>
      <c r="P113" s="82" t="n">
        <v>0</v>
      </c>
      <c r="Q113" s="9" t="str">
        <f aca="false">IF(M113/1000&gt;L$104,"|",IF(M112/1000&gt;L$104,"V",""))</f>
        <v>|</v>
      </c>
    </row>
    <row r="114" customFormat="false" ht="15.75" hidden="false" customHeight="false" outlineLevel="0" collapsed="false">
      <c r="A114" s="31"/>
      <c r="B114" s="58" t="n">
        <f aca="false">B115+1/3</f>
        <v>0.666666666666667</v>
      </c>
      <c r="C114" s="61" t="n">
        <f aca="false">G$73+(C$119-G$73)*0.874</f>
        <v>190.282129213743</v>
      </c>
      <c r="D114" s="60" t="n">
        <f aca="false">(C114-C113)/(E114-E113)</f>
        <v>-0.000543828775317813</v>
      </c>
      <c r="E114" s="57" t="n">
        <f aca="false">IF(D114=0,(8314.4621*C113*LN(H114/H113)/(-G$61*9.80665*G$65)),C113/D114*(1/(H114/H113)^(8314.4621*D114/(G$61*9.80665*G$65))-1))+E113</f>
        <v>429115.327332046</v>
      </c>
      <c r="F114" s="57" t="n">
        <f aca="false">G$31*E114/(G$31-E114)</f>
        <v>432206.434089367</v>
      </c>
      <c r="G114" s="57" t="n">
        <f aca="false">8314.4621*C114/(G$65*G$61*9.80665)</f>
        <v>91647.2048909953</v>
      </c>
      <c r="H114" s="60" t="n">
        <f aca="false">10^B114*101325</f>
        <v>470308.988565815</v>
      </c>
      <c r="I114" s="60" t="n">
        <f aca="false">H114/(8314.4621/G$65*C114)</f>
        <v>0.653890539606947</v>
      </c>
      <c r="J114" s="57" t="n">
        <f aca="false">SQRT(8314.4621/G$65*G$67*C114)</f>
        <v>1021.54350179245</v>
      </c>
      <c r="K114" s="57" t="n">
        <f aca="false">IF(F$18&gt;0,SQRT(2*G$60/(F$18+N114)),10000)</f>
        <v>9662.04162202289</v>
      </c>
      <c r="L114" s="60" t="n">
        <f aca="false">I114*K114^2/2</f>
        <v>30521991.4558243</v>
      </c>
      <c r="M114" s="60" t="n">
        <f aca="false">I114*K114^3/2</f>
        <v>294904751833.201</v>
      </c>
      <c r="N114" s="57" t="n">
        <f aca="false">20000+(F114-F$113)*IF(G$88&gt;0,G$88,0.5)</f>
        <v>52763.2803492751</v>
      </c>
      <c r="O114" s="57" t="n">
        <f aca="false">C114-P114*(G$75+(G$74-G$75)*COS(RADIANS(38)))/2</f>
        <v>190.282129213743</v>
      </c>
      <c r="P114" s="82" t="n">
        <v>0</v>
      </c>
      <c r="Q114" s="9" t="str">
        <f aca="false">IF(M114/1000&gt;L$104,"|",IF(M113/1000&gt;L$104,"V",""))</f>
        <v>|</v>
      </c>
    </row>
    <row r="115" customFormat="false" ht="15.75" hidden="false" customHeight="false" outlineLevel="0" collapsed="false">
      <c r="A115" s="31"/>
      <c r="B115" s="58" t="n">
        <f aca="false">B116+1/3</f>
        <v>0.333333333333333</v>
      </c>
      <c r="C115" s="61" t="n">
        <f aca="false">G$73+(C$119-G$73)*0.923</f>
        <v>158.341424787511</v>
      </c>
      <c r="D115" s="60" t="n">
        <f aca="false">(C115-C114)/(E115-E114)</f>
        <v>-0.000497074771222158</v>
      </c>
      <c r="E115" s="57" t="n">
        <f aca="false">IF(D115=0,(8314.4621*C114*LN(H115/H114)/(-G$61*9.80665*G$65)),C114/D115*(1/(H115/H114)^(8314.4621*D115/(G$61*9.80665*G$65))-1))+E114</f>
        <v>493372.671046553</v>
      </c>
      <c r="F115" s="57" t="n">
        <f aca="false">G$31*E115/(G$31-E115)</f>
        <v>497463.250591416</v>
      </c>
      <c r="G115" s="57" t="n">
        <f aca="false">8314.4621*C115/(G$65*G$61*9.80665)</f>
        <v>76263.3309822406</v>
      </c>
      <c r="H115" s="60" t="n">
        <f aca="false">10^B115*101325</f>
        <v>218298.094967481</v>
      </c>
      <c r="I115" s="60" t="n">
        <f aca="false">H115/(8314.4621/G$65*C115)</f>
        <v>0.364733097329771</v>
      </c>
      <c r="J115" s="57" t="n">
        <f aca="false">SQRT(8314.4621/G$65*G$67*C115)</f>
        <v>931.86958797704</v>
      </c>
      <c r="K115" s="57" t="n">
        <f aca="false">IF(F$18&gt;0,SQRT(2*G$60/(F$18+N115)),10000)</f>
        <v>9640.49508368049</v>
      </c>
      <c r="L115" s="60" t="n">
        <f aca="false">I115*K115^2/2</f>
        <v>16948991.1931245</v>
      </c>
      <c r="M115" s="60" t="n">
        <f aca="false">I115*K115^3/2</f>
        <v>163396666270.661</v>
      </c>
      <c r="N115" s="57" t="n">
        <f aca="false">20000+(F115-F$113)*IF(G$88&gt;0,G$88,0.5)</f>
        <v>79849.4071854858</v>
      </c>
      <c r="O115" s="57" t="n">
        <f aca="false">C115-P115*(G$75+(G$74-G$75)*COS(RADIANS(38)))/2</f>
        <v>158.341424787511</v>
      </c>
      <c r="P115" s="82" t="n">
        <v>0</v>
      </c>
      <c r="Q115" s="9" t="str">
        <f aca="false">IF(M115/1000&gt;L$104,"|",IF(M114/1000&gt;L$104,"V",""))</f>
        <v>|</v>
      </c>
    </row>
    <row r="116" customFormat="false" ht="15.75" hidden="false" customHeight="false" outlineLevel="0" collapsed="false">
      <c r="A116" s="31"/>
      <c r="B116" s="58" t="n">
        <v>0</v>
      </c>
      <c r="C116" s="61" t="n">
        <f aca="false">G$73+(C$119-G$73)*0.96</f>
        <v>134.222933690153</v>
      </c>
      <c r="D116" s="60" t="n">
        <f aca="false">(C116-C115)/(E116-E115)</f>
        <v>-0.000447022926189755</v>
      </c>
      <c r="E116" s="57" t="n">
        <f aca="false">IF(D116=0,(8314.4621*C115*LN(H116/H115)/(-G$61*9.80665*G$65)),C115/D116*(1/(H116/H115)^(8314.4621*D116/(G$61*9.80665*G$65))-1))+E115</f>
        <v>547326.259742629</v>
      </c>
      <c r="F116" s="57" t="n">
        <f aca="false">G$31*E116/(G$31-E116)</f>
        <v>552364.990816569</v>
      </c>
      <c r="G116" s="57" t="n">
        <f aca="false">8314.4621*C116/(G$65*G$61*9.80665)</f>
        <v>64646.9363980789</v>
      </c>
      <c r="H116" s="60" t="n">
        <f aca="false">10^B116*101325</f>
        <v>101325</v>
      </c>
      <c r="I116" s="60" t="n">
        <f aca="false">H116/(8314.4621/G$65*C116)</f>
        <v>0.199714530164624</v>
      </c>
      <c r="J116" s="57" t="n">
        <f aca="false">SQRT(8314.4621/G$65*G$67*C116)</f>
        <v>857.968271970412</v>
      </c>
      <c r="K116" s="57" t="n">
        <f aca="false">IF(F$18&gt;0,SQRT(2*G$60/(F$18+N116)),10000)</f>
        <v>9622.47881277079</v>
      </c>
      <c r="L116" s="60" t="n">
        <f aca="false">I116*K116^2/2</f>
        <v>9245993.724664</v>
      </c>
      <c r="M116" s="60" t="n">
        <f aca="false">I116*K116^3/2</f>
        <v>88969378718.5911</v>
      </c>
      <c r="N116" s="57" t="n">
        <f aca="false">20000+(F116-F$113)*IF(G$88&gt;0,G$88,0.5)</f>
        <v>102637.455683385</v>
      </c>
      <c r="O116" s="57" t="n">
        <f aca="false">C116-P116*(G$75+(G$74-G$75)*COS(RADIANS(38)))/2</f>
        <v>134.222933690153</v>
      </c>
      <c r="P116" s="82" t="n">
        <v>0</v>
      </c>
      <c r="Q116" s="9" t="str">
        <f aca="false">IF(M116/1000&gt;L$104,"|",IF(M115/1000&gt;L$104,"V",""))</f>
        <v>|</v>
      </c>
    </row>
    <row r="117" customFormat="false" ht="15.75" hidden="false" customHeight="false" outlineLevel="0" collapsed="false">
      <c r="A117" s="31"/>
      <c r="B117" s="58" t="n">
        <f aca="false">B116-1/3</f>
        <v>-0.333333333333333</v>
      </c>
      <c r="C117" s="61" t="n">
        <f aca="false">G$73+(C$119-G$73)*0.984</f>
        <v>118.578507032406</v>
      </c>
      <c r="D117" s="60" t="n">
        <f aca="false">(C117-C116)/(E117-E116)</f>
        <v>-0.000335235320035228</v>
      </c>
      <c r="E117" s="57" t="n">
        <f aca="false">IF(D117=0,(8314.4621*C116*LN(H117/H116)/(-G$61*9.80665*G$65)),C116/D117*(1/(H117/H116)^(8314.4621*D117/(G$61*9.80665*G$65))-1))+E116</f>
        <v>593993.259675996</v>
      </c>
      <c r="F117" s="57" t="n">
        <f aca="false">G$31*E117/(G$31-E117)</f>
        <v>599932.524270615</v>
      </c>
      <c r="G117" s="57" t="n">
        <f aca="false">8314.4621*C117/(G$65*G$61*9.80665)</f>
        <v>57111.9777488929</v>
      </c>
      <c r="H117" s="60" t="n">
        <f aca="false">10^B117*101325</f>
        <v>47030.8988565815</v>
      </c>
      <c r="I117" s="60" t="n">
        <f aca="false">H117/(8314.4621/G$65*C117)</f>
        <v>0.104929373174794</v>
      </c>
      <c r="J117" s="57" t="n">
        <f aca="false">SQRT(8314.4621/G$65*G$67*C117)</f>
        <v>806.419188864787</v>
      </c>
      <c r="K117" s="57" t="n">
        <f aca="false">IF(F$18&gt;0,SQRT(2*G$60/(F$18+N117)),10000)</f>
        <v>9606.95069521298</v>
      </c>
      <c r="L117" s="60" t="n">
        <f aca="false">I117*K117^2/2</f>
        <v>4842149.6386586</v>
      </c>
      <c r="M117" s="60" t="n">
        <f aca="false">I117*K117^3/2</f>
        <v>46518292837.4365</v>
      </c>
      <c r="N117" s="57" t="n">
        <f aca="false">20000+(F117-F$113)*IF(G$88&gt;0,G$88,0.5)</f>
        <v>122381.297223396</v>
      </c>
      <c r="O117" s="57" t="n">
        <f aca="false">C117-P117*(G$75+(G$74-G$75)*COS(RADIANS(38)))/2</f>
        <v>118.474705957046</v>
      </c>
      <c r="P117" s="82" t="n">
        <v>0.05</v>
      </c>
      <c r="Q117" s="9" t="str">
        <f aca="false">IF(M117/1000&gt;L$104,"|",IF(M116/1000&gt;L$104,"V",""))</f>
        <v>|</v>
      </c>
    </row>
    <row r="118" customFormat="false" ht="15.75" hidden="false" customHeight="false" outlineLevel="0" collapsed="false">
      <c r="A118" s="31"/>
      <c r="B118" s="58" t="n">
        <f aca="false">B117-1/3</f>
        <v>-0.666666666666667</v>
      </c>
      <c r="C118" s="61" t="n">
        <f aca="false">G$73+(C$119-G$73)*0.997</f>
        <v>110.104442592794</v>
      </c>
      <c r="D118" s="60" t="n">
        <f aca="false">(C118-C117)/(E118-E117)</f>
        <v>-0.000200572421710778</v>
      </c>
      <c r="E118" s="57" t="n">
        <f aca="false">IF(D118=0,(8314.4621*C117*LN(H118/H117)/(-G$61*9.80665*G$65)),C117/D118*(1/(H118/H117)^(8314.4621*D118/(G$61*9.80665*G$65))-1))+E117</f>
        <v>636242.65950541</v>
      </c>
      <c r="F118" s="57" t="n">
        <f aca="false">G$31*E118/(G$31-E118)</f>
        <v>643061.714428984</v>
      </c>
      <c r="G118" s="57" t="n">
        <f aca="false">8314.4621*C118/(G$65*G$61*9.80665)</f>
        <v>53030.5418139172</v>
      </c>
      <c r="H118" s="60" t="n">
        <f aca="false">10^B118*101325</f>
        <v>21829.8094967481</v>
      </c>
      <c r="I118" s="60" t="n">
        <f aca="false">H118/(8314.4621/G$65*C118)</f>
        <v>0.0524523415571406</v>
      </c>
      <c r="J118" s="57" t="n">
        <f aca="false">SQRT(8314.4621/G$65*G$67*C118)</f>
        <v>777.070255780835</v>
      </c>
      <c r="K118" s="57" t="n">
        <f aca="false">IF(F$18&gt;0,SQRT(2*G$60/(F$18+N118)),10000)</f>
        <v>9592.93623423888</v>
      </c>
      <c r="L118" s="60" t="n">
        <f aca="false">I118*K118^2/2</f>
        <v>2413448.30143262</v>
      </c>
      <c r="M118" s="60" t="n">
        <f aca="false">I118*K118^3/2</f>
        <v>23152055660.2753</v>
      </c>
      <c r="N118" s="57" t="n">
        <f aca="false">20000+(F118-F$113)*IF(G$88&gt;0,G$88,0.5)</f>
        <v>140282.916971211</v>
      </c>
      <c r="O118" s="57" t="n">
        <f aca="false">C118-P118*(G$75+(G$74-G$75)*COS(RADIANS(38)))/2</f>
        <v>109.689238291351</v>
      </c>
      <c r="P118" s="82" t="n">
        <v>0.2</v>
      </c>
      <c r="Q118" s="9" t="str">
        <f aca="false">IF(M118/1000&gt;L$104,"|",IF(M117/1000&gt;L$104,"V",""))</f>
        <v>|</v>
      </c>
    </row>
    <row r="119" s="1" customFormat="true" ht="15.75" hidden="false" customHeight="false" outlineLevel="0" collapsed="false">
      <c r="B119" s="58" t="n">
        <f aca="false">B118-1/3</f>
        <v>-1</v>
      </c>
      <c r="C119" s="61" t="n">
        <f aca="false">1.05*G64</f>
        <v>108.148889260576</v>
      </c>
      <c r="D119" s="60" t="n">
        <f aca="false">(C119-C118)/(E119-E118)</f>
        <v>-4.84768893771501E-005</v>
      </c>
      <c r="E119" s="57" t="n">
        <f aca="false">IF(D119=0,(8314.4621*C118*LN(H119/H118)/(-G$61*9.80665*G$65)),C118/D119*(1/(H119/H118)^(8314.4621*D119/(G$61*9.80665*G$65))-1))+E118</f>
        <v>676582.569044657</v>
      </c>
      <c r="F119" s="57" t="n">
        <f aca="false">G$31*E119/(G$31-E119)</f>
        <v>684298.981762583</v>
      </c>
      <c r="G119" s="57" t="n">
        <f aca="false">8314.4621*C119/(G$65*G$61*9.80665)</f>
        <v>52088.671982769</v>
      </c>
      <c r="H119" s="60" t="n">
        <f aca="false">10^B119*101325</f>
        <v>10132.5</v>
      </c>
      <c r="I119" s="60" t="n">
        <f aca="false">H119/(8314.4621/G$65*C119)</f>
        <v>0.0247864497939122</v>
      </c>
      <c r="J119" s="57" t="n">
        <f aca="false">SQRT(8314.4621/G$65*G$67*C119)</f>
        <v>770.138608613393</v>
      </c>
      <c r="K119" s="57" t="n">
        <f aca="false">IF(F$18&gt;0,SQRT(2*G$60/(F$18+N119)),10000)</f>
        <v>9579.59373219942</v>
      </c>
      <c r="L119" s="60" t="n">
        <f aca="false">I119*K119^2/2</f>
        <v>1137309.09748743</v>
      </c>
      <c r="M119" s="60" t="n">
        <f aca="false">I119*K119^3/2</f>
        <v>10894959101.864</v>
      </c>
      <c r="N119" s="57" t="n">
        <f aca="false">20000+(F119-F$113)*IF(G$88&gt;0,G$88,0.5)</f>
        <v>157399.256891678</v>
      </c>
      <c r="O119" s="57" t="n">
        <f aca="false">C119-P119*(G$75+(G$74-G$75)*COS(RADIANS(38)))/2</f>
        <v>107.26658012001</v>
      </c>
      <c r="P119" s="82" t="n">
        <v>0.425</v>
      </c>
      <c r="Q119" s="9" t="str">
        <f aca="false">IF(M119/1000&gt;L$104,"|",IF(M118/1000&gt;L$104,"V",""))</f>
        <v>|</v>
      </c>
    </row>
    <row r="120" customFormat="false" ht="15.75" hidden="false" customHeight="false" outlineLevel="0" collapsed="false">
      <c r="B120" s="58" t="n">
        <f aca="false">B119-1/3</f>
        <v>-1.33333333333333</v>
      </c>
      <c r="C120" s="61" t="n">
        <f aca="false">1.05*G64</f>
        <v>108.148889260576</v>
      </c>
      <c r="D120" s="60" t="n">
        <f aca="false">(C120-C119)/(E120-E119)</f>
        <v>0</v>
      </c>
      <c r="E120" s="57" t="n">
        <f aca="false">IF(D120=0,(8314.4621*C119*LN(H120/H119)/(-G$61*9.80665*G$65)),C119/D120*(1/(H120/H119)^(8314.4621*D120/(G$61*9.80665*G$65))-1))+E119</f>
        <v>716562.102251784</v>
      </c>
      <c r="F120" s="57" t="n">
        <f aca="false">G$31*E120/(G$31-E120)</f>
        <v>725223.226919842</v>
      </c>
      <c r="G120" s="57" t="n">
        <f aca="false">8314.4621*C120/(G$65*G$61*9.80665)</f>
        <v>52088.671982769</v>
      </c>
      <c r="H120" s="60" t="n">
        <f aca="false">10^B120*101325</f>
        <v>4703.08988565815</v>
      </c>
      <c r="I120" s="60" t="n">
        <f aca="false">H120/(8314.4621/G$65*C120)</f>
        <v>0.0115048508588327</v>
      </c>
      <c r="J120" s="57" t="n">
        <f aca="false">SQRT(8314.4621/G$65*G$67*C120)</f>
        <v>770.138608613393</v>
      </c>
      <c r="K120" s="57" t="n">
        <f aca="false">IF(F$18&gt;0,SQRT(2*G$60/(F$18+N120)),10000)</f>
        <v>9566.40739883623</v>
      </c>
      <c r="L120" s="60" t="n">
        <f aca="false">I120*K120^2/2</f>
        <v>526439.831456467</v>
      </c>
      <c r="M120" s="60" t="n">
        <f aca="false">I120*K120^3/2</f>
        <v>5036137898.68724</v>
      </c>
      <c r="N120" s="57" t="n">
        <f aca="false">20000+(F120-F$113)*IF(G$88&gt;0,G$88,0.5)</f>
        <v>174385.670793295</v>
      </c>
      <c r="O120" s="57" t="n">
        <f aca="false">C120-P120*(G$75+(G$74-G$75)*COS(RADIANS(38)))/2</f>
        <v>106.799475280887</v>
      </c>
      <c r="P120" s="82" t="n">
        <v>0.65</v>
      </c>
      <c r="Q120" s="9" t="str">
        <f aca="false">IF(M120/1000&gt;L$104,"|",IF(M119/1000&gt;L$104,"V",""))</f>
        <v>|</v>
      </c>
    </row>
    <row r="121" customFormat="false" ht="15.75" hidden="false" customHeight="false" outlineLevel="0" collapsed="false">
      <c r="B121" s="58" t="n">
        <f aca="false">B120-1/3</f>
        <v>-1.66666666666667</v>
      </c>
      <c r="C121" s="61" t="n">
        <f aca="false">C$120+(C$127-C$120)*0.085</f>
        <v>112.258688714926</v>
      </c>
      <c r="D121" s="60" t="n">
        <f aca="false">(C121-C120)/(E121-E120)</f>
        <v>0.000100892477896032</v>
      </c>
      <c r="E121" s="57" t="n">
        <f aca="false">IF(D121=0,(8314.4621*C120*LN(H121/H120)/(-G$61*9.80665*G$65)),C120/D121*(1/(H121/H120)^(8314.4621*D121/(G$61*9.80665*G$65))-1))+E120</f>
        <v>757296.55084552</v>
      </c>
      <c r="F121" s="57" t="n">
        <f aca="false">G$31*E121/(G$31-E121)</f>
        <v>766977.035234871</v>
      </c>
      <c r="G121" s="57" t="n">
        <f aca="false">8314.4621*C121/(G$65*G$61*9.80665)</f>
        <v>54068.1097482076</v>
      </c>
      <c r="H121" s="60" t="n">
        <f aca="false">10^B121*101325</f>
        <v>2182.98094967481</v>
      </c>
      <c r="I121" s="60" t="n">
        <f aca="false">H121/(8314.4621/G$65*C121)</f>
        <v>0.00514457802415781</v>
      </c>
      <c r="J121" s="57" t="n">
        <f aca="false">SQRT(8314.4621/G$65*G$67*C121)</f>
        <v>784.635307319695</v>
      </c>
      <c r="K121" s="57" t="n">
        <f aca="false">IF(F$18&gt;0,SQRT(2*G$60/(F$18+N121)),10000)</f>
        <v>9553.00973254112</v>
      </c>
      <c r="L121" s="60" t="n">
        <f aca="false">I121*K121^2/2</f>
        <v>234747.082252326</v>
      </c>
      <c r="M121" s="60" t="n">
        <f aca="false">I121*K121^3/2</f>
        <v>2242541161.4421</v>
      </c>
      <c r="N121" s="57" t="n">
        <f aca="false">20000+(F121-F$113)*IF(G$88&gt;0,G$88,0.5)</f>
        <v>191716.411220699</v>
      </c>
      <c r="O121" s="57" t="n">
        <f aca="false">C121-P121*(G$75+(G$74-G$75)*COS(RADIANS(38)))/2</f>
        <v>110.494070433795</v>
      </c>
      <c r="P121" s="82" t="n">
        <v>0.85</v>
      </c>
      <c r="Q121" s="9" t="str">
        <f aca="false">IF(M121/1000&gt;L$104,"|",IF(M120/1000&gt;L$104,"V",""))</f>
        <v>|</v>
      </c>
    </row>
    <row r="122" customFormat="false" ht="15.75" hidden="false" customHeight="false" outlineLevel="0" collapsed="false">
      <c r="B122" s="58" t="n">
        <f aca="false">B121-1/3</f>
        <v>-2</v>
      </c>
      <c r="C122" s="61" t="n">
        <f aca="false">C$120+(C$127-C$120)*0.253</f>
        <v>120.381586459995</v>
      </c>
      <c r="D122" s="60" t="n">
        <f aca="false">(C122-C121)/(E122-E121)</f>
        <v>0.000188980504736405</v>
      </c>
      <c r="E122" s="57" t="n">
        <f aca="false">IF(D122=0,(8314.4621*C121*LN(H122/H121)/(-G$61*9.80665*G$65)),C121/D122*(1/(H122/H121)^(8314.4621*D122/(G$61*9.80665*G$65))-1))+E121</f>
        <v>800279.279441781</v>
      </c>
      <c r="F122" s="57" t="n">
        <f aca="false">G$31*E122/(G$31-E122)</f>
        <v>811097.690699614</v>
      </c>
      <c r="G122" s="57" t="n">
        <f aca="false">8314.4621*C122/(G$65*G$61*9.80665)</f>
        <v>57980.4102728394</v>
      </c>
      <c r="H122" s="60" t="n">
        <f aca="false">10^B122*101325</f>
        <v>1013.25</v>
      </c>
      <c r="I122" s="60" t="n">
        <f aca="false">H122/(8314.4621/G$65*C122)</f>
        <v>0.00222677495184485</v>
      </c>
      <c r="J122" s="57" t="n">
        <f aca="false">SQRT(8314.4621/G$65*G$67*C122)</f>
        <v>812.52717617186</v>
      </c>
      <c r="K122" s="57" t="n">
        <f aca="false">IF(F$18&gt;0,SQRT(2*G$60/(F$18+N122)),10000)</f>
        <v>9538.91359684677</v>
      </c>
      <c r="L122" s="60" t="n">
        <f aca="false">I122*K122^2/2</f>
        <v>101308.097985121</v>
      </c>
      <c r="M122" s="60" t="n">
        <f aca="false">I122*K122^3/2</f>
        <v>966369193.340952</v>
      </c>
      <c r="N122" s="57" t="n">
        <f aca="false">20000+(F122-F$113)*IF(G$88&gt;0,G$88,0.5)</f>
        <v>210029.558169528</v>
      </c>
      <c r="O122" s="57" t="n">
        <f aca="false">C122-P122*(G$75+(G$74-G$75)*COS(RADIANS(38)))/2</f>
        <v>118.305564952782</v>
      </c>
      <c r="P122" s="82" t="n">
        <v>1</v>
      </c>
      <c r="Q122" s="9" t="str">
        <f aca="false">IF(M122/1000&gt;L$104,"|",IF(M121/1000&gt;L$104,"V",""))</f>
        <v>|</v>
      </c>
    </row>
    <row r="123" customFormat="false" ht="15.75" hidden="false" customHeight="false" outlineLevel="0" collapsed="false">
      <c r="B123" s="58" t="n">
        <f aca="false">B122-1/3</f>
        <v>-2.33333333333333</v>
      </c>
      <c r="C123" s="61" t="n">
        <f aca="false">C$120+(C$127-C$120)*0.467</f>
        <v>130.728610968596</v>
      </c>
      <c r="D123" s="60" t="n">
        <f aca="false">(C123-C122)/(E123-E122)</f>
        <v>0.000223054731428969</v>
      </c>
      <c r="E123" s="57" t="n">
        <f aca="false">IF(D123=0,(8314.4621*C122*LN(H123/H122)/(-G$61*9.80665*G$65)),C122/D123*(1/(H123/H122)^(8314.4621*D123/(G$61*9.80665*G$65))-1))+E122</f>
        <v>846667.107408099</v>
      </c>
      <c r="F123" s="57" t="n">
        <f aca="false">G$31*E123/(G$31-E123)</f>
        <v>858785.531775977</v>
      </c>
      <c r="G123" s="57" t="n">
        <f aca="false">8314.4621*C123/(G$65*G$61*9.80665)</f>
        <v>62963.9359411203</v>
      </c>
      <c r="H123" s="60" t="n">
        <f aca="false">10^B123*101325</f>
        <v>470.308988565815</v>
      </c>
      <c r="I123" s="60" t="n">
        <f aca="false">H123/(8314.4621/G$65*C123)</f>
        <v>0.00095177087270531</v>
      </c>
      <c r="J123" s="57" t="n">
        <f aca="false">SQRT(8314.4621/G$65*G$67*C123)</f>
        <v>846.726569316655</v>
      </c>
      <c r="K123" s="57" t="n">
        <f aca="false">IF(F$18&gt;0,SQRT(2*G$60/(F$18+N123)),10000)</f>
        <v>9523.74772951013</v>
      </c>
      <c r="L123" s="60" t="n">
        <f aca="false">I123*K123^2/2</f>
        <v>43163.6517824211</v>
      </c>
      <c r="M123" s="60" t="n">
        <f aca="false">I123*K123^3/2</f>
        <v>411079730.660199</v>
      </c>
      <c r="N123" s="57" t="n">
        <f aca="false">20000+(F123-F$113)*IF(G$88&gt;0,G$88,0.5)</f>
        <v>229823.335757481</v>
      </c>
      <c r="O123" s="57" t="n">
        <f aca="false">C123-P123*(G$75+(G$74-G$75)*COS(RADIANS(38)))/2</f>
        <v>128.460542804704</v>
      </c>
      <c r="P123" s="82" t="n">
        <f aca="false">IF(ROUND(N123,-3)&lt;G$89,2-(G$89-N123)/(G$89-N$122),2)</f>
        <v>1.09250706508162</v>
      </c>
      <c r="Q123" s="9" t="str">
        <f aca="false">IF(M123/1000&gt;L$104,"|",IF(M122/1000&gt;L$104,"V",""))</f>
        <v>|</v>
      </c>
    </row>
    <row r="124" s="1" customFormat="true" ht="15.75" hidden="false" customHeight="false" outlineLevel="0" collapsed="false">
      <c r="B124" s="58" t="n">
        <f aca="false">B123-1/3</f>
        <v>-2.66666666666667</v>
      </c>
      <c r="C124" s="61" t="n">
        <f aca="false">C$120+(C$127-C$120)*0.685</f>
        <v>141.26903780446</v>
      </c>
      <c r="D124" s="60" t="n">
        <f aca="false">(C124-C123)/(E124-E123)</f>
        <v>0.000209761086821817</v>
      </c>
      <c r="E124" s="57" t="n">
        <f aca="false">IF(D124=0,(8314.4621*C123*LN(H124/H123)/(-G$61*9.80665*G$65)),C123/D124*(1/(H124/H123)^(8314.4621*D124/(G$61*9.80665*G$65))-1))+E123</f>
        <v>896916.784293199</v>
      </c>
      <c r="F124" s="57" t="n">
        <f aca="false">G$31*E124/(G$31-E124)</f>
        <v>910527.91376695</v>
      </c>
      <c r="G124" s="57" t="n">
        <f aca="false">8314.4621*C124/(G$65*G$61*9.80665)</f>
        <v>68040.6116218925</v>
      </c>
      <c r="H124" s="60" t="n">
        <f aca="false">10^B124*101325</f>
        <v>218.298094967481</v>
      </c>
      <c r="I124" s="60" t="n">
        <f aca="false">H124/(8314.4621/G$65*C124)</f>
        <v>0.000408811153497748</v>
      </c>
      <c r="J124" s="57" t="n">
        <f aca="false">SQRT(8314.4621/G$65*G$67*C124)</f>
        <v>880.199987143939</v>
      </c>
      <c r="K124" s="57" t="n">
        <f aca="false">IF(F$18&gt;0,SQRT(2*G$60/(F$18+N124)),10000)</f>
        <v>9507.37396731079</v>
      </c>
      <c r="L124" s="60" t="n">
        <f aca="false">I124*K124^2/2</f>
        <v>18476.2527370003</v>
      </c>
      <c r="M124" s="60" t="n">
        <f aca="false">I124*K124^3/2</f>
        <v>175660644.285212</v>
      </c>
      <c r="N124" s="57" t="n">
        <f aca="false">20000+(F124-F$113)*IF(G$88&gt;0,G$88,0.5)</f>
        <v>251300.030400885</v>
      </c>
      <c r="O124" s="57" t="n">
        <f aca="false">C124-P124*(G$75+(G$74-G$75)*COS(RADIANS(38)))/2</f>
        <v>138.792594691195</v>
      </c>
      <c r="P124" s="82" t="n">
        <f aca="false">IF(ROUND(N124,-3)&lt;G$89,2-(G$89-N124)/(G$89-N$122),2)</f>
        <v>1.1928793149105</v>
      </c>
      <c r="Q124" s="9" t="str">
        <f aca="false">IF(M124/1000&gt;L$104,"|",IF(M123/1000&gt;L$104,"V",""))</f>
        <v>|</v>
      </c>
    </row>
    <row r="125" s="1" customFormat="true" ht="15.75" hidden="false" customHeight="false" outlineLevel="0" collapsed="false">
      <c r="B125" s="58" t="n">
        <f aca="false">B124-1/3</f>
        <v>-3</v>
      </c>
      <c r="C125" s="61" t="n">
        <f aca="false">C$120+(C$127-C$120)*0.871</f>
        <v>150.262246022215</v>
      </c>
      <c r="D125" s="60" t="n">
        <f aca="false">(C125-C124)/(E125-E124)</f>
        <v>0.000166948161184717</v>
      </c>
      <c r="E125" s="57" t="n">
        <f aca="false">IF(D125=0,(8314.4621*C124*LN(H125/H124)/(-G$61*9.80665*G$65)),C124/D125*(1/(H125/H124)^(8314.4621*D125/(G$61*9.80665*G$65))-1))+E124</f>
        <v>950785.051867617</v>
      </c>
      <c r="F125" s="57" t="n">
        <f aca="false">G$31*E125/(G$31-E125)</f>
        <v>966094.183676549</v>
      </c>
      <c r="G125" s="57" t="n">
        <f aca="false">8314.4621*C125/(G$65*G$61*9.80665)</f>
        <v>72372.0872027348</v>
      </c>
      <c r="H125" s="60" t="n">
        <f aca="false">10^B125*101325</f>
        <v>101.325</v>
      </c>
      <c r="I125" s="60" t="n">
        <f aca="false">H125/(8314.4621/G$65*C125)</f>
        <v>0.000178396575646042</v>
      </c>
      <c r="J125" s="57" t="n">
        <f aca="false">SQRT(8314.4621/G$65*G$67*C125)</f>
        <v>907.784582073083</v>
      </c>
      <c r="K125" s="57" t="n">
        <f aca="false">IF(F$18&gt;0,SQRT(2*G$60/(F$18+N125)),10000)</f>
        <v>9489.88384677936</v>
      </c>
      <c r="L125" s="60" t="n">
        <f aca="false">I125*K125^2/2</f>
        <v>8033.01007688714</v>
      </c>
      <c r="M125" s="60" t="n">
        <f aca="false">I125*K125^3/2</f>
        <v>76232332.5696671</v>
      </c>
      <c r="N125" s="57" t="n">
        <f aca="false">20000+(F125-F$113)*IF(G$88&gt;0,G$88,0.5)</f>
        <v>274363.90503135</v>
      </c>
      <c r="O125" s="57" t="n">
        <f aca="false">C125-P125*(G$75+(G$74-G$75)*COS(RADIANS(38)))/2</f>
        <v>147.562028543842</v>
      </c>
      <c r="P125" s="82" t="n">
        <f aca="false">IF(ROUND(N125,-3)&lt;G$89,2-(G$89-N125)/(G$89-N$122),2)</f>
        <v>1.30066931820795</v>
      </c>
      <c r="Q125" s="9" t="str">
        <f aca="false">IF(M125/1000&gt;L$104,"|",IF(M124/1000&gt;L$104,"V",""))</f>
        <v>|</v>
      </c>
    </row>
    <row r="126" s="1" customFormat="true" ht="15.75" hidden="false" customHeight="false" outlineLevel="0" collapsed="false">
      <c r="B126" s="58" t="n">
        <f aca="false">B125-1/3</f>
        <v>-3.33333333333333</v>
      </c>
      <c r="C126" s="61" t="n">
        <f aca="false">C$120+(C$127-C$120)*0.983</f>
        <v>155.677511185594</v>
      </c>
      <c r="D126" s="60" t="n">
        <f aca="false">(C126-C125)/(E126-E125)</f>
        <v>9.5773092536232E-005</v>
      </c>
      <c r="E126" s="57" t="n">
        <f aca="false">IF(D126=0,(8314.4621*C125*LN(H126/H125)/(-G$61*9.80665*G$65)),C125/D126*(1/(H126/H125)^(8314.4621*D126/(G$61*9.80665*G$65))-1))+E125</f>
        <v>1007327.70930902</v>
      </c>
      <c r="F126" s="57" t="n">
        <f aca="false">G$31*E126/(G$31-E126)</f>
        <v>1024528.30515491</v>
      </c>
      <c r="G126" s="57" t="n">
        <f aca="false">8314.4621*C126/(G$65*G$61*9.80665)</f>
        <v>74980.2875524893</v>
      </c>
      <c r="H126" s="60" t="n">
        <f aca="false">10^B126*101325</f>
        <v>47.0308988565815</v>
      </c>
      <c r="I126" s="60" t="n">
        <f aca="false">H126/(8314.4621/G$65*C126)</f>
        <v>7.99239936465831E-005</v>
      </c>
      <c r="J126" s="57" t="n">
        <f aca="false">SQRT(8314.4621/G$65*G$67*C126)</f>
        <v>923.997517204293</v>
      </c>
      <c r="K126" s="57" t="n">
        <f aca="false">IF(F$18&gt;0,SQRT(2*G$60/(F$18+N126)),10000)</f>
        <v>9471.5947668793</v>
      </c>
      <c r="L126" s="60" t="n">
        <f aca="false">I126*K126^2/2</f>
        <v>3585.03499005072</v>
      </c>
      <c r="M126" s="60" t="n">
        <f aca="false">I126*K126^3/2</f>
        <v>33955998.6508436</v>
      </c>
      <c r="N126" s="57" t="n">
        <f aca="false">20000+(F126-F$113)*IF(G$88&gt;0,G$88,0.5)</f>
        <v>298618.137933991</v>
      </c>
      <c r="O126" s="57" t="n">
        <f aca="false">C126-P126*(G$75+(G$74-G$75)*COS(RADIANS(38)))/2</f>
        <v>152.741970039541</v>
      </c>
      <c r="P126" s="82" t="n">
        <f aca="false">IF(ROUND(N126,-3)&lt;G$89,2-(G$89-N126)/(G$89-N$122),2)</f>
        <v>1.41402251173857</v>
      </c>
      <c r="Q126" s="9" t="str">
        <f aca="false">IF(M126/1000&gt;L$104,"|",IF(M125/1000&gt;L$104,"V",""))</f>
        <v>|</v>
      </c>
    </row>
    <row r="127" s="1" customFormat="true" ht="15.75" hidden="false" customHeight="false" outlineLevel="0" collapsed="false">
      <c r="B127" s="58" t="n">
        <f aca="false">B126-1/3</f>
        <v>-3.66666666666667</v>
      </c>
      <c r="C127" s="61" t="n">
        <f aca="false">IF(G64&gt;140,1.25*G64,IF(G64&gt;42,0.5*G64+105,3*G64))</f>
        <v>156.499471076465</v>
      </c>
      <c r="D127" s="60" t="n">
        <f aca="false">(C127-C126)/(E127-E126)</f>
        <v>1.4245086519034E-005</v>
      </c>
      <c r="E127" s="57" t="n">
        <f aca="false">IF(D127=0,(8314.4621*C126*LN(H127/H126)/(-G$61*9.80665*G$65)),C126/D127*(1/(H127/H126)^(8314.4621*D127/(G$61*9.80665*G$65))-1))+E126</f>
        <v>1065029.00089274</v>
      </c>
      <c r="F127" s="57" t="n">
        <f aca="false">G$31*E127/(G$31-E127)</f>
        <v>1084275.41356612</v>
      </c>
      <c r="G127" s="57" t="n">
        <f aca="false">8314.4621*C127/(G$65*G$61*9.80665)</f>
        <v>75376.175105577</v>
      </c>
      <c r="H127" s="60" t="n">
        <f aca="false">10^B127*101325</f>
        <v>21.829809496748</v>
      </c>
      <c r="I127" s="60" t="n">
        <f aca="false">H127/(8314.4621/G$65*C127)</f>
        <v>3.69025900861611E-005</v>
      </c>
      <c r="J127" s="57" t="n">
        <f aca="false">SQRT(8314.4621/G$65*G$67*C127)</f>
        <v>926.433607768435</v>
      </c>
      <c r="K127" s="57" t="n">
        <f aca="false">IF(F$18&gt;0,SQRT(2*G$60/(F$18+N127)),10000)</f>
        <v>9453.00364427834</v>
      </c>
      <c r="L127" s="60" t="n">
        <f aca="false">I127*K127^2/2</f>
        <v>1648.79440134627</v>
      </c>
      <c r="M127" s="60" t="n">
        <f aca="false">I127*K127^3/2</f>
        <v>15586059.484592</v>
      </c>
      <c r="N127" s="57" t="n">
        <f aca="false">20000+(F127-F$113)*IF(G$88&gt;0,G$88,0.5)</f>
        <v>323417.351920654</v>
      </c>
      <c r="O127" s="57" t="n">
        <f aca="false">C127-P127*(G$75+(G$74-G$75)*COS(RADIANS(38)))/2</f>
        <v>153.323318651779</v>
      </c>
      <c r="P127" s="82" t="n">
        <f aca="false">IF(ROUND(N127,-3)&lt;G$89,2-(G$89-N127)/(G$89-N$122),2)</f>
        <v>1.52992269764514</v>
      </c>
      <c r="Q127" s="9" t="str">
        <f aca="false">IF(M127/1000&gt;L$104,"|",IF(M126/1000&gt;L$104,"V",""))</f>
        <v>|</v>
      </c>
    </row>
    <row r="128" s="1" customFormat="true" ht="15.75" hidden="false" customHeight="false" outlineLevel="0" collapsed="false">
      <c r="B128" s="58" t="n">
        <f aca="false">B127-1/3</f>
        <v>-4</v>
      </c>
      <c r="C128" s="61" t="n">
        <f aca="false">IF(G64&gt;140,1.25*G64,IF(G64&gt;42,0.5*G64+105,3*G64))</f>
        <v>156.499471076465</v>
      </c>
      <c r="D128" s="60" t="n">
        <f aca="false">(C128-C127)/(E128-E127)</f>
        <v>0</v>
      </c>
      <c r="E128" s="57" t="n">
        <f aca="false">IF(D128=0,(8314.4621*C127*LN(H128/H127)/(-G$61*9.80665*G$65)),C127/D128*(1/(H128/H127)^(8314.4621*D128/(G$61*9.80665*G$65))-1))+E127</f>
        <v>1122882.35328107</v>
      </c>
      <c r="F128" s="57" t="n">
        <f aca="false">G$31*E128/(G$31-E128)</f>
        <v>1144297.54528955</v>
      </c>
      <c r="G128" s="57" t="n">
        <f aca="false">8314.4621*C128/(G$65*G$61*9.80665)</f>
        <v>75376.175105577</v>
      </c>
      <c r="H128" s="60" t="n">
        <f aca="false">10^B128*101325</f>
        <v>10.1325</v>
      </c>
      <c r="I128" s="60" t="n">
        <f aca="false">H128/(8314.4621/G$65*C128)</f>
        <v>1.71286650075315E-005</v>
      </c>
      <c r="J128" s="57" t="n">
        <f aca="false">SQRT(8314.4621/G$65*G$67*C128)</f>
        <v>926.433607768435</v>
      </c>
      <c r="K128" s="57" t="n">
        <f aca="false">IF(F$18&gt;0,SQRT(2*G$60/(F$18+N128)),10000)</f>
        <v>9434.43674246856</v>
      </c>
      <c r="L128" s="60" t="n">
        <f aca="false">I128*K128^2/2</f>
        <v>762.299217383965</v>
      </c>
      <c r="M128" s="60" t="n">
        <f aca="false">I128*K128^3/2</f>
        <v>7191863.74524231</v>
      </c>
      <c r="N128" s="57" t="n">
        <f aca="false">20000+(F128-F$113)*IF(G$88&gt;0,G$88,0.5)</f>
        <v>348330.719749278</v>
      </c>
      <c r="O128" s="57" t="n">
        <f aca="false">C128-P128*(G$75+(G$74-G$75)*COS(RADIANS(38)))/2</f>
        <v>153.081599809743</v>
      </c>
      <c r="P128" s="82" t="n">
        <f aca="false">IF(ROUND(N128,-3)&lt;G$89,2-(G$89-N128)/(G$89-N$122),2)</f>
        <v>1.64635638640839</v>
      </c>
      <c r="Q128" s="9" t="str">
        <f aca="false">IF(M128/1000&gt;L$104,"|",IF(M127/1000&gt;L$104,"V",""))</f>
        <v>|</v>
      </c>
    </row>
    <row r="129" s="1" customFormat="true" ht="15.75" hidden="false" customHeight="false" outlineLevel="0" collapsed="false">
      <c r="B129" s="58" t="n">
        <f aca="false">B128-1/3</f>
        <v>-4.33333333333333</v>
      </c>
      <c r="C129" s="61" t="n">
        <f aca="false">IF(G64&gt;140,1.25*G64,IF(G64&gt;42,0.5*G64+105,3*G64))</f>
        <v>156.499471076465</v>
      </c>
      <c r="D129" s="60" t="n">
        <f aca="false">(C129-C128)/(E129-E128)</f>
        <v>0</v>
      </c>
      <c r="E129" s="57" t="n">
        <f aca="false">IF(D129=0,(8314.4621*C128*LN(H129/H128)/(-G$61*9.80665*G$65)),C128/D129*(1/(H129/H128)^(8314.4621*D129/(G$61*9.80665*G$65))-1))+E128</f>
        <v>1180735.70566941</v>
      </c>
      <c r="F129" s="57" t="n">
        <f aca="false">G$31*E129/(G$31-E129)</f>
        <v>1204437.74994637</v>
      </c>
      <c r="G129" s="57" t="n">
        <f aca="false">8314.4621*C129/(G$65*G$61*9.80665)</f>
        <v>75376.175105577</v>
      </c>
      <c r="H129" s="60" t="n">
        <f aca="false">10^B129*101325</f>
        <v>4.70308988565815</v>
      </c>
      <c r="I129" s="60" t="n">
        <f aca="false">H129/(8314.4621/G$65*C129)</f>
        <v>7.95042202336523E-006</v>
      </c>
      <c r="J129" s="57" t="n">
        <f aca="false">SQRT(8314.4621/G$65*G$67*C129)</f>
        <v>926.433607768435</v>
      </c>
      <c r="K129" s="57" t="n">
        <f aca="false">IF(F$18&gt;0,SQRT(2*G$60/(F$18+N129)),10000)</f>
        <v>9415.9426129815</v>
      </c>
      <c r="L129" s="60" t="n">
        <f aca="false">I129*K129^2/2</f>
        <v>352.442110072136</v>
      </c>
      <c r="M129" s="60" t="n">
        <f aca="false">I129*K129^3/2</f>
        <v>3318574.68283735</v>
      </c>
      <c r="N129" s="57" t="n">
        <f aca="false">20000+(F129-F$113)*IF(G$88&gt;0,G$88,0.5)</f>
        <v>373293.096074199</v>
      </c>
      <c r="O129" s="57" t="n">
        <f aca="false">C129-P129*(G$75+(G$74-G$75)*COS(RADIANS(38)))/2</f>
        <v>152.839405468887</v>
      </c>
      <c r="P129" s="82" t="n">
        <f aca="false">IF(ROUND(N129,-3)&lt;G$89,2-(G$89-N129)/(G$89-N$122),2)</f>
        <v>1.76301911847256</v>
      </c>
      <c r="Q129" s="9" t="str">
        <f aca="false">IF(M129/1000&gt;L$104,"|",IF(M128/1000&gt;L$104,"V",""))</f>
        <v>|</v>
      </c>
    </row>
    <row r="130" s="1" customFormat="true" ht="15.75" hidden="false" customHeight="false" outlineLevel="0" collapsed="false">
      <c r="B130" s="58" t="n">
        <f aca="false">B129-1/3</f>
        <v>-4.66666666666667</v>
      </c>
      <c r="C130" s="61" t="n">
        <f aca="false">IF(G64&gt;140,1.25*G64,IF(G64&gt;42,0.5*G64+105,3*G64))</f>
        <v>156.499471076465</v>
      </c>
      <c r="D130" s="60" t="n">
        <f aca="false">(C130-C129)/(E130-E129)</f>
        <v>0</v>
      </c>
      <c r="E130" s="57" t="n">
        <f aca="false">IF(D130=0,(8314.4621*C129*LN(H130/H129)/(-G$61*9.80665*G$65)),C129/D130*(1/(H130/H129)^(8314.4621*D130/(G$61*9.80665*G$65))-1))+E129</f>
        <v>1238589.05805775</v>
      </c>
      <c r="F130" s="57" t="n">
        <f aca="false">G$31*E130/(G$31-E130)</f>
        <v>1264696.37628154</v>
      </c>
      <c r="G130" s="57" t="n">
        <f aca="false">8314.4621*C130/(G$65*G$61*9.80665)</f>
        <v>75376.175105577</v>
      </c>
      <c r="H130" s="60" t="n">
        <f aca="false">10^B130*101325</f>
        <v>2.18298094967481</v>
      </c>
      <c r="I130" s="60" t="n">
        <f aca="false">H130/(8314.4621/G$65*C130)</f>
        <v>3.69025900861612E-006</v>
      </c>
      <c r="J130" s="57" t="n">
        <f aca="false">SQRT(8314.4621/G$65*G$67*C130)</f>
        <v>926.433607768435</v>
      </c>
      <c r="K130" s="57" t="n">
        <f aca="false">IF(F$18&gt;0,SQRT(2*G$60/(F$18+N130)),10000)</f>
        <v>9397.52072262592</v>
      </c>
      <c r="L130" s="60" t="n">
        <f aca="false">I130*K130^2/2</f>
        <v>162.949652091086</v>
      </c>
      <c r="M130" s="60" t="n">
        <f aca="false">I130*K130^3/2</f>
        <v>1531322.73227066</v>
      </c>
      <c r="N130" s="57" t="n">
        <f aca="false">20000+(F130-F$113)*IF(G$88&gt;0,G$88,0.5)</f>
        <v>398304.625648875</v>
      </c>
      <c r="O130" s="57" t="n">
        <f aca="false">C130-P130*(G$75+(G$74-G$75)*COS(RADIANS(38)))/2</f>
        <v>152.59673422476</v>
      </c>
      <c r="P130" s="82" t="n">
        <f aca="false">IF(ROUND(N130,-3)&lt;G$89,2-(G$89-N130)/(G$89-N$122),2)</f>
        <v>1.87991157034913</v>
      </c>
      <c r="Q130" s="9" t="str">
        <f aca="false">IF(M130/1000&gt;L$104,"|",IF(M129/1000&gt;L$104,"V",""))</f>
        <v>|</v>
      </c>
    </row>
    <row r="131" s="1" customFormat="true" ht="15.75" hidden="false" customHeight="false" outlineLevel="0" collapsed="false">
      <c r="B131" s="58" t="n">
        <f aca="false">B130-1/3</f>
        <v>-5</v>
      </c>
      <c r="C131" s="61" t="n">
        <f aca="false">C$130+(G$72-C$130)*0.004</f>
        <v>159.593473192159</v>
      </c>
      <c r="D131" s="60" t="n">
        <f aca="false">(C131-C130)/(E131-E130)</f>
        <v>5.29582975110384E-005</v>
      </c>
      <c r="E131" s="57" t="n">
        <f aca="false">IF(D131=0,(8314.4621*C130*LN(H131/H130)/(-G$61*9.80665*G$65)),C130/D131*(1/(H131/H130)^(8314.4621*D131/(G$61*9.80665*G$65))-1))+E130</f>
        <v>1297012.42627591</v>
      </c>
      <c r="F131" s="57" t="n">
        <f aca="false">G$31*E131/(G$31-E131)</f>
        <v>1325669.25114025</v>
      </c>
      <c r="G131" s="57" t="n">
        <f aca="false">8314.4621*C131/(G$65*G$61*9.80665)</f>
        <v>76866.365734628</v>
      </c>
      <c r="H131" s="60" t="n">
        <f aca="false">10^B131*101325</f>
        <v>1.01325</v>
      </c>
      <c r="I131" s="60" t="n">
        <f aca="false">H131/(8314.4621/G$65*C131)</f>
        <v>1.67965955017285E-006</v>
      </c>
      <c r="J131" s="57" t="n">
        <f aca="false">SQRT(8314.4621/G$65*G$67*C131)</f>
        <v>935.546605734579</v>
      </c>
      <c r="K131" s="57" t="n">
        <f aca="false">IF(F$18&gt;0,SQRT(2*G$60/(F$18+N131)),10000)</f>
        <v>9378.99009851345</v>
      </c>
      <c r="L131" s="60" t="n">
        <f aca="false">I131*K131^2/2</f>
        <v>73.8760085131105</v>
      </c>
      <c r="M131" s="60" t="n">
        <f aca="false">I131*K131^3/2</f>
        <v>692882.352362159</v>
      </c>
      <c r="N131" s="57" t="n">
        <f aca="false">20000+(F131-F$113)*IF(G$88&gt;0,G$88,0.5)</f>
        <v>423612.618139431</v>
      </c>
      <c r="O131" s="57" t="n">
        <f aca="false">C131-P131*(G$75+(G$74-G$75)*COS(RADIANS(38)))/2</f>
        <v>155.441430177732</v>
      </c>
      <c r="P131" s="82" t="n">
        <f aca="false">IF(ROUND(N131,-3)&lt;G$89,2-(G$89-N131)/(G$89-N$122),2)</f>
        <v>2</v>
      </c>
      <c r="Q131" s="9" t="str">
        <f aca="false">IF(M131/1000&gt;L$104,"|",IF(M130/1000&gt;L$104,"V",""))</f>
        <v>V</v>
      </c>
    </row>
    <row r="132" s="1" customFormat="true" ht="15.75" hidden="false" customHeight="false" outlineLevel="0" collapsed="false">
      <c r="B132" s="58" t="n">
        <f aca="false">B131-1/3</f>
        <v>-5.33333333333333</v>
      </c>
      <c r="C132" s="61" t="n">
        <f aca="false">C$130+(G$72-C$130)*0.017</f>
        <v>169.648980068165</v>
      </c>
      <c r="D132" s="60" t="n">
        <f aca="false">(C132-C131)/(E132-E131)</f>
        <v>0.000165286569358451</v>
      </c>
      <c r="E132" s="57" t="n">
        <f aca="false">IF(D132=0,(8314.4621*C131*LN(H132/H131)/(-G$61*9.80665*G$65)),C131/D132*(1/(H132/H131)^(8314.4621*D132/(G$61*9.80665*G$65))-1))+E131</f>
        <v>1357849.23180122</v>
      </c>
      <c r="F132" s="57" t="n">
        <f aca="false">G$31*E132/(G$31-E132)</f>
        <v>1389290.00455853</v>
      </c>
      <c r="G132" s="57" t="n">
        <f aca="false">8314.4621*C132/(G$65*G$61*9.80665)</f>
        <v>81709.4852790438</v>
      </c>
      <c r="H132" s="60" t="n">
        <f aca="false">10^B132*101325</f>
        <v>0.470308988565816</v>
      </c>
      <c r="I132" s="60" t="n">
        <f aca="false">H132/(8314.4621/G$65*C132)</f>
        <v>7.33418403689432E-007</v>
      </c>
      <c r="J132" s="57" t="n">
        <f aca="false">SQRT(8314.4621/G$65*G$67*C132)</f>
        <v>964.569423459048</v>
      </c>
      <c r="K132" s="57" t="n">
        <f aca="false">IF(F$18&gt;0,SQRT(2*G$60/(F$18+N132)),10000)</f>
        <v>9359.77113018882</v>
      </c>
      <c r="L132" s="60" t="n">
        <f aca="false">I132*K132^2/2</f>
        <v>32.1256753645201</v>
      </c>
      <c r="M132" s="60" t="n">
        <f aca="false">I132*K132^3/2</f>
        <v>300688.968814653</v>
      </c>
      <c r="N132" s="57" t="n">
        <f aca="false">20000+(F132-F$113)*IF(G$88&gt;0,G$88,0.5)</f>
        <v>450019.664772617</v>
      </c>
      <c r="O132" s="57" t="n">
        <f aca="false">C132-P132*(G$75+(G$74-G$75)*COS(RADIANS(38)))/2</f>
        <v>165.496937053738</v>
      </c>
      <c r="P132" s="82" t="n">
        <f aca="false">IF(ROUND(N132,-3)&lt;G$89,2-(G$89-N132)/(G$89-N$122),2)</f>
        <v>2</v>
      </c>
      <c r="Q132" s="9" t="str">
        <f aca="false">IF(M132/1000&gt;L$104,"|",IF(M131/1000&gt;L$104,"V",""))</f>
        <v/>
      </c>
    </row>
    <row r="133" s="1" customFormat="true" ht="15.75" hidden="false" customHeight="false" outlineLevel="0" collapsed="false">
      <c r="B133" s="58" t="n">
        <f aca="false">B132-1/3</f>
        <v>-5.66666666666667</v>
      </c>
      <c r="C133" s="61" t="n">
        <f aca="false">C$130+(G$72-C$130)*0.04</f>
        <v>187.439492233406</v>
      </c>
      <c r="D133" s="60" t="n">
        <f aca="false">(C133-C132)/(E133-E132)</f>
        <v>0.000269765665234509</v>
      </c>
      <c r="E133" s="57" t="n">
        <f aca="false">IF(D133=0,(8314.4621*C132*LN(H133/H132)/(-G$61*9.80665*G$65)),C132/D133*(1/(H133/H132)^(8314.4621*D133/(G$61*9.80665*G$65))-1))+E132</f>
        <v>1423797.25431837</v>
      </c>
      <c r="F133" s="57" t="n">
        <f aca="false">G$31*E133/(G$31-E133)</f>
        <v>1458405.14158969</v>
      </c>
      <c r="G133" s="57" t="n">
        <f aca="false">8314.4621*C133/(G$65*G$61*9.80665)</f>
        <v>90278.0813960872</v>
      </c>
      <c r="H133" s="60" t="n">
        <f aca="false">10^B133*101325</f>
        <v>0.218298094967481</v>
      </c>
      <c r="I133" s="60" t="n">
        <f aca="false">H133/(8314.4621/G$65*C133)</f>
        <v>3.08112007828335E-007</v>
      </c>
      <c r="J133" s="57" t="n">
        <f aca="false">SQRT(8314.4621/G$65*G$67*C133)</f>
        <v>1013.88433688926</v>
      </c>
      <c r="K133" s="57" t="n">
        <f aca="false">IF(F$18&gt;0,SQRT(2*G$60/(F$18+N133)),10000)</f>
        <v>9339.0256908397</v>
      </c>
      <c r="L133" s="60" t="n">
        <f aca="false">I133*K133^2/2</f>
        <v>13.4363642473726</v>
      </c>
      <c r="M133" s="60" t="n">
        <f aca="false">I133*K133^3/2</f>
        <v>125482.550897693</v>
      </c>
      <c r="N133" s="57" t="n">
        <f aca="false">20000+(F133-F$113)*IF(G$88&gt;0,G$88,0.5)</f>
        <v>478707.263528976</v>
      </c>
      <c r="O133" s="57" t="n">
        <f aca="false">C133-P133*(G$75+(G$74-G$75)*COS(RADIANS(38)))/2</f>
        <v>183.287449218979</v>
      </c>
      <c r="P133" s="82" t="n">
        <f aca="false">IF(ROUND(N133,-3)&lt;G$89,2-(G$89-N133)/(G$89-N$122),2)</f>
        <v>2</v>
      </c>
      <c r="Q133" s="9" t="str">
        <f aca="false">IF(M133/1000&gt;L$104,"|",IF(M132/1000&gt;L$104,"V",""))</f>
        <v/>
      </c>
    </row>
    <row r="134" s="1" customFormat="true" ht="15.75" hidden="false" customHeight="false" outlineLevel="0" collapsed="false">
      <c r="B134" s="58" t="n">
        <f aca="false">B133-1/3</f>
        <v>-6</v>
      </c>
      <c r="C134" s="61" t="n">
        <f aca="false">C$130+(G$72-C$130)*0.079</f>
        <v>217.606012861424</v>
      </c>
      <c r="D134" s="60" t="n">
        <f aca="false">(C134-C133)/(E134-E133)</f>
        <v>0.000403683188730675</v>
      </c>
      <c r="E134" s="57" t="n">
        <f aca="false">IF(D134=0,(8314.4621*C133*LN(H134/H133)/(-G$61*9.80665*G$65)),C133/D134*(1/(H134/H133)^(8314.4621*D134/(G$61*9.80665*G$65))-1))+E133</f>
        <v>1498525.46066968</v>
      </c>
      <c r="F134" s="57" t="n">
        <f aca="false">G$31*E134/(G$31-E134)</f>
        <v>1536910.45137219</v>
      </c>
      <c r="G134" s="57" t="n">
        <f aca="false">8314.4621*C134/(G$65*G$61*9.80665)</f>
        <v>104807.440029335</v>
      </c>
      <c r="H134" s="60" t="n">
        <f aca="false">10^B134*101325</f>
        <v>0.101325</v>
      </c>
      <c r="I134" s="60" t="n">
        <f aca="false">H134/(8314.4621/G$65*C134)</f>
        <v>1.23187175697747E-007</v>
      </c>
      <c r="J134" s="57" t="n">
        <f aca="false">SQRT(8314.4621/G$65*G$67*C134)</f>
        <v>1092.42922521382</v>
      </c>
      <c r="K134" s="57" t="n">
        <f aca="false">IF(F$18&gt;0,SQRT(2*G$60/(F$18+N134)),10000)</f>
        <v>9315.62822623302</v>
      </c>
      <c r="L134" s="60" t="n">
        <f aca="false">I134*K134^2/2</f>
        <v>5.34514878932914</v>
      </c>
      <c r="M134" s="60" t="n">
        <f aca="false">I134*K134^3/2</f>
        <v>49793.4189352898</v>
      </c>
      <c r="N134" s="57" t="n">
        <f aca="false">20000+(F134-F$113)*IF(G$88&gt;0,G$88,0.5)</f>
        <v>511292.438412857</v>
      </c>
      <c r="O134" s="57" t="n">
        <f aca="false">C134-P134*(G$75+(G$74-G$75)*COS(RADIANS(38)))/2</f>
        <v>213.453969846997</v>
      </c>
      <c r="P134" s="82" t="n">
        <f aca="false">IF(ROUND(N134,-3)&lt;G$89,2-(G$89-N134)/(G$89-N$122),2)</f>
        <v>2</v>
      </c>
      <c r="Q134" s="9" t="str">
        <f aca="false">IF(M134/1000&gt;L$104,"|",IF(M133/1000&gt;L$104,"V",""))</f>
        <v/>
      </c>
    </row>
    <row r="135" s="1" customFormat="true" ht="15.75" hidden="false" customHeight="false" outlineLevel="0" collapsed="false">
      <c r="B135" s="58" t="n">
        <f aca="false">B134-1/3</f>
        <v>-6.33333333333333</v>
      </c>
      <c r="C135" s="61" t="n">
        <f aca="false">C$130+(G$72-C$130)*0.139</f>
        <v>264.016044596836</v>
      </c>
      <c r="D135" s="60" t="n">
        <f aca="false">(C135-C134)/(E135-E134)</f>
        <v>0.000522961247606553</v>
      </c>
      <c r="E135" s="57" t="n">
        <f aca="false">IF(D135=0,(8314.4621*C134*LN(H135/H134)/(-G$61*9.80665*G$65)),C134/D135*(1/(H135/H134)^(8314.4621*D135/(G$61*9.80665*G$65))-1))+E134</f>
        <v>1587270.14672016</v>
      </c>
      <c r="F135" s="57" t="n">
        <f aca="false">G$31*E135/(G$31-E135)</f>
        <v>1630401.61010147</v>
      </c>
      <c r="G135" s="57" t="n">
        <f aca="false">8314.4621*C135/(G$65*G$61*9.80665)</f>
        <v>127160.2994651</v>
      </c>
      <c r="H135" s="60" t="n">
        <f aca="false">10^B135*101325</f>
        <v>0.0470308988565817</v>
      </c>
      <c r="I135" s="60" t="n">
        <f aca="false">H135/(8314.4621/G$65*C135)</f>
        <v>4.71273192275622E-008</v>
      </c>
      <c r="J135" s="57" t="n">
        <f aca="false">SQRT(8314.4621/G$65*G$67*C135)</f>
        <v>1203.29752787126</v>
      </c>
      <c r="K135" s="57" t="n">
        <f aca="false">IF(F$18&gt;0,SQRT(2*G$60/(F$18+N135)),10000)</f>
        <v>9287.99251778231</v>
      </c>
      <c r="L135" s="60" t="n">
        <f aca="false">I135*K135^2/2</f>
        <v>2.03276162923302</v>
      </c>
      <c r="M135" s="60" t="n">
        <f aca="false">I135*K135^3/2</f>
        <v>18880.2748027513</v>
      </c>
      <c r="N135" s="57" t="n">
        <f aca="false">20000+(F135-F$113)*IF(G$88&gt;0,G$88,0.5)</f>
        <v>550097.785028657</v>
      </c>
      <c r="O135" s="57" t="n">
        <f aca="false">C135-P135*(G$75+(G$74-G$75)*COS(RADIANS(38)))/2</f>
        <v>259.864001582409</v>
      </c>
      <c r="P135" s="82" t="n">
        <f aca="false">IF(ROUND(N135,-3)&lt;G$89,2-(G$89-N135)/(G$89-N$122),2)</f>
        <v>2</v>
      </c>
      <c r="Q135" s="9" t="str">
        <f aca="false">IF(M135/1000&gt;L$104,"|",IF(M134/1000&gt;L$104,"V",""))</f>
        <v/>
      </c>
    </row>
    <row r="136" s="1" customFormat="true" ht="15.75" hidden="false" customHeight="false" outlineLevel="0" collapsed="false">
      <c r="B136" s="58" t="n">
        <f aca="false">B135-1/3</f>
        <v>-6.66666666666666</v>
      </c>
      <c r="C136" s="61" t="n">
        <f aca="false">C$130+(G$72-C$130)*0.216</f>
        <v>323.575585323948</v>
      </c>
      <c r="D136" s="60" t="n">
        <f aca="false">(C136-C135)/(E136-E135)</f>
        <v>0.000550280468097653</v>
      </c>
      <c r="E136" s="57" t="n">
        <f aca="false">IF(D136=0,(8314.4621*C135*LN(H136/H135)/(-G$61*9.80665*G$65)),C135/D136*(1/(H136/H135)^(8314.4621*D136/(G$61*9.80665*G$65))-1))+E135</f>
        <v>1695505.02725846</v>
      </c>
      <c r="F136" s="57" t="n">
        <f aca="false">G$31*E136/(G$31-E136)</f>
        <v>1744810.61336812</v>
      </c>
      <c r="G136" s="57" t="n">
        <f aca="false">8314.4621*C136/(G$65*G$61*9.80665)</f>
        <v>155846.469074332</v>
      </c>
      <c r="H136" s="60" t="n">
        <f aca="false">10^B136*101325</f>
        <v>0.0218298094967482</v>
      </c>
      <c r="I136" s="60" t="n">
        <f aca="false">H136/(8314.4621/G$65*C136)</f>
        <v>1.78481816669016E-008</v>
      </c>
      <c r="J136" s="57" t="n">
        <f aca="false">SQRT(8314.4621/G$65*G$67*C136)</f>
        <v>1332.12732579517</v>
      </c>
      <c r="K136" s="57" t="n">
        <f aca="false">IF(F$18&gt;0,SQRT(2*G$60/(F$18+N136)),10000)</f>
        <v>9254.5058708153</v>
      </c>
      <c r="L136" s="60" t="n">
        <f aca="false">I136*K136^2/2</f>
        <v>0.764311602929937</v>
      </c>
      <c r="M136" s="60" t="n">
        <f aca="false">I136*K136^3/2</f>
        <v>7073.32621644735</v>
      </c>
      <c r="N136" s="57" t="n">
        <f aca="false">20000+(F136-F$113)*IF(G$88&gt;0,G$88,0.5)</f>
        <v>597585.494969086</v>
      </c>
      <c r="O136" s="57" t="n">
        <f aca="false">C136-P136*(G$75+(G$74-G$75)*COS(RADIANS(38)))/2</f>
        <v>319.423542309521</v>
      </c>
      <c r="P136" s="82" t="n">
        <f aca="false">IF(ROUND(N136,-3)&lt;G$89,2-(G$89-N136)/(G$89-N$122),2)</f>
        <v>2</v>
      </c>
      <c r="Q136" s="9" t="str">
        <f aca="false">IF(M136/1000&gt;L$104,"|",IF(M135/1000&gt;L$104,"V",""))</f>
        <v/>
      </c>
    </row>
    <row r="137" s="1" customFormat="true" ht="15.75" hidden="false" customHeight="false" outlineLevel="0" collapsed="false">
      <c r="B137" s="58" t="n">
        <f aca="false">B136-1/3</f>
        <v>-7</v>
      </c>
      <c r="C137" s="61" t="n">
        <f aca="false">C$130+(G$72-C$130)*0.303</f>
        <v>390.870131340296</v>
      </c>
      <c r="D137" s="60" t="n">
        <f aca="false">(C137-C136)/(E137-E136)</f>
        <v>0.000511109894250583</v>
      </c>
      <c r="E137" s="57" t="n">
        <f aca="false">IF(D137=0,(8314.4621*C136*LN(H137/H136)/(-G$61*9.80665*G$65)),C136/D137*(1/(H137/H136)^(8314.4621*D137/(G$61*9.80665*G$65))-1))+E136</f>
        <v>1827168.58293081</v>
      </c>
      <c r="F137" s="57" t="n">
        <f aca="false">G$31*E137/(G$31-E137)</f>
        <v>1884558.69011871</v>
      </c>
      <c r="G137" s="57" t="n">
        <f aca="false">8314.4621*C137/(G$65*G$61*9.80665)</f>
        <v>188258.115256191</v>
      </c>
      <c r="H137" s="60" t="n">
        <f aca="false">10^B137*101325</f>
        <v>0.0101325000000001</v>
      </c>
      <c r="I137" s="60" t="n">
        <f aca="false">H137/(8314.4621/G$65*C137)</f>
        <v>6.8581014485112E-009</v>
      </c>
      <c r="J137" s="57" t="n">
        <f aca="false">SQRT(8314.4621/G$65*G$67*C137)</f>
        <v>1464.11134768703</v>
      </c>
      <c r="K137" s="57" t="n">
        <f aca="false">IF(F$18&gt;0,SQRT(2*G$60/(F$18+N137)),10000)</f>
        <v>9214.08991507682</v>
      </c>
      <c r="L137" s="60" t="n">
        <f aca="false">I137*K137^2/2</f>
        <v>0.291124530672092</v>
      </c>
      <c r="M137" s="60" t="n">
        <f aca="false">I137*K137^3/2</f>
        <v>2682.4476020972</v>
      </c>
      <c r="N137" s="57" t="n">
        <f aca="false">20000+(F137-F$113)*IF(G$88&gt;0,G$88,0.5)</f>
        <v>655590.686378693</v>
      </c>
      <c r="O137" s="57" t="n">
        <f aca="false">C137-P137*(G$75+(G$74-G$75)*COS(RADIANS(38)))/2</f>
        <v>386.718088325869</v>
      </c>
      <c r="P137" s="82" t="n">
        <f aca="false">IF(ROUND(N137,-3)&lt;G$89,2-(G$89-N137)/(G$89-N$122),2)</f>
        <v>2</v>
      </c>
      <c r="Q137" s="9" t="str">
        <f aca="false">IF(M137/1000&gt;L$104,"|",IF(M136/1000&gt;L$104,"V",""))</f>
        <v/>
      </c>
    </row>
    <row r="138" s="1" customFormat="true" ht="15.75" hidden="false" customHeight="false" outlineLevel="0" collapsed="false">
      <c r="B138" s="58" t="n">
        <f aca="false">B137-1/3</f>
        <v>-7.33333333333333</v>
      </c>
      <c r="C138" s="61" t="n">
        <f aca="false">C$130+(G$72-C$130)*0.389</f>
        <v>457.39117682772</v>
      </c>
      <c r="D138" s="60" t="n">
        <f aca="false">(C138-C137)/(E138-E137)</f>
        <v>0.000425144338433938</v>
      </c>
      <c r="E138" s="57" t="n">
        <f aca="false">IF(D138=0,(8314.4621*C137*LN(H138/H137)/(-G$61*9.80665*G$65)),C137/D138*(1/(H138/H137)^(8314.4621*D138/(G$61*9.80665*G$65))-1))+E137</f>
        <v>1983635.55067278</v>
      </c>
      <c r="F138" s="57" t="n">
        <f aca="false">G$31*E138/(G$31-E138)</f>
        <v>2051457.96655907</v>
      </c>
      <c r="G138" s="57" t="n">
        <f aca="false">8314.4621*C138/(G$65*G$61*9.80665)</f>
        <v>220297.213780788</v>
      </c>
      <c r="H138" s="60" t="n">
        <f aca="false">10^B138*101325</f>
        <v>0.00470308988565818</v>
      </c>
      <c r="I138" s="60" t="n">
        <f aca="false">H138/(8314.4621/G$65*C138)</f>
        <v>2.72029043087552E-009</v>
      </c>
      <c r="J138" s="57" t="n">
        <f aca="false">SQRT(8314.4621/G$65*G$67*C138)</f>
        <v>1583.80516770435</v>
      </c>
      <c r="K138" s="57" t="n">
        <f aca="false">IF(F$18&gt;0,SQRT(2*G$60/(F$18+N138)),10000)</f>
        <v>9166.50852569579</v>
      </c>
      <c r="L138" s="60" t="n">
        <f aca="false">I138*K138^2/2</f>
        <v>0.114286036539771</v>
      </c>
      <c r="M138" s="60" t="n">
        <f aca="false">I138*K138^3/2</f>
        <v>1047.60392830979</v>
      </c>
      <c r="N138" s="57" t="n">
        <f aca="false">20000+(F138-F$113)*IF(G$88&gt;0,G$88,0.5)</f>
        <v>724865.51792665</v>
      </c>
      <c r="O138" s="57" t="n">
        <f aca="false">C138-P138*(G$75+(G$74-G$75)*COS(RADIANS(38)))/2</f>
        <v>453.239133813293</v>
      </c>
      <c r="P138" s="82" t="n">
        <f aca="false">IF(ROUND(N138,-3)&lt;G$89,2-(G$89-N138)/(G$89-N$122),2)</f>
        <v>2</v>
      </c>
      <c r="Q138" s="9" t="str">
        <f aca="false">IF(M138/1000&gt;L$104,"|",IF(M137/1000&gt;L$104,"V",""))</f>
        <v/>
      </c>
    </row>
    <row r="139" s="1" customFormat="true" ht="15.75" hidden="false" customHeight="false" outlineLevel="0" collapsed="false">
      <c r="B139" s="58" t="n">
        <f aca="false">B138-1/3</f>
        <v>-7.66666666666666</v>
      </c>
      <c r="C139" s="61" t="n">
        <f aca="false">C$130+(G$72-C$130)*0.468</f>
        <v>518.497718612679</v>
      </c>
      <c r="D139" s="60" t="n">
        <f aca="false">(C139-C138)/(E139-E138)</f>
        <v>0.000339211236989458</v>
      </c>
      <c r="E139" s="57" t="n">
        <f aca="false">IF(D139=0,(8314.4621*C138*LN(H139/H138)/(-G$61*9.80665*G$65)),C138/D139*(1/(H139/H138)^(8314.4621*D139/(G$61*9.80665*G$65))-1))+E138</f>
        <v>2163778.58581303</v>
      </c>
      <c r="F139" s="57" t="n">
        <f aca="false">G$31*E139/(G$31-E139)</f>
        <v>2244730.23953352</v>
      </c>
      <c r="G139" s="57" t="n">
        <f aca="false">8314.4621*C139/(G$65*G$61*9.80665)</f>
        <v>249728.478704546</v>
      </c>
      <c r="H139" s="60" t="n">
        <f aca="false">10^B139*101325</f>
        <v>0.00218298094967482</v>
      </c>
      <c r="I139" s="60" t="n">
        <f aca="false">H139/(8314.4621/G$65*C139)</f>
        <v>1.11384016216858E-009</v>
      </c>
      <c r="J139" s="57" t="n">
        <f aca="false">SQRT(8314.4621/G$65*G$67*C139)</f>
        <v>1686.28621287889</v>
      </c>
      <c r="K139" s="57" t="n">
        <f aca="false">IF(F$18&gt;0,SQRT(2*G$60/(F$18+N139)),10000)</f>
        <v>9112.31886149331</v>
      </c>
      <c r="L139" s="60" t="n">
        <f aca="false">I139*K139^2/2</f>
        <v>0.0462434997380534</v>
      </c>
      <c r="M139" s="60" t="n">
        <f aca="false">I139*K139^3/2</f>
        <v>421.385514884525</v>
      </c>
      <c r="N139" s="57" t="n">
        <f aca="false">20000+(F139-F$113)*IF(G$88&gt;0,G$88,0.5)</f>
        <v>805086.981067507</v>
      </c>
      <c r="O139" s="57" t="n">
        <f aca="false">C139-P139*(G$75+(G$74-G$75)*COS(RADIANS(38)))/2</f>
        <v>514.345675598252</v>
      </c>
      <c r="P139" s="82" t="n">
        <f aca="false">IF(ROUND(N139,-3)&lt;G$89,2-(G$89-N139)/(G$89-N$122),2)</f>
        <v>2</v>
      </c>
      <c r="Q139" s="9" t="str">
        <f aca="false">IF(M139/1000&gt;L$104,"|",IF(M138/1000&gt;L$104,"V",""))</f>
        <v/>
      </c>
    </row>
    <row r="140" s="1" customFormat="true" ht="15.75" hidden="false" customHeight="false" outlineLevel="0" collapsed="false">
      <c r="B140" s="58" t="n">
        <f aca="false">B139-1/3</f>
        <v>-8</v>
      </c>
      <c r="C140" s="61" t="n">
        <f aca="false">C$130+(G$72-C$130)*0.548</f>
        <v>580.377760926562</v>
      </c>
      <c r="D140" s="60" t="n">
        <f aca="false">(C140-C139)/(E140-E139)</f>
        <v>0.000304983363098491</v>
      </c>
      <c r="E140" s="57" t="n">
        <f aca="false">IF(D140=0,(8314.4621*C139*LN(H140/H139)/(-G$61*9.80665*G$65)),C139/D140*(1/(H140/H139)^(8314.4621*D140/(G$61*9.80665*G$65))-1))+E139</f>
        <v>2366675.03788572</v>
      </c>
      <c r="F140" s="57" t="n">
        <f aca="false">G$31*E140/(G$31-E140)</f>
        <v>2463861.01038746</v>
      </c>
      <c r="G140" s="57" t="n">
        <f aca="false">8314.4621*C140/(G$65*G$61*9.80665)</f>
        <v>279532.291285566</v>
      </c>
      <c r="H140" s="60" t="n">
        <f aca="false">10^B140*101325</f>
        <v>0.00101325000000001</v>
      </c>
      <c r="I140" s="60" t="n">
        <f aca="false">H140/(8314.4621/G$65*C140)</f>
        <v>4.61876245851509E-010</v>
      </c>
      <c r="J140" s="57" t="n">
        <f aca="false">SQRT(8314.4621/G$65*G$67*C140)</f>
        <v>1784.07556726684</v>
      </c>
      <c r="K140" s="57" t="n">
        <f aca="false">IF(F$18&gt;0,SQRT(2*G$60/(F$18+N140)),10000)</f>
        <v>9052.02645893236</v>
      </c>
      <c r="L140" s="60" t="n">
        <f aca="false">I140*K140^2/2</f>
        <v>0.0189228811191409</v>
      </c>
      <c r="M140" s="60" t="n">
        <f aca="false">I140*K140^3/2</f>
        <v>171.290420569695</v>
      </c>
      <c r="N140" s="57" t="n">
        <f aca="false">20000+(F140-F$113)*IF(G$88&gt;0,G$88,0.5)</f>
        <v>896041.523002294</v>
      </c>
      <c r="O140" s="57" t="n">
        <f aca="false">C140-P140*(G$75+(G$74-G$75)*COS(RADIANS(38)))/2</f>
        <v>576.225717912135</v>
      </c>
      <c r="P140" s="82" t="n">
        <f aca="false">IF(ROUND(N140,-3)&lt;G$89,2-(G$89-N140)/(G$89-N$122),2)</f>
        <v>2</v>
      </c>
      <c r="Q140" s="9" t="str">
        <f aca="false">IF(M140/1000&gt;L$104,"|",IF(M139/1000&gt;L$104,"V",""))</f>
        <v/>
      </c>
    </row>
    <row r="141" s="1" customFormat="true" ht="15.75" hidden="false" customHeight="false" outlineLevel="0" collapsed="false">
      <c r="B141" s="58" t="n">
        <f aca="false">B140-1/3</f>
        <v>-8.33333333333333</v>
      </c>
      <c r="C141" s="61" t="n">
        <f aca="false">C$130+(G$72-C$130)*0.627</f>
        <v>641.484302711521</v>
      </c>
      <c r="D141" s="60" t="n">
        <f aca="false">(C141-C140)/(E141-E140)</f>
        <v>0.000270796052735438</v>
      </c>
      <c r="E141" s="57" t="n">
        <f aca="false">IF(D141=0,(8314.4621*C140*LN(H141/H140)/(-G$61*9.80665*G$65)),C140/D141*(1/(H141/H140)^(8314.4621*D141/(G$61*9.80665*G$65))-1))+E140</f>
        <v>2592330.25393372</v>
      </c>
      <c r="F141" s="57" t="n">
        <f aca="false">G$31*E141/(G$31-E141)</f>
        <v>2709390.85185009</v>
      </c>
      <c r="G141" s="57" t="n">
        <f aca="false">8314.4621*C141/(G$65*G$61*9.80665)</f>
        <v>308963.556209323</v>
      </c>
      <c r="H141" s="60" t="n">
        <f aca="false">10^B141*101325</f>
        <v>0.000470308988565818</v>
      </c>
      <c r="I141" s="60" t="n">
        <f aca="false">H141/(8314.4621/G$65*C141)</f>
        <v>1.9396216497146E-010</v>
      </c>
      <c r="J141" s="57" t="n">
        <f aca="false">SQRT(8314.4621/G$65*G$67*C141)</f>
        <v>1875.6460252982</v>
      </c>
      <c r="K141" s="57" t="n">
        <f aca="false">IF(F$18&gt;0,SQRT(2*G$60/(F$18+N141)),10000)</f>
        <v>8985.87187398253</v>
      </c>
      <c r="L141" s="60" t="n">
        <f aca="false">I141*K141^2/2</f>
        <v>0.00783082414196673</v>
      </c>
      <c r="M141" s="60" t="n">
        <f aca="false">I141*K141^3/2</f>
        <v>70.3667824074022</v>
      </c>
      <c r="N141" s="57" t="n">
        <f aca="false">20000+(F141-F$113)*IF(G$88&gt;0,G$88,0.5)</f>
        <v>997953.519088141</v>
      </c>
      <c r="O141" s="57" t="n">
        <f aca="false">C141-P141*(G$75+(G$74-G$75)*COS(RADIANS(38)))/2</f>
        <v>637.332259697094</v>
      </c>
      <c r="P141" s="82" t="n">
        <f aca="false">IF(ROUND(N141,-3)&lt;G$89,2-(G$89-N141)/(G$89-N$122),2)</f>
        <v>2</v>
      </c>
      <c r="Q141" s="9" t="str">
        <f aca="false">IF(M141/1000&gt;L$104,"|",IF(M140/1000&gt;L$104,"V",""))</f>
        <v/>
      </c>
    </row>
    <row r="142" s="1" customFormat="true" ht="15.75" hidden="false" customHeight="false" outlineLevel="0" collapsed="false">
      <c r="B142" s="58" t="n">
        <f aca="false">B141-1/3</f>
        <v>-8.66666666666666</v>
      </c>
      <c r="C142" s="61" t="n">
        <f aca="false">C$130+(G$72-C$130)*0.696</f>
        <v>694.855839207245</v>
      </c>
      <c r="D142" s="60" t="n">
        <f aca="false">(C142-C141)/(E142-E141)</f>
        <v>0.000216191245860349</v>
      </c>
      <c r="E142" s="57" t="n">
        <f aca="false">IF(D142=0,(8314.4621*C141*LN(H142/H141)/(-G$61*9.80665*G$65)),C141/D142*(1/(H142/H141)^(8314.4621*D142/(G$61*9.80665*G$65))-1))+E141</f>
        <v>2839202.12093891</v>
      </c>
      <c r="F142" s="57" t="n">
        <f aca="false">G$31*E142/(G$31-E142)</f>
        <v>2980226.54646564</v>
      </c>
      <c r="G142" s="57" t="n">
        <f aca="false">8314.4621*C142/(G$65*G$61*9.80665)</f>
        <v>334669.344560453</v>
      </c>
      <c r="H142" s="60" t="n">
        <f aca="false">10^B142*101325</f>
        <v>0.000218298094967482</v>
      </c>
      <c r="I142" s="60" t="n">
        <f aca="false">H142/(8314.4621/G$65*C142)</f>
        <v>8.3114158419173E-011</v>
      </c>
      <c r="J142" s="57" t="n">
        <f aca="false">SQRT(8314.4621/G$65*G$67*C142)</f>
        <v>1952.11419747123</v>
      </c>
      <c r="K142" s="57" t="n">
        <f aca="false">IF(F$18&gt;0,SQRT(2*G$60/(F$18+N142)),10000)</f>
        <v>8914.55507731462</v>
      </c>
      <c r="L142" s="60" t="n">
        <f aca="false">I142*K142^2/2</f>
        <v>0.00330251167178543</v>
      </c>
      <c r="M142" s="60" t="n">
        <f aca="false">I142*K142^3/2</f>
        <v>29.4404221916056</v>
      </c>
      <c r="N142" s="57" t="n">
        <f aca="false">20000+(F142-F$113)*IF(G$88&gt;0,G$88,0.5)</f>
        <v>1110369.20789055</v>
      </c>
      <c r="O142" s="57" t="n">
        <f aca="false">C142-P142*(G$75+(G$74-G$75)*COS(RADIANS(38)))/2</f>
        <v>690.703796192818</v>
      </c>
      <c r="P142" s="82" t="n">
        <f aca="false">IF(ROUND(N142,-3)&lt;G$89,2-(G$89-N142)/(G$89-N$122),2)</f>
        <v>2</v>
      </c>
      <c r="Q142" s="9" t="str">
        <f aca="false">IF(M142/1000&gt;L$104,"|",IF(M141/1000&gt;L$104,"V",""))</f>
        <v/>
      </c>
    </row>
    <row r="143" s="1" customFormat="true" ht="15.75" hidden="false" customHeight="false" outlineLevel="0" collapsed="false">
      <c r="B143" s="58" t="n">
        <f aca="false">B142-1/3</f>
        <v>-9</v>
      </c>
      <c r="C143" s="62" t="n">
        <f aca="false">C$130+(G$72-C$130)*0.749</f>
        <v>735.851367240193</v>
      </c>
      <c r="D143" s="60" t="n">
        <f aca="false">(C143-C142)/(E143-E142)</f>
        <v>0.000155066848953979</v>
      </c>
      <c r="E143" s="57" t="n">
        <f aca="false">IF(D143=0,(8314.4621*C142*LN(H143/H142)/(-G$61*9.80665*G$65)),C142/D143*(1/(H143/H142)^(8314.4621*D143/(G$61*9.80665*G$65))-1))+E142</f>
        <v>3103575.37872733</v>
      </c>
      <c r="F143" s="57" t="n">
        <f aca="false">G$31*E143/(G$31-E143)</f>
        <v>3272868.6198327</v>
      </c>
      <c r="G143" s="57" t="n">
        <f aca="false">8314.4621*C143/(G$65*G$61*9.80665)</f>
        <v>354414.370395379</v>
      </c>
      <c r="H143" s="60" t="n">
        <f aca="false">10^B143*101325</f>
        <v>0.000101325</v>
      </c>
      <c r="I143" s="60" t="n">
        <f aca="false">H143/(8314.4621/G$65*C143)</f>
        <v>3.64289193886847E-011</v>
      </c>
      <c r="J143" s="57" t="n">
        <f aca="false">SQRT(8314.4621/G$65*G$67*C143)</f>
        <v>2008.87500360921</v>
      </c>
      <c r="K143" s="57" t="n">
        <f aca="false">IF(F$18&gt;0,SQRT(2*G$60/(F$18+N143)),10000)</f>
        <v>8839.3730374522</v>
      </c>
      <c r="L143" s="60" t="n">
        <f aca="false">I143*K143^2/2</f>
        <v>0.00142317798686785</v>
      </c>
      <c r="M143" s="60" t="n">
        <f aca="false">I143*K143^3/2</f>
        <v>12.5800011246152</v>
      </c>
      <c r="N143" s="57" t="n">
        <f aca="false">20000+(F143-F$113)*IF(G$88&gt;0,G$88,0.5)</f>
        <v>1231836.06364167</v>
      </c>
      <c r="O143" s="57" t="n">
        <f aca="false">C143-P143*(G$75+(G$74-G$75)*COS(RADIANS(38)))/2</f>
        <v>731.699324225766</v>
      </c>
      <c r="P143" s="82" t="n">
        <f aca="false">IF(ROUND(N143,-3)&lt;G$89,2-(G$89-N143)/(G$89-N$122),2)</f>
        <v>2</v>
      </c>
      <c r="Q143" s="9" t="str">
        <f aca="false">IF(M143/1000&gt;L$104,"|",IF(M142/1000&gt;L$104,"V",""))</f>
        <v/>
      </c>
    </row>
  </sheetData>
  <mergeCells count="34">
    <mergeCell ref="B2:H2"/>
    <mergeCell ref="B4:H4"/>
    <mergeCell ref="B5:H5"/>
    <mergeCell ref="B6:H6"/>
    <mergeCell ref="B7:H7"/>
    <mergeCell ref="F10:G10"/>
    <mergeCell ref="F12:G12"/>
    <mergeCell ref="D13:E15"/>
    <mergeCell ref="F18:G18"/>
    <mergeCell ref="D19:E21"/>
    <mergeCell ref="F23:G23"/>
    <mergeCell ref="B28:H28"/>
    <mergeCell ref="B29:H29"/>
    <mergeCell ref="F31:G31"/>
    <mergeCell ref="B33:H33"/>
    <mergeCell ref="B34:H34"/>
    <mergeCell ref="B38:D38"/>
    <mergeCell ref="B39:D39"/>
    <mergeCell ref="B40:D40"/>
    <mergeCell ref="B41:D41"/>
    <mergeCell ref="B42:D42"/>
    <mergeCell ref="B43:D43"/>
    <mergeCell ref="B44:D44"/>
    <mergeCell ref="B45:D45"/>
    <mergeCell ref="B51:H51"/>
    <mergeCell ref="B52:H52"/>
    <mergeCell ref="B53:H53"/>
    <mergeCell ref="B55:H55"/>
    <mergeCell ref="B69:H69"/>
    <mergeCell ref="B81:H81"/>
    <mergeCell ref="B82:H82"/>
    <mergeCell ref="B91:Q91"/>
    <mergeCell ref="B92:Q92"/>
    <mergeCell ref="B93:Q9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3" width="27.71"/>
    <col collapsed="false" customWidth="true" hidden="false" outlineLevel="0" max="5" min="2" style="63" width="14.69"/>
    <col collapsed="false" customWidth="false" hidden="false" outlineLevel="0" max="1024" min="6" style="63" width="9.13"/>
  </cols>
  <sheetData>
    <row r="1" customFormat="false" ht="78.75" hidden="false" customHeight="true" outlineLevel="0" collapsed="false">
      <c r="A1" s="64" t="s">
        <v>289</v>
      </c>
      <c r="B1" s="64"/>
      <c r="C1" s="64"/>
      <c r="D1" s="64"/>
      <c r="E1" s="64"/>
    </row>
    <row r="2" customFormat="false" ht="15" hidden="false" customHeight="false" outlineLevel="0" collapsed="false">
      <c r="A2" s="65"/>
      <c r="B2" s="65"/>
      <c r="C2" s="65"/>
      <c r="D2" s="65"/>
      <c r="E2" s="65"/>
    </row>
    <row r="3" customFormat="false" ht="15" hidden="false" customHeight="false" outlineLevel="0" collapsed="false">
      <c r="A3" s="65" t="s">
        <v>290</v>
      </c>
      <c r="B3" s="65"/>
      <c r="C3" s="65"/>
      <c r="D3" s="65"/>
      <c r="E3" s="65"/>
    </row>
    <row r="4" customFormat="false" ht="15" hidden="false" customHeight="false" outlineLevel="0" collapsed="false">
      <c r="A4" s="65" t="s">
        <v>209</v>
      </c>
      <c r="B4" s="69"/>
      <c r="D4" s="65"/>
      <c r="E4" s="69"/>
    </row>
    <row r="5" customFormat="false" ht="15" hidden="false" customHeight="false" outlineLevel="0" collapsed="false">
      <c r="A5" s="66" t="s">
        <v>291</v>
      </c>
      <c r="B5" s="69" t="n">
        <f aca="false">'Gas Giant'!G22</f>
        <v>0.52</v>
      </c>
      <c r="D5" s="65"/>
      <c r="E5" s="69"/>
    </row>
    <row r="6" customFormat="false" ht="15" hidden="false" customHeight="false" outlineLevel="0" collapsed="false">
      <c r="A6" s="65" t="s">
        <v>212</v>
      </c>
      <c r="B6" s="69"/>
      <c r="D6" s="65"/>
      <c r="E6" s="69"/>
    </row>
    <row r="7" customFormat="false" ht="15" hidden="false" customHeight="false" outlineLevel="0" collapsed="false">
      <c r="A7" s="65" t="s">
        <v>213</v>
      </c>
      <c r="B7" s="65"/>
      <c r="D7" s="65"/>
      <c r="E7" s="69"/>
    </row>
    <row r="8" customFormat="false" ht="15" hidden="false" customHeight="false" outlineLevel="0" collapsed="false">
      <c r="A8" s="65" t="s">
        <v>209</v>
      </c>
      <c r="B8" s="69"/>
      <c r="D8" s="65"/>
      <c r="E8" s="69"/>
    </row>
    <row r="9" customFormat="false" ht="15" hidden="false" customHeight="false" outlineLevel="0" collapsed="false">
      <c r="A9" s="66" t="s">
        <v>214</v>
      </c>
      <c r="B9" s="69" t="s">
        <v>215</v>
      </c>
      <c r="D9" s="69"/>
      <c r="E9" s="69"/>
    </row>
    <row r="10" customFormat="false" ht="15" hidden="false" customHeight="false" outlineLevel="0" collapsed="false">
      <c r="A10" s="66" t="s">
        <v>216</v>
      </c>
      <c r="B10" s="69" t="s">
        <v>217</v>
      </c>
      <c r="D10" s="69"/>
      <c r="E10" s="69"/>
    </row>
    <row r="11" customFormat="false" ht="15" hidden="false" customHeight="false" outlineLevel="0" collapsed="false">
      <c r="A11" s="66" t="s">
        <v>218</v>
      </c>
      <c r="B11" s="69" t="n">
        <f aca="false">MAX(B18:B51)</f>
        <v>424000</v>
      </c>
      <c r="D11" s="69"/>
      <c r="E11" s="69"/>
    </row>
    <row r="12" customFormat="false" ht="15" hidden="false" customHeight="false" outlineLevel="0" collapsed="false">
      <c r="A12" s="66" t="s">
        <v>219</v>
      </c>
      <c r="B12" s="83" t="n">
        <f aca="false">ROUND('Gas Giant'!G$67,2)</f>
        <v>1.45</v>
      </c>
      <c r="D12" s="69"/>
      <c r="E12" s="69"/>
    </row>
    <row r="13" customFormat="false" ht="15" hidden="false" customHeight="false" outlineLevel="0" collapsed="false">
      <c r="A13" s="66" t="s">
        <v>220</v>
      </c>
      <c r="B13" s="69" t="n">
        <f aca="false">ROUND('Gas Giant'!G$65/1000,6)</f>
        <v>0.0022</v>
      </c>
      <c r="D13" s="69"/>
      <c r="E13" s="69"/>
    </row>
    <row r="14" customFormat="false" ht="15" hidden="false" customHeight="false" outlineLevel="0" collapsed="false">
      <c r="A14" s="66" t="s">
        <v>221</v>
      </c>
      <c r="B14" s="68" t="n">
        <f aca="false">ROUND('Gas Giant'!C$110,0)</f>
        <v>421</v>
      </c>
      <c r="D14" s="69"/>
      <c r="E14" s="69"/>
    </row>
    <row r="15" customFormat="false" ht="15" hidden="false" customHeight="false" outlineLevel="0" collapsed="false">
      <c r="A15" s="66" t="s">
        <v>222</v>
      </c>
      <c r="B15" s="69" t="n">
        <f aca="false">C99</f>
        <v>10132.5</v>
      </c>
      <c r="D15" s="69"/>
      <c r="E15" s="69"/>
    </row>
    <row r="16" customFormat="false" ht="15" hidden="false" customHeight="false" outlineLevel="0" collapsed="false">
      <c r="A16" s="66" t="s">
        <v>223</v>
      </c>
      <c r="B16" s="69"/>
      <c r="D16" s="69"/>
      <c r="E16" s="69"/>
    </row>
    <row r="17" customFormat="false" ht="15" hidden="false" customHeight="false" outlineLevel="0" collapsed="false">
      <c r="A17" s="66" t="s">
        <v>209</v>
      </c>
      <c r="B17" s="65"/>
      <c r="C17" s="69"/>
      <c r="D17" s="69"/>
      <c r="E17" s="69"/>
    </row>
    <row r="18" customFormat="false" ht="15" hidden="false" customHeight="false" outlineLevel="0" collapsed="false">
      <c r="A18" s="69" t="str">
        <f aca="false">IF(B18="","Unused","key =")</f>
        <v>key =</v>
      </c>
      <c r="B18" s="69" t="n">
        <f aca="false">IF('Gas Giant'!Q110="|",ROUND('Gas Giant'!N110,0),IF('Gas Giant'!Q110="V",ROUND('Gas Giant'!N110,-3),""))</f>
        <v>0</v>
      </c>
      <c r="C18" s="69" t="n">
        <f aca="false">IF(B18="","",ROUND('Gas Giant'!O110,0))</f>
        <v>421</v>
      </c>
      <c r="D18" s="71" t="n">
        <v>0</v>
      </c>
      <c r="E18" s="71" t="n">
        <f aca="false">(C19-C18)/(B19-B18)</f>
        <v>-0.00976098110374171</v>
      </c>
    </row>
    <row r="19" customFormat="false" ht="15" hidden="false" customHeight="false" outlineLevel="0" collapsed="false">
      <c r="A19" s="69" t="str">
        <f aca="false">IF(B19="","Unused","key =")</f>
        <v>key =</v>
      </c>
      <c r="B19" s="69" t="n">
        <f aca="false">IF('Gas Giant'!Q111="|",ROUND('Gas Giant'!N111,0),IF('Gas Giant'!Q111="V",ROUND('Gas Giant'!N111,-3),""))</f>
        <v>7991</v>
      </c>
      <c r="C19" s="69" t="n">
        <f aca="false">IF(B19="","",ROUND('Gas Giant'!O111,0))</f>
        <v>343</v>
      </c>
      <c r="D19" s="71" t="n">
        <f aca="false">IF(C19="","",(C19-C18)/(B19-B18))</f>
        <v>-0.00976098110374171</v>
      </c>
      <c r="E19" s="71" t="n">
        <f aca="false">IF(C19="","",IF(C20="",0,(C20-C19)/(B20-B19)))</f>
        <v>-0.00912270031929451</v>
      </c>
    </row>
    <row r="20" customFormat="false" ht="15" hidden="false" customHeight="false" outlineLevel="0" collapsed="false">
      <c r="A20" s="69" t="str">
        <f aca="false">IF(B20="","Unused","key =")</f>
        <v>key =</v>
      </c>
      <c r="B20" s="69" t="n">
        <f aca="false">IF('Gas Giant'!Q112="|",ROUND('Gas Giant'!N112,0),IF('Gas Giant'!Q112="V",ROUND('Gas Giant'!N112,-3),""))</f>
        <v>14568</v>
      </c>
      <c r="C20" s="69" t="n">
        <f aca="false">IF(B20="","",ROUND('Gas Giant'!O112,0))</f>
        <v>283</v>
      </c>
      <c r="D20" s="71" t="n">
        <f aca="false">IF(C20="","",(C20-C19)/(B20-B19))</f>
        <v>-0.00912270031929451</v>
      </c>
      <c r="E20" s="71" t="n">
        <f aca="false">IF(C20="","",IF(C21="",0,(C21-C20)/(B21-B20)))</f>
        <v>-0.00920471281296024</v>
      </c>
    </row>
    <row r="21" customFormat="false" ht="15" hidden="false" customHeight="false" outlineLevel="0" collapsed="false">
      <c r="A21" s="69" t="str">
        <f aca="false">IF(B21="","Unused","key =")</f>
        <v>key =</v>
      </c>
      <c r="B21" s="69" t="n">
        <f aca="false">IF('Gas Giant'!Q113="|",ROUND('Gas Giant'!N113,0),IF('Gas Giant'!Q113="V",ROUND('Gas Giant'!N113,-3),""))</f>
        <v>20000</v>
      </c>
      <c r="C21" s="69" t="n">
        <f aca="false">IF(B21="","",ROUND('Gas Giant'!O113,0))</f>
        <v>233</v>
      </c>
      <c r="D21" s="71" t="n">
        <f aca="false">IF(C21="","",(C21-C20)/(B21-B20))</f>
        <v>-0.00920471281296024</v>
      </c>
      <c r="E21" s="71" t="n">
        <f aca="false">IF(C21="","",IF(C22="",0,(C22-C21)/(B22-B21)))</f>
        <v>-0.00131245612428654</v>
      </c>
    </row>
    <row r="22" customFormat="false" ht="15" hidden="false" customHeight="false" outlineLevel="0" collapsed="false">
      <c r="A22" s="69" t="str">
        <f aca="false">IF(B22="","Unused","key =")</f>
        <v>key =</v>
      </c>
      <c r="B22" s="69" t="n">
        <f aca="false">IF('Gas Giant'!Q114="|",ROUND('Gas Giant'!N114,0),IF('Gas Giant'!Q114="V",ROUND('Gas Giant'!N114,-3),""))</f>
        <v>52763</v>
      </c>
      <c r="C22" s="69" t="n">
        <f aca="false">IF(B22="","",ROUND('Gas Giant'!O114,0))</f>
        <v>190</v>
      </c>
      <c r="D22" s="71" t="n">
        <f aca="false">IF(C22="","",(C22-C21)/(B22-B21))</f>
        <v>-0.00131245612428654</v>
      </c>
      <c r="E22" s="71" t="n">
        <f aca="false">IF(C22="","",IF(C23="",0,(C23-C22)/(B23-B22)))</f>
        <v>-0.00118142213689729</v>
      </c>
    </row>
    <row r="23" customFormat="false" ht="15" hidden="false" customHeight="false" outlineLevel="0" collapsed="false">
      <c r="A23" s="69" t="str">
        <f aca="false">IF(B23="","Unused","key =")</f>
        <v>key =</v>
      </c>
      <c r="B23" s="69" t="n">
        <f aca="false">IF('Gas Giant'!Q115="|",ROUND('Gas Giant'!N115,0),IF('Gas Giant'!Q115="V",ROUND('Gas Giant'!N115,-3),""))</f>
        <v>79849</v>
      </c>
      <c r="C23" s="69" t="n">
        <f aca="false">IF(B23="","",ROUND('Gas Giant'!O115,0))</f>
        <v>158</v>
      </c>
      <c r="D23" s="71" t="n">
        <f aca="false">IF(C23="","",(C23-C22)/(B23-B22))</f>
        <v>-0.00118142213689729</v>
      </c>
      <c r="E23" s="71" t="n">
        <f aca="false">IF(C23="","",IF(C24="",0,(C24-C23)/(B24-B23)))</f>
        <v>-0.00105318588730911</v>
      </c>
    </row>
    <row r="24" customFormat="false" ht="15" hidden="false" customHeight="false" outlineLevel="0" collapsed="false">
      <c r="A24" s="69" t="str">
        <f aca="false">IF(B24="","Unused","key =")</f>
        <v>key =</v>
      </c>
      <c r="B24" s="69" t="n">
        <f aca="false">IF('Gas Giant'!Q116="|",ROUND('Gas Giant'!N116,0),IF('Gas Giant'!Q116="V",ROUND('Gas Giant'!N116,-3),""))</f>
        <v>102637</v>
      </c>
      <c r="C24" s="69" t="n">
        <f aca="false">IF(B24="","",ROUND('Gas Giant'!O116,0))</f>
        <v>134</v>
      </c>
      <c r="D24" s="71" t="n">
        <f aca="false">IF(C24="","",(C24-C23)/(B24-B23))</f>
        <v>-0.00105318588730911</v>
      </c>
      <c r="E24" s="71" t="n">
        <f aca="false">IF(C24="","",IF(C25="",0,(C25-C24)/(B25-B24)))</f>
        <v>-0.000810372771474878</v>
      </c>
    </row>
    <row r="25" customFormat="false" ht="15" hidden="false" customHeight="false" outlineLevel="0" collapsed="false">
      <c r="A25" s="69" t="str">
        <f aca="false">IF(B25="","Unused","key =")</f>
        <v>key =</v>
      </c>
      <c r="B25" s="69" t="n">
        <f aca="false">IF('Gas Giant'!Q117="|",ROUND('Gas Giant'!N117,0),IF('Gas Giant'!Q117="V",ROUND('Gas Giant'!N117,-3),""))</f>
        <v>122381</v>
      </c>
      <c r="C25" s="69" t="n">
        <f aca="false">IF(B25="","",ROUND('Gas Giant'!O117,0))</f>
        <v>118</v>
      </c>
      <c r="D25" s="71" t="n">
        <f aca="false">IF(C25="","",(C25-C24)/(B25-B24))</f>
        <v>-0.000810372771474878</v>
      </c>
      <c r="E25" s="71" t="n">
        <f aca="false">IF(C25="","",IF(C26="",0,(C26-C25)/(B26-B25)))</f>
        <v>-0.000446877443861021</v>
      </c>
    </row>
    <row r="26" customFormat="false" ht="15" hidden="false" customHeight="false" outlineLevel="0" collapsed="false">
      <c r="A26" s="69" t="str">
        <f aca="false">IF(B26="","Unused","key =")</f>
        <v>key =</v>
      </c>
      <c r="B26" s="69" t="n">
        <f aca="false">IF('Gas Giant'!Q118="|",ROUND('Gas Giant'!N118,0),IF('Gas Giant'!Q118="V",ROUND('Gas Giant'!N118,-3),""))</f>
        <v>140283</v>
      </c>
      <c r="C26" s="69" t="n">
        <f aca="false">IF(B26="","",ROUND('Gas Giant'!O118,0))</f>
        <v>110</v>
      </c>
      <c r="D26" s="71" t="n">
        <f aca="false">IF(C26="","",(C26-C25)/(B26-B25))</f>
        <v>-0.000446877443861021</v>
      </c>
      <c r="E26" s="71" t="n">
        <f aca="false">IF(C26="","",IF(C27="",0,(C27-C26)/(B27-B26)))</f>
        <v>-0.000175274596868427</v>
      </c>
    </row>
    <row r="27" customFormat="false" ht="15" hidden="false" customHeight="false" outlineLevel="0" collapsed="false">
      <c r="A27" s="69" t="str">
        <f aca="false">IF(B27="","Unused","key =")</f>
        <v>key =</v>
      </c>
      <c r="B27" s="69" t="n">
        <f aca="false">IF('Gas Giant'!Q119="|",ROUND('Gas Giant'!N119,0),IF('Gas Giant'!Q119="V",ROUND('Gas Giant'!N119,-3),""))</f>
        <v>157399</v>
      </c>
      <c r="C27" s="69" t="n">
        <f aca="false">IF(B27="","",ROUND('Gas Giant'!O119,0))</f>
        <v>107</v>
      </c>
      <c r="D27" s="71" t="n">
        <f aca="false">IF(C27="","",(C27-C26)/(B27-B26))</f>
        <v>-0.000175274596868427</v>
      </c>
      <c r="E27" s="71" t="n">
        <f aca="false">IF(C27="","",IF(C28="",0,(C28-C27)/(B28-B27)))</f>
        <v>0</v>
      </c>
    </row>
    <row r="28" customFormat="false" ht="15" hidden="false" customHeight="false" outlineLevel="0" collapsed="false">
      <c r="A28" s="69" t="str">
        <f aca="false">IF(B28="","Unused","key =")</f>
        <v>key =</v>
      </c>
      <c r="B28" s="69" t="n">
        <f aca="false">IF('Gas Giant'!Q120="|",ROUND('Gas Giant'!N120,0),IF('Gas Giant'!Q120="V",ROUND('Gas Giant'!N120,-3),""))</f>
        <v>174386</v>
      </c>
      <c r="C28" s="69" t="n">
        <f aca="false">IF(B28="","",ROUND('Gas Giant'!O120,0))</f>
        <v>107</v>
      </c>
      <c r="D28" s="71" t="n">
        <f aca="false">IF(C28="","",(C28-C27)/(B28-B27))</f>
        <v>0</v>
      </c>
      <c r="E28" s="71" t="n">
        <f aca="false">IF(C28="","",IF(C29="",0,(C29-C28)/(B29-B28)))</f>
        <v>0.000173110213502597</v>
      </c>
    </row>
    <row r="29" customFormat="false" ht="15" hidden="false" customHeight="false" outlineLevel="0" collapsed="false">
      <c r="A29" s="69" t="str">
        <f aca="false">IF(B29="","Unused","key =")</f>
        <v>key =</v>
      </c>
      <c r="B29" s="69" t="n">
        <f aca="false">IF('Gas Giant'!Q121="|",ROUND('Gas Giant'!N121,0),IF('Gas Giant'!Q121="V",ROUND('Gas Giant'!N121,-3),""))</f>
        <v>191716</v>
      </c>
      <c r="C29" s="69" t="n">
        <f aca="false">IF(B29="","",ROUND('Gas Giant'!O121,0))</f>
        <v>110</v>
      </c>
      <c r="D29" s="71" t="n">
        <f aca="false">IF(C29="","",(C29-C28)/(B29-B28))</f>
        <v>0.000173110213502597</v>
      </c>
      <c r="E29" s="71" t="n">
        <f aca="false">IF(C29="","",IF(C30="",0,(C30-C29)/(B30-B29)))</f>
        <v>0.000436824287430381</v>
      </c>
    </row>
    <row r="30" customFormat="false" ht="15" hidden="false" customHeight="false" outlineLevel="0" collapsed="false">
      <c r="A30" s="69" t="str">
        <f aca="false">IF(B30="","Unused","key =")</f>
        <v>key =</v>
      </c>
      <c r="B30" s="69" t="n">
        <f aca="false">IF('Gas Giant'!Q122="|",ROUND('Gas Giant'!N122,0),IF('Gas Giant'!Q122="V",ROUND('Gas Giant'!N122,-3),""))</f>
        <v>210030</v>
      </c>
      <c r="C30" s="69" t="n">
        <f aca="false">IF(B30="","",ROUND('Gas Giant'!O122,0))</f>
        <v>118</v>
      </c>
      <c r="D30" s="71" t="n">
        <f aca="false">IF(C30="","",(C30-C29)/(B30-B29))</f>
        <v>0.000436824287430381</v>
      </c>
      <c r="E30" s="71" t="n">
        <f aca="false">IF(C30="","",IF(C31="",0,(C31-C30)/(B31-B30)))</f>
        <v>0.000505229121406558</v>
      </c>
    </row>
    <row r="31" customFormat="false" ht="15" hidden="false" customHeight="false" outlineLevel="0" collapsed="false">
      <c r="A31" s="69" t="str">
        <f aca="false">IF(B31="","Unused","key =")</f>
        <v>key =</v>
      </c>
      <c r="B31" s="69" t="n">
        <f aca="false">IF('Gas Giant'!Q123="|",ROUND('Gas Giant'!N123,0),IF('Gas Giant'!Q123="V",ROUND('Gas Giant'!N123,-3),""))</f>
        <v>229823</v>
      </c>
      <c r="C31" s="69" t="n">
        <f aca="false">IF(B31="","",ROUND('Gas Giant'!O123,0))</f>
        <v>128</v>
      </c>
      <c r="D31" s="71" t="n">
        <f aca="false">IF(C31="","",(C31-C30)/(B31-B30))</f>
        <v>0.000505229121406558</v>
      </c>
      <c r="E31" s="71" t="n">
        <f aca="false">IF(C31="","",IF(C32="",0,(C32-C31)/(B32-B31)))</f>
        <v>0.000512175815989198</v>
      </c>
    </row>
    <row r="32" customFormat="false" ht="15" hidden="false" customHeight="false" outlineLevel="0" collapsed="false">
      <c r="A32" s="69" t="str">
        <f aca="false">IF(B32="","Unused","key =")</f>
        <v>key =</v>
      </c>
      <c r="B32" s="69" t="n">
        <f aca="false">IF('Gas Giant'!Q124="|",ROUND('Gas Giant'!N124,0),IF('Gas Giant'!Q124="V",ROUND('Gas Giant'!N124,-3),""))</f>
        <v>251300</v>
      </c>
      <c r="C32" s="69" t="n">
        <f aca="false">IF(B32="","",ROUND('Gas Giant'!O124,0))</f>
        <v>139</v>
      </c>
      <c r="D32" s="71" t="n">
        <f aca="false">IF(C32="","",(C32-C31)/(B32-B31))</f>
        <v>0.000512175815989198</v>
      </c>
      <c r="E32" s="71" t="n">
        <f aca="false">IF(C32="","",IF(C33="",0,(C33-C32)/(B33-B32)))</f>
        <v>0.000390218522372529</v>
      </c>
    </row>
    <row r="33" customFormat="false" ht="15" hidden="false" customHeight="false" outlineLevel="0" collapsed="false">
      <c r="A33" s="69" t="str">
        <f aca="false">IF(B33="","Unused","key =")</f>
        <v>key =</v>
      </c>
      <c r="B33" s="69" t="n">
        <f aca="false">IF('Gas Giant'!Q125="|",ROUND('Gas Giant'!N125,0),IF('Gas Giant'!Q125="V",ROUND('Gas Giant'!N125,-3),""))</f>
        <v>274364</v>
      </c>
      <c r="C33" s="69" t="n">
        <f aca="false">IF(B33="","",ROUND('Gas Giant'!O125,0))</f>
        <v>148</v>
      </c>
      <c r="D33" s="71" t="n">
        <f aca="false">IF(C33="","",(C33-C32)/(B33-B32))</f>
        <v>0.000390218522372529</v>
      </c>
      <c r="E33" s="71" t="n">
        <f aca="false">IF(C33="","",IF(C34="",0,(C34-C33)/(B34-B33)))</f>
        <v>0.000206151562628845</v>
      </c>
    </row>
    <row r="34" customFormat="false" ht="15" hidden="false" customHeight="false" outlineLevel="0" collapsed="false">
      <c r="A34" s="69" t="str">
        <f aca="false">IF(B34="","Unused","key =")</f>
        <v>key =</v>
      </c>
      <c r="B34" s="69" t="n">
        <f aca="false">IF('Gas Giant'!Q126="|",ROUND('Gas Giant'!N126,0),IF('Gas Giant'!Q126="V",ROUND('Gas Giant'!N126,-3),""))</f>
        <v>298618</v>
      </c>
      <c r="C34" s="69" t="n">
        <f aca="false">IF(B34="","",ROUND('Gas Giant'!O126,0))</f>
        <v>153</v>
      </c>
      <c r="D34" s="71" t="n">
        <f aca="false">IF(C34="","",(C34-C33)/(B34-B33))</f>
        <v>0.000206151562628845</v>
      </c>
      <c r="E34" s="71" t="n">
        <f aca="false">IF(C34="","",IF(C35="",0,(C35-C34)/(B35-B34)))</f>
        <v>0</v>
      </c>
    </row>
    <row r="35" customFormat="false" ht="15" hidden="false" customHeight="false" outlineLevel="0" collapsed="false">
      <c r="A35" s="69" t="str">
        <f aca="false">IF(B35="","Unused","key =")</f>
        <v>key =</v>
      </c>
      <c r="B35" s="69" t="n">
        <f aca="false">IF('Gas Giant'!Q127="|",ROUND('Gas Giant'!N127,0),IF('Gas Giant'!Q127="V",ROUND('Gas Giant'!N127,-3),""))</f>
        <v>323417</v>
      </c>
      <c r="C35" s="69" t="n">
        <f aca="false">IF(B35="","",ROUND('Gas Giant'!O127,0))</f>
        <v>153</v>
      </c>
      <c r="D35" s="71" t="n">
        <f aca="false">IF(C35="","",(C35-C34)/(B35-B34))</f>
        <v>0</v>
      </c>
      <c r="E35" s="71" t="n">
        <f aca="false">IF(C35="","",IF(C36="",0,(C36-C35)/(B36-B35)))</f>
        <v>0</v>
      </c>
    </row>
    <row r="36" customFormat="false" ht="15" hidden="false" customHeight="false" outlineLevel="0" collapsed="false">
      <c r="A36" s="69" t="str">
        <f aca="false">IF(B36="","Unused","key =")</f>
        <v>key =</v>
      </c>
      <c r="B36" s="69" t="n">
        <f aca="false">IF('Gas Giant'!Q128="|",ROUND('Gas Giant'!N128,0),IF('Gas Giant'!Q128="V",ROUND('Gas Giant'!N128,-3),""))</f>
        <v>348331</v>
      </c>
      <c r="C36" s="69" t="n">
        <f aca="false">IF(B36="","",ROUND('Gas Giant'!O128,0))</f>
        <v>153</v>
      </c>
      <c r="D36" s="71" t="n">
        <f aca="false">IF(C36="","",(C36-C35)/(B36-B35))</f>
        <v>0</v>
      </c>
      <c r="E36" s="71" t="n">
        <f aca="false">IF(C36="","",IF(C37="",0,(C37-C36)/(B37-B36)))</f>
        <v>0</v>
      </c>
    </row>
    <row r="37" customFormat="false" ht="15" hidden="false" customHeight="false" outlineLevel="0" collapsed="false">
      <c r="A37" s="69" t="str">
        <f aca="false">IF(B37="","Unused","key =")</f>
        <v>key =</v>
      </c>
      <c r="B37" s="69" t="n">
        <f aca="false">IF('Gas Giant'!Q129="|",ROUND('Gas Giant'!N129,0),IF('Gas Giant'!Q129="V",ROUND('Gas Giant'!N129,-3),""))</f>
        <v>373293</v>
      </c>
      <c r="C37" s="69" t="n">
        <f aca="false">IF(B37="","",ROUND('Gas Giant'!O129,0))</f>
        <v>153</v>
      </c>
      <c r="D37" s="71" t="n">
        <f aca="false">IF(C37="","",(C37-C36)/(B37-B36))</f>
        <v>0</v>
      </c>
      <c r="E37" s="71" t="n">
        <f aca="false">IF(C37="","",IF(C38="",0,(C38-C37)/(B38-B37)))</f>
        <v>0</v>
      </c>
    </row>
    <row r="38" customFormat="false" ht="15" hidden="false" customHeight="false" outlineLevel="0" collapsed="false">
      <c r="A38" s="69" t="str">
        <f aca="false">IF(B38="","Unused","key =")</f>
        <v>key =</v>
      </c>
      <c r="B38" s="69" t="n">
        <f aca="false">IF('Gas Giant'!Q130="|",ROUND('Gas Giant'!N130,0),IF('Gas Giant'!Q130="V",ROUND('Gas Giant'!N130,-3),""))</f>
        <v>398305</v>
      </c>
      <c r="C38" s="69" t="n">
        <f aca="false">IF(B38="","",ROUND('Gas Giant'!O130,0))</f>
        <v>153</v>
      </c>
      <c r="D38" s="71" t="n">
        <f aca="false">IF(C38="","",(C38-C37)/(B38-B37))</f>
        <v>0</v>
      </c>
      <c r="E38" s="71" t="n">
        <f aca="false">IF(C38="","",IF(C39="",0,(C39-C38)/(B39-B38)))</f>
        <v>7.78361548939482E-005</v>
      </c>
    </row>
    <row r="39" customFormat="false" ht="15" hidden="false" customHeight="false" outlineLevel="0" collapsed="false">
      <c r="A39" s="69" t="str">
        <f aca="false">IF(B39="","Unused","key =")</f>
        <v>key =</v>
      </c>
      <c r="B39" s="69" t="n">
        <f aca="false">IF('Gas Giant'!Q131="|",ROUND('Gas Giant'!N131,0),IF('Gas Giant'!Q131="V",ROUND('Gas Giant'!N131,-3),""))</f>
        <v>424000</v>
      </c>
      <c r="C39" s="69" t="n">
        <f aca="false">IF(B39="","",ROUND('Gas Giant'!O131,0))</f>
        <v>155</v>
      </c>
      <c r="D39" s="71" t="n">
        <f aca="false">IF(C39="","",(C39-C38)/(B39-B38))</f>
        <v>7.78361548939482E-005</v>
      </c>
      <c r="E39" s="71" t="n">
        <f aca="false">IF(C39="","",IF(C40="",0,(C40-C39)/(B40-B39)))</f>
        <v>0</v>
      </c>
    </row>
    <row r="40" customFormat="false" ht="15" hidden="false" customHeight="false" outlineLevel="0" collapsed="false">
      <c r="A40" s="69" t="str">
        <f aca="false">IF(B40="","Unused","key =")</f>
        <v>Unused</v>
      </c>
      <c r="B40" s="69" t="str">
        <f aca="false">IF('Gas Giant'!Q132="|",ROUND('Gas Giant'!N132,0),IF('Gas Giant'!Q132="V",ROUND('Gas Giant'!N132,-3),""))</f>
        <v/>
      </c>
      <c r="C40" s="69" t="str">
        <f aca="false">IF(B40="","",ROUND('Gas Giant'!O132,0))</f>
        <v/>
      </c>
      <c r="D40" s="71" t="str">
        <f aca="false">IF(C40="","",(C40-C39)/(B40-B39))</f>
        <v/>
      </c>
      <c r="E40" s="71" t="str">
        <f aca="false">IF(C40="","",IF(C41="",0,(C41-C40)/(B41-B40)))</f>
        <v/>
      </c>
    </row>
    <row r="41" customFormat="false" ht="15" hidden="false" customHeight="false" outlineLevel="0" collapsed="false">
      <c r="A41" s="69" t="str">
        <f aca="false">IF(B41="","Unused","key =")</f>
        <v>Unused</v>
      </c>
      <c r="B41" s="69" t="str">
        <f aca="false">IF('Gas Giant'!Q133="|",ROUND('Gas Giant'!N133,0),IF('Gas Giant'!Q133="V",ROUND('Gas Giant'!N133,-3),""))</f>
        <v/>
      </c>
      <c r="C41" s="69" t="str">
        <f aca="false">IF(B41="","",ROUND('Gas Giant'!O133,0))</f>
        <v/>
      </c>
      <c r="D41" s="71" t="str">
        <f aca="false">IF(C41="","",(C41-C40)/(B41-B40))</f>
        <v/>
      </c>
      <c r="E41" s="71" t="str">
        <f aca="false">IF(C41="","",IF(C42="",0,(C42-C41)/(B42-B41)))</f>
        <v/>
      </c>
    </row>
    <row r="42" customFormat="false" ht="15" hidden="false" customHeight="false" outlineLevel="0" collapsed="false">
      <c r="A42" s="69" t="str">
        <f aca="false">IF(B42="","Unused","key =")</f>
        <v>Unused</v>
      </c>
      <c r="B42" s="69" t="str">
        <f aca="false">IF('Gas Giant'!Q134="|",ROUND('Gas Giant'!N134,0),IF('Gas Giant'!Q134="V",ROUND('Gas Giant'!N134,-3),""))</f>
        <v/>
      </c>
      <c r="C42" s="69" t="str">
        <f aca="false">IF(B42="","",ROUND('Gas Giant'!O134,0))</f>
        <v/>
      </c>
      <c r="D42" s="71" t="str">
        <f aca="false">IF(C42="","",(C42-C41)/(B42-B41))</f>
        <v/>
      </c>
      <c r="E42" s="71" t="str">
        <f aca="false">IF(C42="","",IF(C43="",0,(C43-C42)/(B43-B42)))</f>
        <v/>
      </c>
    </row>
    <row r="43" customFormat="false" ht="15" hidden="false" customHeight="false" outlineLevel="0" collapsed="false">
      <c r="A43" s="69" t="str">
        <f aca="false">IF(B43="","Unused","key =")</f>
        <v>Unused</v>
      </c>
      <c r="B43" s="69" t="str">
        <f aca="false">IF('Gas Giant'!Q135="|",ROUND('Gas Giant'!N135,0),IF('Gas Giant'!Q135="V",ROUND('Gas Giant'!N135,-3),""))</f>
        <v/>
      </c>
      <c r="C43" s="69" t="str">
        <f aca="false">IF(B43="","",ROUND('Gas Giant'!O135,0))</f>
        <v/>
      </c>
      <c r="D43" s="71" t="str">
        <f aca="false">IF(C43="","",(C43-C42)/(B43-B42))</f>
        <v/>
      </c>
      <c r="E43" s="71" t="str">
        <f aca="false">IF(C43="","",IF(C44="",0,(C44-C43)/(B44-B43)))</f>
        <v/>
      </c>
    </row>
    <row r="44" customFormat="false" ht="15" hidden="false" customHeight="false" outlineLevel="0" collapsed="false">
      <c r="A44" s="69" t="str">
        <f aca="false">IF(B44="","Unused","key =")</f>
        <v>Unused</v>
      </c>
      <c r="B44" s="69" t="str">
        <f aca="false">IF('Gas Giant'!Q136="|",ROUND('Gas Giant'!N136,0),IF('Gas Giant'!Q136="V",ROUND('Gas Giant'!N136,-3),""))</f>
        <v/>
      </c>
      <c r="C44" s="69" t="str">
        <f aca="false">IF(B44="","",ROUND('Gas Giant'!O136,0))</f>
        <v/>
      </c>
      <c r="D44" s="71" t="str">
        <f aca="false">IF(C44="","",(C44-C43)/(B44-B43))</f>
        <v/>
      </c>
      <c r="E44" s="71" t="str">
        <f aca="false">IF(C44="","",IF(C45="",0,(C45-C44)/(B45-B44)))</f>
        <v/>
      </c>
    </row>
    <row r="45" customFormat="false" ht="15" hidden="false" customHeight="false" outlineLevel="0" collapsed="false">
      <c r="A45" s="69" t="str">
        <f aca="false">IF(B45="","Unused","key =")</f>
        <v>Unused</v>
      </c>
      <c r="B45" s="69" t="str">
        <f aca="false">IF('Gas Giant'!Q137="|",ROUND('Gas Giant'!N137,0),IF('Gas Giant'!Q137="V",ROUND('Gas Giant'!N137,-3),""))</f>
        <v/>
      </c>
      <c r="C45" s="69" t="str">
        <f aca="false">IF(B45="","",ROUND('Gas Giant'!O137,0))</f>
        <v/>
      </c>
      <c r="D45" s="71" t="str">
        <f aca="false">IF(C45="","",(C45-C44)/(B45-B44))</f>
        <v/>
      </c>
      <c r="E45" s="71" t="str">
        <f aca="false">IF(C45="","",IF(C46="",0,(C46-C45)/(B46-B45)))</f>
        <v/>
      </c>
    </row>
    <row r="46" customFormat="false" ht="15" hidden="false" customHeight="false" outlineLevel="0" collapsed="false">
      <c r="A46" s="69" t="str">
        <f aca="false">IF(B46="","Unused","key =")</f>
        <v>Unused</v>
      </c>
      <c r="B46" s="69" t="str">
        <f aca="false">IF('Gas Giant'!Q138="|",ROUND('Gas Giant'!N138,0),IF('Gas Giant'!Q138="V",ROUND('Gas Giant'!N138,-3),""))</f>
        <v/>
      </c>
      <c r="C46" s="69" t="str">
        <f aca="false">IF(B46="","",ROUND('Gas Giant'!O138,0))</f>
        <v/>
      </c>
      <c r="D46" s="71" t="str">
        <f aca="false">IF(C46="","",(C46-C45)/(B46-B45))</f>
        <v/>
      </c>
      <c r="E46" s="71" t="str">
        <f aca="false">IF(C46="","",IF(C47="",0,(C47-C46)/(B47-B46)))</f>
        <v/>
      </c>
    </row>
    <row r="47" customFormat="false" ht="15" hidden="false" customHeight="false" outlineLevel="0" collapsed="false">
      <c r="A47" s="69" t="str">
        <f aca="false">IF(B47="","Unused","key =")</f>
        <v>Unused</v>
      </c>
      <c r="B47" s="69" t="str">
        <f aca="false">IF('Gas Giant'!Q139="|",ROUND('Gas Giant'!N139,0),IF('Gas Giant'!Q139="V",ROUND('Gas Giant'!N139,-3),""))</f>
        <v/>
      </c>
      <c r="C47" s="69" t="str">
        <f aca="false">IF(B47="","",ROUND('Gas Giant'!O139,0))</f>
        <v/>
      </c>
      <c r="D47" s="71" t="str">
        <f aca="false">IF(C47="","",(C47-C46)/(B47-B46))</f>
        <v/>
      </c>
      <c r="E47" s="71" t="str">
        <f aca="false">IF(C47="","",IF(C48="",0,(C48-C47)/(B48-B47)))</f>
        <v/>
      </c>
    </row>
    <row r="48" customFormat="false" ht="15" hidden="false" customHeight="false" outlineLevel="0" collapsed="false">
      <c r="A48" s="69" t="str">
        <f aca="false">IF(B48="","Unused","key =")</f>
        <v>Unused</v>
      </c>
      <c r="B48" s="69" t="str">
        <f aca="false">IF('Gas Giant'!Q140="|",ROUND('Gas Giant'!N140,0),IF('Gas Giant'!Q140="V",ROUND('Gas Giant'!N140,-3),""))</f>
        <v/>
      </c>
      <c r="C48" s="69" t="str">
        <f aca="false">IF(B48="","",ROUND('Gas Giant'!O140,0))</f>
        <v/>
      </c>
      <c r="D48" s="71" t="str">
        <f aca="false">IF(C48="","",(C48-C47)/(B48-B47))</f>
        <v/>
      </c>
      <c r="E48" s="71" t="str">
        <f aca="false">IF(C48="","",IF(C49="",0,(C49-C48)/(B49-B48)))</f>
        <v/>
      </c>
    </row>
    <row r="49" customFormat="false" ht="15" hidden="false" customHeight="false" outlineLevel="0" collapsed="false">
      <c r="A49" s="69" t="str">
        <f aca="false">IF(B49="","Unused","key =")</f>
        <v>Unused</v>
      </c>
      <c r="B49" s="69" t="str">
        <f aca="false">IF('Gas Giant'!Q141="|",ROUND('Gas Giant'!N141,0),IF('Gas Giant'!Q141="V",ROUND('Gas Giant'!N141,-3),""))</f>
        <v/>
      </c>
      <c r="C49" s="69" t="str">
        <f aca="false">IF(B49="","",ROUND('Gas Giant'!O141,0))</f>
        <v/>
      </c>
      <c r="D49" s="71" t="str">
        <f aca="false">IF(C49="","",(C49-C48)/(B49-B48))</f>
        <v/>
      </c>
      <c r="E49" s="71" t="str">
        <f aca="false">IF(C49="","",IF(C50="",0,(C50-C49)/(B50-B49)))</f>
        <v/>
      </c>
    </row>
    <row r="50" customFormat="false" ht="15" hidden="false" customHeight="false" outlineLevel="0" collapsed="false">
      <c r="A50" s="69" t="str">
        <f aca="false">IF(B50="","Unused","key =")</f>
        <v>Unused</v>
      </c>
      <c r="B50" s="69" t="str">
        <f aca="false">IF('Gas Giant'!Q142="|",ROUND('Gas Giant'!N142,0),IF('Gas Giant'!Q142="V",ROUND('Gas Giant'!N142,-3),""))</f>
        <v/>
      </c>
      <c r="C50" s="69" t="str">
        <f aca="false">IF(B50="","",ROUND('Gas Giant'!O142,0))</f>
        <v/>
      </c>
      <c r="D50" s="71" t="str">
        <f aca="false">IF(C50="","",(C50-C49)/(B50-B49))</f>
        <v/>
      </c>
      <c r="E50" s="71" t="str">
        <f aca="false">IF(C50="","",IF(C51="",0,(C51-C50)/(B51-B50)))</f>
        <v/>
      </c>
    </row>
    <row r="51" customFormat="false" ht="15" hidden="false" customHeight="false" outlineLevel="0" collapsed="false">
      <c r="A51" s="69" t="str">
        <f aca="false">IF(B51="","Unused","key =")</f>
        <v>Unused</v>
      </c>
      <c r="B51" s="69" t="str">
        <f aca="false">IF('Gas Giant'!Q143="|",ROUND('Gas Giant'!N143,0),IF('Gas Giant'!Q143="V",ROUND('Gas Giant'!N143,-3),""))</f>
        <v/>
      </c>
      <c r="C51" s="69" t="str">
        <f aca="false">IF(B51="","",ROUND('Gas Giant'!O143,0))</f>
        <v/>
      </c>
      <c r="D51" s="71" t="str">
        <f aca="false">IF(C51="","",(C51-C50)/(B51-B50))</f>
        <v/>
      </c>
      <c r="E51" s="71" t="str">
        <f aca="false">IF(C51="","",IF(C52="",0,(C52-C51)/(B52-B51)))</f>
        <v/>
      </c>
    </row>
    <row r="52" customFormat="false" ht="15" hidden="false" customHeight="false" outlineLevel="0" collapsed="false">
      <c r="A52" s="66" t="s">
        <v>212</v>
      </c>
      <c r="B52" s="69"/>
      <c r="C52" s="69"/>
      <c r="D52" s="71"/>
      <c r="E52" s="71"/>
    </row>
    <row r="53" customFormat="false" ht="15" hidden="false" customHeight="false" outlineLevel="0" collapsed="false">
      <c r="A53" s="66" t="s">
        <v>226</v>
      </c>
      <c r="B53" s="69"/>
      <c r="C53" s="69"/>
      <c r="D53" s="71"/>
      <c r="E53" s="71"/>
    </row>
    <row r="54" customFormat="false" ht="15" hidden="false" customHeight="false" outlineLevel="0" collapsed="false">
      <c r="A54" s="66" t="s">
        <v>209</v>
      </c>
      <c r="B54" s="69"/>
      <c r="C54" s="69"/>
      <c r="D54" s="71"/>
      <c r="E54" s="71"/>
    </row>
    <row r="55" customFormat="false" ht="15" hidden="false" customHeight="false" outlineLevel="0" collapsed="false">
      <c r="A55" s="69" t="str">
        <f aca="false">IF(B55="","Unused","key =")</f>
        <v>key =</v>
      </c>
      <c r="B55" s="69" t="n">
        <v>0</v>
      </c>
      <c r="C55" s="70" t="n">
        <v>0</v>
      </c>
      <c r="D55" s="71" t="n">
        <v>0</v>
      </c>
      <c r="E55" s="71" t="n">
        <f aca="false">(C56-C55)/(B56-B55)</f>
        <v>0</v>
      </c>
    </row>
    <row r="56" customFormat="false" ht="15" hidden="false" customHeight="false" outlineLevel="0" collapsed="false">
      <c r="A56" s="69" t="str">
        <f aca="false">IF(B56="","Unused","key =")</f>
        <v>key =</v>
      </c>
      <c r="B56" s="68" t="n">
        <f aca="false">ROUND('Gas Giant'!N116,0)</f>
        <v>102637</v>
      </c>
      <c r="C56" s="70" t="n">
        <f aca="false">ROUND('Gas Giant'!P116,3)</f>
        <v>0</v>
      </c>
      <c r="D56" s="71" t="n">
        <f aca="false">(C56-C55)/(B56-B55)</f>
        <v>0</v>
      </c>
      <c r="E56" s="71" t="n">
        <f aca="false">(C57-C56)/(B57-B56)</f>
        <v>2.532414910859E-006</v>
      </c>
    </row>
    <row r="57" customFormat="false" ht="15" hidden="false" customHeight="false" outlineLevel="0" collapsed="false">
      <c r="A57" s="69" t="str">
        <f aca="false">IF(B57="","Unused","key =")</f>
        <v>key =</v>
      </c>
      <c r="B57" s="68" t="n">
        <f aca="false">ROUND('Gas Giant'!N117,0)</f>
        <v>122381</v>
      </c>
      <c r="C57" s="70" t="n">
        <f aca="false">ROUND('Gas Giant'!P117,3)</f>
        <v>0.05</v>
      </c>
      <c r="D57" s="71" t="n">
        <f aca="false">(C57-C56)/(B57-B56)</f>
        <v>2.532414910859E-006</v>
      </c>
      <c r="E57" s="71" t="n">
        <f aca="false">(C58-C57)/(B58-B57)</f>
        <v>8.37895207239415E-006</v>
      </c>
    </row>
    <row r="58" customFormat="false" ht="15" hidden="false" customHeight="false" outlineLevel="0" collapsed="false">
      <c r="A58" s="69" t="str">
        <f aca="false">IF(B58="","Unused","key =")</f>
        <v>key =</v>
      </c>
      <c r="B58" s="68" t="n">
        <f aca="false">ROUND('Gas Giant'!N118,0)</f>
        <v>140283</v>
      </c>
      <c r="C58" s="70" t="n">
        <f aca="false">ROUND('Gas Giant'!P118,3)</f>
        <v>0.2</v>
      </c>
      <c r="D58" s="71" t="n">
        <f aca="false">(C58-C57)/(B58-B57)</f>
        <v>8.37895207239415E-006</v>
      </c>
      <c r="E58" s="71" t="n">
        <f aca="false">(C59-C58)/(B59-B58)</f>
        <v>1.3145594765132E-005</v>
      </c>
    </row>
    <row r="59" customFormat="false" ht="15" hidden="false" customHeight="false" outlineLevel="0" collapsed="false">
      <c r="A59" s="69" t="str">
        <f aca="false">IF(B59="","Unused","key =")</f>
        <v>key =</v>
      </c>
      <c r="B59" s="68" t="n">
        <f aca="false">ROUND('Gas Giant'!N119,0)</f>
        <v>157399</v>
      </c>
      <c r="C59" s="70" t="n">
        <f aca="false">ROUND('Gas Giant'!P119,3)</f>
        <v>0.425</v>
      </c>
      <c r="D59" s="71" t="n">
        <f aca="false">(C59-C58)/(B59-B58)</f>
        <v>1.3145594765132E-005</v>
      </c>
      <c r="E59" s="71" t="n">
        <f aca="false">(C60-C59)/(B60-B59)</f>
        <v>1.32454229705069E-005</v>
      </c>
    </row>
    <row r="60" customFormat="false" ht="15" hidden="false" customHeight="false" outlineLevel="0" collapsed="false">
      <c r="A60" s="69" t="str">
        <f aca="false">IF(B60="","Unused","key =")</f>
        <v>key =</v>
      </c>
      <c r="B60" s="68" t="n">
        <f aca="false">ROUND('Gas Giant'!N120,0)</f>
        <v>174386</v>
      </c>
      <c r="C60" s="70" t="n">
        <f aca="false">ROUND('Gas Giant'!P120,3)</f>
        <v>0.65</v>
      </c>
      <c r="D60" s="71" t="n">
        <f aca="false">(C60-C59)/(B60-B59)</f>
        <v>1.32454229705069E-005</v>
      </c>
      <c r="E60" s="71" t="n">
        <f aca="false">(C61-C60)/(B61-B60)</f>
        <v>1.15406809001731E-005</v>
      </c>
    </row>
    <row r="61" customFormat="false" ht="15" hidden="false" customHeight="false" outlineLevel="0" collapsed="false">
      <c r="A61" s="69" t="str">
        <f aca="false">IF(B61="","Unused","key =")</f>
        <v>key =</v>
      </c>
      <c r="B61" s="68" t="n">
        <f aca="false">ROUND('Gas Giant'!N121,0)</f>
        <v>191716</v>
      </c>
      <c r="C61" s="70" t="n">
        <f aca="false">ROUND('Gas Giant'!P121,3)</f>
        <v>0.85</v>
      </c>
      <c r="D61" s="71" t="n">
        <f aca="false">(C61-C60)/(B61-B60)</f>
        <v>1.15406809001731E-005</v>
      </c>
      <c r="E61" s="71" t="n">
        <f aca="false">(C62-C61)/(B62-B61)</f>
        <v>8.19045538931965E-006</v>
      </c>
    </row>
    <row r="62" customFormat="false" ht="15" hidden="false" customHeight="false" outlineLevel="0" collapsed="false">
      <c r="A62" s="69" t="str">
        <f aca="false">IF(B62="","Unused","key =")</f>
        <v>key =</v>
      </c>
      <c r="B62" s="68" t="n">
        <f aca="false">ROUND('Gas Giant'!N122,0)</f>
        <v>210030</v>
      </c>
      <c r="C62" s="70" t="n">
        <f aca="false">ROUND('Gas Giant'!P122,3)</f>
        <v>1</v>
      </c>
      <c r="D62" s="71" t="n">
        <f aca="false">(C62-C61)/(B62-B61)</f>
        <v>8.19045538931965E-006</v>
      </c>
      <c r="E62" s="71" t="n">
        <f aca="false">(C63-C62)/(B63-B62)</f>
        <v>4.67355236715427E-006</v>
      </c>
    </row>
    <row r="63" customFormat="false" ht="15" hidden="false" customHeight="false" outlineLevel="0" collapsed="false">
      <c r="A63" s="69" t="str">
        <f aca="false">IF(B63="","Unused","key =")</f>
        <v>key =</v>
      </c>
      <c r="B63" s="68" t="n">
        <f aca="false">'Gas Giant'!G89</f>
        <v>424000</v>
      </c>
      <c r="C63" s="70" t="n">
        <v>2</v>
      </c>
      <c r="D63" s="71" t="n">
        <f aca="false">(C63-C62)/(B63-B62)</f>
        <v>4.67355236715427E-006</v>
      </c>
      <c r="E63" s="71" t="n">
        <v>0</v>
      </c>
    </row>
    <row r="64" customFormat="false" ht="15" hidden="false" customHeight="false" outlineLevel="0" collapsed="false">
      <c r="A64" s="66" t="s">
        <v>212</v>
      </c>
      <c r="B64" s="69"/>
      <c r="C64" s="69"/>
      <c r="D64" s="69"/>
      <c r="E64" s="69"/>
    </row>
    <row r="65" customFormat="false" ht="15" hidden="false" customHeight="false" outlineLevel="0" collapsed="false">
      <c r="A65" s="66" t="s">
        <v>227</v>
      </c>
      <c r="B65" s="69"/>
      <c r="C65" s="69"/>
      <c r="D65" s="69"/>
      <c r="E65" s="69"/>
    </row>
    <row r="66" customFormat="false" ht="15" hidden="false" customHeight="false" outlineLevel="0" collapsed="false">
      <c r="A66" s="66" t="s">
        <v>209</v>
      </c>
      <c r="B66" s="69"/>
      <c r="C66" s="69"/>
      <c r="D66" s="69"/>
      <c r="E66" s="69"/>
    </row>
    <row r="67" customFormat="false" ht="15" hidden="false" customHeight="false" outlineLevel="0" collapsed="false">
      <c r="A67" s="69" t="s">
        <v>224</v>
      </c>
      <c r="B67" s="69" t="n">
        <v>0</v>
      </c>
      <c r="C67" s="69" t="n">
        <f aca="false">ROUND('Gas Giant'!G$76*(COS(RADIANS(B67))-COS(RADIANS(38))),2)</f>
        <v>0.85</v>
      </c>
      <c r="D67" s="69" t="n">
        <v>0</v>
      </c>
      <c r="E67" s="69" t="n">
        <f aca="false">ROUND(-'Gas Giant'!G$76*SIN(RADIANS(B67))*PI()/180,4)</f>
        <v>0</v>
      </c>
    </row>
    <row r="68" customFormat="false" ht="15" hidden="false" customHeight="false" outlineLevel="0" collapsed="false">
      <c r="A68" s="69" t="s">
        <v>224</v>
      </c>
      <c r="B68" s="69" t="n">
        <v>38</v>
      </c>
      <c r="C68" s="69" t="n">
        <f aca="false">ROUND('Gas Giant'!G$76*(COS(RADIANS(B68))-COS(RADIANS(38))),2)</f>
        <v>0</v>
      </c>
      <c r="D68" s="69" t="n">
        <f aca="false">ROUND(-'Gas Giant'!G$76*SIN(RADIANS(B68))*PI()/180,4)</f>
        <v>-0.043</v>
      </c>
      <c r="E68" s="69" t="n">
        <f aca="false">ROUND(-'Gas Giant'!G$76*SIN(RADIANS(B68))*PI()/180,4)</f>
        <v>-0.043</v>
      </c>
    </row>
    <row r="69" customFormat="false" ht="15" hidden="false" customHeight="false" outlineLevel="0" collapsed="false">
      <c r="A69" s="69" t="s">
        <v>224</v>
      </c>
      <c r="B69" s="69" t="n">
        <v>90</v>
      </c>
      <c r="C69" s="69" t="n">
        <f aca="false">ROUND('Gas Giant'!G$76*(COS(RADIANS(B69))-COS(RADIANS(38))),2)</f>
        <v>-3.15</v>
      </c>
      <c r="D69" s="69" t="n">
        <f aca="false">ROUND(-'Gas Giant'!G$76*SIN(RADIANS(B69))*PI()/180,4)</f>
        <v>-0.0698</v>
      </c>
      <c r="E69" s="69" t="n">
        <v>0</v>
      </c>
    </row>
    <row r="70" customFormat="false" ht="15" hidden="false" customHeight="false" outlineLevel="0" collapsed="false">
      <c r="A70" s="66" t="s">
        <v>212</v>
      </c>
      <c r="B70" s="69"/>
      <c r="C70" s="69"/>
      <c r="D70" s="69"/>
      <c r="E70" s="69"/>
    </row>
    <row r="71" customFormat="false" ht="15" hidden="false" customHeight="false" outlineLevel="0" collapsed="false">
      <c r="A71" s="66" t="s">
        <v>228</v>
      </c>
      <c r="B71" s="69"/>
      <c r="C71" s="69"/>
      <c r="D71" s="69"/>
      <c r="E71" s="69"/>
    </row>
    <row r="72" customFormat="false" ht="15" hidden="false" customHeight="false" outlineLevel="0" collapsed="false">
      <c r="A72" s="66" t="s">
        <v>209</v>
      </c>
      <c r="B72" s="69"/>
      <c r="C72" s="69"/>
      <c r="D72" s="69"/>
      <c r="E72" s="69"/>
    </row>
    <row r="73" customFormat="false" ht="15" hidden="false" customHeight="false" outlineLevel="0" collapsed="false">
      <c r="A73" s="69" t="s">
        <v>224</v>
      </c>
      <c r="B73" s="69" t="n">
        <v>0</v>
      </c>
      <c r="C73" s="69" t="n">
        <f aca="false">ROUND(('Gas Giant'!G$74-'Gas Giant'!G$75)*COS(RADIANS(B73))+'Gas Giant'!G$75,2)</f>
        <v>5</v>
      </c>
      <c r="D73" s="69" t="n">
        <v>0</v>
      </c>
      <c r="E73" s="69" t="n">
        <f aca="false">ROUND(('Gas Giant'!G$75-'Gas Giant'!G$74)*SIN(RADIANS(B73))*PI()/180,4)</f>
        <v>0</v>
      </c>
    </row>
    <row r="74" customFormat="false" ht="15" hidden="false" customHeight="false" outlineLevel="0" collapsed="false">
      <c r="A74" s="69" t="s">
        <v>224</v>
      </c>
      <c r="B74" s="69" t="n">
        <v>38</v>
      </c>
      <c r="C74" s="69" t="n">
        <f aca="false">ROUND(('Gas Giant'!G$74-'Gas Giant'!G$75)*COS(RADIANS(B74))+'Gas Giant'!G$75,2)</f>
        <v>4.15</v>
      </c>
      <c r="D74" s="69" t="n">
        <f aca="false">ROUND(('Gas Giant'!G$75-'Gas Giant'!G$74)*SIN(RADIANS(B74))*PI()/180,4)</f>
        <v>-0.043</v>
      </c>
      <c r="E74" s="69" t="n">
        <f aca="false">ROUND(('Gas Giant'!G$75-'Gas Giant'!G$74)*SIN(RADIANS(B74))*PI()/180,4)</f>
        <v>-0.043</v>
      </c>
    </row>
    <row r="75" customFormat="false" ht="15" hidden="false" customHeight="false" outlineLevel="0" collapsed="false">
      <c r="A75" s="69" t="s">
        <v>224</v>
      </c>
      <c r="B75" s="69" t="n">
        <v>90</v>
      </c>
      <c r="C75" s="69" t="n">
        <f aca="false">ROUND(('Gas Giant'!G$74-'Gas Giant'!G$75)*COS(RADIANS(B75))+'Gas Giant'!G$75,2)</f>
        <v>1</v>
      </c>
      <c r="D75" s="69" t="n">
        <f aca="false">ROUND(('Gas Giant'!G$75-'Gas Giant'!G$74)*SIN(RADIANS(B75))*PI()/180,4)</f>
        <v>-0.0698</v>
      </c>
      <c r="E75" s="69" t="n">
        <v>0</v>
      </c>
    </row>
    <row r="76" customFormat="false" ht="15" hidden="false" customHeight="false" outlineLevel="0" collapsed="false">
      <c r="A76" s="66" t="s">
        <v>212</v>
      </c>
      <c r="B76" s="69"/>
      <c r="C76" s="69"/>
      <c r="D76" s="69"/>
      <c r="E76" s="69"/>
    </row>
    <row r="77" customFormat="false" ht="15" hidden="false" customHeight="false" outlineLevel="0" collapsed="false">
      <c r="A77" s="66" t="s">
        <v>229</v>
      </c>
      <c r="B77" s="69"/>
      <c r="C77" s="69"/>
      <c r="D77" s="69"/>
      <c r="E77" s="69"/>
    </row>
    <row r="78" customFormat="false" ht="15" hidden="false" customHeight="false" outlineLevel="0" collapsed="false">
      <c r="A78" s="66" t="s">
        <v>209</v>
      </c>
      <c r="B78" s="69"/>
      <c r="C78" s="69"/>
      <c r="D78" s="69"/>
      <c r="E78" s="69"/>
    </row>
    <row r="79" customFormat="false" ht="15" hidden="false" customHeight="false" outlineLevel="0" collapsed="false">
      <c r="A79" s="69" t="s">
        <v>224</v>
      </c>
      <c r="B79" s="69" t="n">
        <v>0</v>
      </c>
      <c r="C79" s="69" t="n">
        <f aca="false">ROUND(-'Gas Giant'!G$77*'Gas Giant'!G$79*SIN(RADIANS(B79-36+'Gas Giant'!G$26)),2)</f>
        <v>0.54</v>
      </c>
      <c r="D79" s="69" t="n">
        <v>0</v>
      </c>
      <c r="E79" s="69" t="n">
        <f aca="false">IF('Gas Giant'!G$25,D84,0)</f>
        <v>-0.013</v>
      </c>
    </row>
    <row r="80" customFormat="false" ht="15" hidden="false" customHeight="false" outlineLevel="0" collapsed="false">
      <c r="A80" s="69" t="str">
        <f aca="false">IF(B80="","Unused","key =")</f>
        <v>key =</v>
      </c>
      <c r="B80" s="69" t="n">
        <f aca="false">IF('Gas Giant'!G$25&gt;0,MIN(IF(36-'Gas Giant'!G$26&lt;0,36-'Gas Giant'!G$26+360,36-'Gas Giant'!G$26),IF(126-'Gas Giant'!G$26&lt;0,126-'Gas Giant'!G$26+360,126-'Gas Giant'!G$26),IF(216-'Gas Giant'!G$26&lt;0,216-'Gas Giant'!G$26+360,216-'Gas Giant'!G$26),IF(306-'Gas Giant'!G$26&lt;0,306-'Gas Giant'!G$26+360,306-'Gas Giant'!G$26)),"")</f>
        <v>36</v>
      </c>
      <c r="C80" s="69" t="n">
        <f aca="false">IF('Gas Giant'!G$25&gt;0,ROUND(-'Gas Giant'!G$77*'Gas Giant'!G$79*SIN(RADIANS(B80-36+'Gas Giant'!G$26)),2),"")</f>
        <v>0</v>
      </c>
      <c r="D80" s="69" t="n">
        <f aca="false">IF('Gas Giant'!G$25&gt;0,ROUND('Gas Giant'!G$77*'Gas Giant'!G$79*SIN(RADIANS(270))*COS(RADIANS(B80-36+'Gas Giant'!G$26))*PI()/180,4),"")</f>
        <v>-0.0161</v>
      </c>
      <c r="E80" s="69" t="n">
        <f aca="false">IF('Gas Giant'!G$25,D80,"")</f>
        <v>-0.0161</v>
      </c>
    </row>
    <row r="81" customFormat="false" ht="15" hidden="false" customHeight="false" outlineLevel="0" collapsed="false">
      <c r="A81" s="69" t="str">
        <f aca="false">IF(B81="","Unused","key =")</f>
        <v>key =</v>
      </c>
      <c r="B81" s="69" t="n">
        <f aca="false">IF('Gas Giant'!G$25&gt;0,B80+90,"")</f>
        <v>126</v>
      </c>
      <c r="C81" s="69" t="n">
        <f aca="false">IF('Gas Giant'!G$25&gt;0,ROUND(-'Gas Giant'!G$77*'Gas Giant'!G$79*SIN(RADIANS(B81-36+'Gas Giant'!G$26)),2),"")</f>
        <v>-0.92</v>
      </c>
      <c r="D81" s="69" t="n">
        <f aca="false">IF('Gas Giant'!G$25&gt;0,ROUND('Gas Giant'!G$77*'Gas Giant'!G$79*SIN(RADIANS(270))*COS(RADIANS(B81-36+'Gas Giant'!G$26))*PI()/180,4),"")</f>
        <v>0</v>
      </c>
      <c r="E81" s="69" t="n">
        <f aca="false">IF('Gas Giant'!G$25&gt;0,D81,"")</f>
        <v>0</v>
      </c>
    </row>
    <row r="82" customFormat="false" ht="15" hidden="false" customHeight="false" outlineLevel="0" collapsed="false">
      <c r="A82" s="69" t="str">
        <f aca="false">IF(B82="","Unused","key =")</f>
        <v>key =</v>
      </c>
      <c r="B82" s="69" t="n">
        <f aca="false">IF('Gas Giant'!G$25&gt;0,B81+90,"")</f>
        <v>216</v>
      </c>
      <c r="C82" s="69" t="n">
        <f aca="false">IF('Gas Giant'!G$25&gt;0,ROUND(-'Gas Giant'!G$77*'Gas Giant'!G$79*SIN(RADIANS(B82-36+'Gas Giant'!G$26)),2),"")</f>
        <v>0</v>
      </c>
      <c r="D82" s="69" t="n">
        <f aca="false">IF('Gas Giant'!G$25&gt;0,ROUND('Gas Giant'!G$77*'Gas Giant'!G$79*SIN(RADIANS(270))*COS(RADIANS(B82-36+'Gas Giant'!G$26))*PI()/180,4),"")</f>
        <v>0.0161</v>
      </c>
      <c r="E82" s="69" t="n">
        <f aca="false">IF('Gas Giant'!G$25&gt;0,D82,"")</f>
        <v>0.0161</v>
      </c>
    </row>
    <row r="83" customFormat="false" ht="15" hidden="false" customHeight="false" outlineLevel="0" collapsed="false">
      <c r="A83" s="69" t="str">
        <f aca="false">IF(B83="","Unused","key =")</f>
        <v>key =</v>
      </c>
      <c r="B83" s="69" t="n">
        <f aca="false">IF('Gas Giant'!G$25&gt;0,B82+90,"")</f>
        <v>306</v>
      </c>
      <c r="C83" s="69" t="n">
        <f aca="false">IF('Gas Giant'!G$25&gt;0,ROUND(-'Gas Giant'!G$77*'Gas Giant'!G$79*SIN(RADIANS(B83-36+'Gas Giant'!G$26)),2),"")</f>
        <v>0.92</v>
      </c>
      <c r="D83" s="69" t="n">
        <f aca="false">IF('Gas Giant'!G$25&gt;0,ROUND('Gas Giant'!G$77*'Gas Giant'!G$79*SIN(RADIANS(270))*COS(RADIANS(B83-36+'Gas Giant'!G$26))*PI()/180,4),"")</f>
        <v>0</v>
      </c>
      <c r="E83" s="69" t="n">
        <f aca="false">IF('Gas Giant'!G$25&gt;0,D83,"")</f>
        <v>0</v>
      </c>
    </row>
    <row r="84" customFormat="false" ht="15" hidden="false" customHeight="false" outlineLevel="0" collapsed="false">
      <c r="A84" s="69" t="str">
        <f aca="false">IF(B84="","Unused","key =")</f>
        <v>key =</v>
      </c>
      <c r="B84" s="69" t="n">
        <f aca="false">IF('Gas Giant'!G$25&gt;0,360,"")</f>
        <v>360</v>
      </c>
      <c r="C84" s="69" t="n">
        <f aca="false">IF('Gas Giant'!G$25&gt;0,ROUND(-'Gas Giant'!G$77*'Gas Giant'!G$79*SIN(RADIANS(B84-36+'Gas Giant'!G$26)),2),"")</f>
        <v>0.54</v>
      </c>
      <c r="D84" s="69" t="n">
        <f aca="false">IF('Gas Giant'!G$25&gt;0,ROUND('Gas Giant'!G$77*'Gas Giant'!G$79*SIN(RADIANS(270))*COS(RADIANS(B84-36+'Gas Giant'!G$26))*PI()/180,4),"")</f>
        <v>-0.013</v>
      </c>
      <c r="E84" s="69" t="n">
        <f aca="false">IF('Gas Giant'!G$25&gt;0,0,"")</f>
        <v>0</v>
      </c>
    </row>
    <row r="85" customFormat="false" ht="15" hidden="false" customHeight="false" outlineLevel="0" collapsed="false">
      <c r="A85" s="66" t="s">
        <v>212</v>
      </c>
      <c r="B85" s="69"/>
      <c r="C85" s="69"/>
      <c r="D85" s="69"/>
      <c r="E85" s="69"/>
    </row>
    <row r="86" customFormat="false" ht="15" hidden="false" customHeight="false" outlineLevel="0" collapsed="false">
      <c r="A86" s="66" t="s">
        <v>230</v>
      </c>
      <c r="B86" s="69"/>
      <c r="C86" s="69"/>
      <c r="D86" s="69"/>
      <c r="E86" s="69"/>
    </row>
    <row r="87" customFormat="false" ht="15" hidden="false" customHeight="false" outlineLevel="0" collapsed="false">
      <c r="A87" s="66" t="s">
        <v>209</v>
      </c>
      <c r="B87" s="69"/>
      <c r="C87" s="69"/>
      <c r="D87" s="69"/>
      <c r="E87" s="69"/>
    </row>
    <row r="88" customFormat="false" ht="15" hidden="false" customHeight="false" outlineLevel="0" collapsed="false">
      <c r="A88" s="69" t="s">
        <v>224</v>
      </c>
      <c r="B88" s="69" t="n">
        <v>0</v>
      </c>
      <c r="C88" s="69" t="n">
        <v>0</v>
      </c>
      <c r="D88" s="69" t="n">
        <v>0</v>
      </c>
      <c r="E88" s="69" t="n">
        <v>0</v>
      </c>
    </row>
    <row r="89" customFormat="false" ht="15" hidden="false" customHeight="false" outlineLevel="0" collapsed="false">
      <c r="A89" s="69" t="str">
        <f aca="false">IF(B89="","Unused","key =")</f>
        <v>key =</v>
      </c>
      <c r="B89" s="69" t="n">
        <f aca="false">IF('Gas Giant'!G$25&gt;0,38,"")</f>
        <v>38</v>
      </c>
      <c r="C89" s="69" t="n">
        <f aca="false">IF('Gas Giant'!G$25&gt;0,0.5,"")</f>
        <v>0.5</v>
      </c>
      <c r="D89" s="69" t="n">
        <f aca="false">IF('Gas Giant'!G$25&gt;0,0.02,"")</f>
        <v>0.02</v>
      </c>
      <c r="E89" s="69" t="n">
        <f aca="false">IF('Gas Giant'!G$25&gt;0,0.02,"")</f>
        <v>0.02</v>
      </c>
    </row>
    <row r="90" customFormat="false" ht="15" hidden="false" customHeight="false" outlineLevel="0" collapsed="false">
      <c r="A90" s="69" t="str">
        <f aca="false">IF(B90="","Unused","key =")</f>
        <v>key =</v>
      </c>
      <c r="B90" s="69" t="n">
        <f aca="false">IF('Gas Giant'!G$25&gt;0,90,"")</f>
        <v>90</v>
      </c>
      <c r="C90" s="69" t="n">
        <f aca="false">IF('Gas Giant'!G$25&gt;0,1,"")</f>
        <v>1</v>
      </c>
      <c r="D90" s="69" t="n">
        <f aca="false">IF('Gas Giant'!G$25&gt;0,0,"")</f>
        <v>0</v>
      </c>
      <c r="E90" s="69" t="n">
        <f aca="false">IF('Gas Giant'!G$25&gt;0,0,"")</f>
        <v>0</v>
      </c>
    </row>
    <row r="91" customFormat="false" ht="15" hidden="false" customHeight="false" outlineLevel="0" collapsed="false">
      <c r="A91" s="66" t="s">
        <v>212</v>
      </c>
      <c r="B91" s="69"/>
      <c r="C91" s="69"/>
      <c r="D91" s="69"/>
      <c r="E91" s="69"/>
    </row>
    <row r="92" customFormat="false" ht="15" hidden="false" customHeight="false" outlineLevel="0" collapsed="false">
      <c r="A92" s="66" t="s">
        <v>231</v>
      </c>
      <c r="B92" s="69"/>
      <c r="C92" s="69"/>
      <c r="D92" s="69"/>
      <c r="E92" s="69"/>
    </row>
    <row r="93" customFormat="false" ht="15" hidden="false" customHeight="false" outlineLevel="0" collapsed="false">
      <c r="A93" s="66" t="s">
        <v>209</v>
      </c>
      <c r="B93" s="69"/>
      <c r="C93" s="69"/>
      <c r="D93" s="69"/>
      <c r="E93" s="69"/>
    </row>
    <row r="94" customFormat="false" ht="15" hidden="false" customHeight="false" outlineLevel="0" collapsed="false">
      <c r="A94" s="69" t="s">
        <v>224</v>
      </c>
      <c r="B94" s="69" t="n">
        <v>0</v>
      </c>
      <c r="C94" s="69" t="n">
        <f aca="false">ROUND('Gas Giant'!G$78*'Gas Giant'!G$79,1)/2</f>
        <v>2.6</v>
      </c>
      <c r="D94" s="69" t="n">
        <v>0</v>
      </c>
      <c r="E94" s="69" t="n">
        <f aca="false">-2*C94</f>
        <v>-5.2</v>
      </c>
    </row>
    <row r="95" customFormat="false" ht="15" hidden="false" customHeight="false" outlineLevel="0" collapsed="false">
      <c r="A95" s="69" t="str">
        <f aca="false">IF(B95="","Unused","key =")</f>
        <v>key =</v>
      </c>
      <c r="B95" s="69" t="n">
        <f aca="false">IF('Gas Giant'!G$24&gt;0,1,"")</f>
        <v>1</v>
      </c>
      <c r="C95" s="69" t="n">
        <f aca="false">IF('Gas Giant'!G$24&gt;0,-C94,"")</f>
        <v>-2.6</v>
      </c>
      <c r="D95" s="69" t="n">
        <f aca="false">IF('Gas Giant'!G$24&gt;0,E94,"")</f>
        <v>-5.2</v>
      </c>
      <c r="E95" s="69" t="n">
        <f aca="false">IF('Gas Giant'!G$24&gt;0,0,"")</f>
        <v>0</v>
      </c>
    </row>
    <row r="96" customFormat="false" ht="15" hidden="false" customHeight="false" outlineLevel="0" collapsed="false">
      <c r="A96" s="66" t="s">
        <v>212</v>
      </c>
      <c r="B96" s="69"/>
      <c r="C96" s="69"/>
      <c r="D96" s="69"/>
      <c r="E96" s="69"/>
    </row>
    <row r="97" customFormat="false" ht="15" hidden="false" customHeight="false" outlineLevel="0" collapsed="false">
      <c r="A97" s="66" t="s">
        <v>225</v>
      </c>
      <c r="B97" s="69"/>
      <c r="C97" s="69"/>
      <c r="D97" s="69"/>
      <c r="E97" s="69"/>
    </row>
    <row r="98" customFormat="false" ht="15" hidden="false" customHeight="false" outlineLevel="0" collapsed="false">
      <c r="A98" s="66" t="s">
        <v>209</v>
      </c>
      <c r="B98" s="69"/>
      <c r="C98" s="69"/>
      <c r="D98" s="69"/>
      <c r="E98" s="69"/>
    </row>
    <row r="99" customFormat="false" ht="15" hidden="false" customHeight="false" outlineLevel="0" collapsed="false">
      <c r="A99" s="69" t="str">
        <f aca="false">IF(B99="","Unused","key =")</f>
        <v>key =</v>
      </c>
      <c r="B99" s="69" t="n">
        <f aca="false">IF('Gas Giant'!Q110="|",ROUND('Gas Giant'!N110,0),IF('Gas Giant'!Q110="V",ROUND('Gas Giant'!N110,-3),""))</f>
        <v>0</v>
      </c>
      <c r="C99" s="71" t="n">
        <f aca="false">IF(B99="","",IF(B100="",0,'Gas Giant'!H110/1000))</f>
        <v>10132.5</v>
      </c>
      <c r="D99" s="71" t="n">
        <v>0</v>
      </c>
      <c r="E99" s="71" t="n">
        <f aca="false">-(C99*1.001-C99*0.999)/('Gas Giant'!G110*LN((C99*1.001)/(C99*0.999)))*('Gas Giant'!F$113/20000)</f>
        <v>-0.882579430896178</v>
      </c>
    </row>
    <row r="100" customFormat="false" ht="15" hidden="false" customHeight="false" outlineLevel="0" collapsed="false">
      <c r="A100" s="69" t="str">
        <f aca="false">IF(B100="","Unused","key =")</f>
        <v>key =</v>
      </c>
      <c r="B100" s="69" t="n">
        <f aca="false">IF('Gas Giant'!Q111="|",ROUND('Gas Giant'!N111,0),IF('Gas Giant'!Q111="V",ROUND('Gas Giant'!N111,-3),""))</f>
        <v>7991</v>
      </c>
      <c r="C100" s="71" t="n">
        <f aca="false">IF(B100="","",IF(B101="",0,'Gas Giant'!H111/1000))</f>
        <v>4703.08988565815</v>
      </c>
      <c r="D100" s="71" t="n">
        <f aca="false">-(C100*1.001-C100*0.999)/('Gas Giant'!G111*LN((C100*1.001)/(C100*0.999)))*('Gas Giant'!F$113/20000)</f>
        <v>-0.502176022523818</v>
      </c>
      <c r="E100" s="71" t="n">
        <f aca="false">D100</f>
        <v>-0.502176022523818</v>
      </c>
    </row>
    <row r="101" customFormat="false" ht="15" hidden="false" customHeight="false" outlineLevel="0" collapsed="false">
      <c r="A101" s="69" t="str">
        <f aca="false">IF(B101="","Unused","key =")</f>
        <v>key =</v>
      </c>
      <c r="B101" s="69" t="n">
        <f aca="false">IF('Gas Giant'!Q112="|",ROUND('Gas Giant'!N112,0),IF('Gas Giant'!Q112="V",ROUND('Gas Giant'!N112,-3),""))</f>
        <v>14568</v>
      </c>
      <c r="C101" s="71" t="n">
        <f aca="false">IF(B101="","",IF(B102="",0,'Gas Giant'!H112/1000))</f>
        <v>2182.98094967481</v>
      </c>
      <c r="D101" s="71" t="n">
        <f aca="false">-(C101*1.001-C101*0.999)/('Gas Giant'!G112*LN((C101*1.001)/(C101*0.999)))*('Gas Giant'!F$113/20000)</f>
        <v>-0.283047515718484</v>
      </c>
      <c r="E101" s="71" t="n">
        <f aca="false">D101</f>
        <v>-0.283047515718484</v>
      </c>
    </row>
    <row r="102" customFormat="false" ht="15" hidden="false" customHeight="false" outlineLevel="0" collapsed="false">
      <c r="A102" s="69" t="str">
        <f aca="false">IF(B102="","Unused","key =")</f>
        <v>key =</v>
      </c>
      <c r="B102" s="69" t="n">
        <f aca="false">IF('Gas Giant'!Q113="|",ROUND('Gas Giant'!N113,0),IF('Gas Giant'!Q113="V",ROUND('Gas Giant'!N113,-3),""))</f>
        <v>20000</v>
      </c>
      <c r="C102" s="71" t="n">
        <f aca="false">IF(B102="","",IF(B103="",0,'Gas Giant'!H113/1000))</f>
        <v>1013.25</v>
      </c>
      <c r="D102" s="71" t="n">
        <f aca="false">-(C102*1.001-C102*0.999)/('Gas Giant'!G113*LN((C102*1.001)/(C102*0.999)))*(IF('Gas Giant'!G$88&gt;0,'Gas Giant'!G$88,0.5)/20000)</f>
        <v>-1.87662994430578E-007</v>
      </c>
      <c r="E102" s="71" t="n">
        <f aca="false">-(C102*1.001-C102*0.999)/('Gas Giant'!G$113*LN((C102*1.001)/(C102*0.999)))/IF('Gas Giant'!G$88&gt;0,'Gas Giant'!G$88,0.5)</f>
        <v>-0.0217854526741303</v>
      </c>
    </row>
    <row r="103" customFormat="false" ht="15" hidden="false" customHeight="false" outlineLevel="0" collapsed="false">
      <c r="A103" s="69" t="str">
        <f aca="false">IF(B103="","Unused","key =")</f>
        <v>key =</v>
      </c>
      <c r="B103" s="69" t="n">
        <f aca="false">IF('Gas Giant'!Q114="|",ROUND('Gas Giant'!N114,0),IF('Gas Giant'!Q114="V",ROUND('Gas Giant'!N114,-3),""))</f>
        <v>52763</v>
      </c>
      <c r="C103" s="71" t="n">
        <f aca="false">IF(B103="","",IF(B104="",0,'Gas Giant'!H114/1000))</f>
        <v>470.308988565815</v>
      </c>
      <c r="D103" s="71" t="n">
        <f aca="false">IF(C103="","",IF(C103=0,0,-(C103*1.001-C103*0.999)/('Gas Giant'!G114*LN((C103*1.001)/(C103*0.999)))/IF('Gas Giant'!G$88&gt;0,'Gas Giant'!G$88,0.5)))</f>
        <v>-0.0123635413493939</v>
      </c>
      <c r="E103" s="71" t="n">
        <f aca="false">D103</f>
        <v>-0.0123635413493939</v>
      </c>
    </row>
    <row r="104" customFormat="false" ht="15" hidden="false" customHeight="false" outlineLevel="0" collapsed="false">
      <c r="A104" s="69" t="str">
        <f aca="false">IF(B104="","Unused","key =")</f>
        <v>key =</v>
      </c>
      <c r="B104" s="69" t="n">
        <f aca="false">IF('Gas Giant'!Q115="|",ROUND('Gas Giant'!N115,0),IF('Gas Giant'!Q115="V",ROUND('Gas Giant'!N115,-3),""))</f>
        <v>79849</v>
      </c>
      <c r="C104" s="71" t="n">
        <f aca="false">IF(B104="","",IF(B105="",0,'Gas Giant'!H115/1000))</f>
        <v>218.298094967481</v>
      </c>
      <c r="D104" s="71" t="n">
        <f aca="false">IF(C104="","",IF(C104=0,0,-(C104*1.001-C104*0.999)/('Gas Giant'!G115*LN((C104*1.001)/(C104*0.999)))/IF('Gas Giant'!G$88&gt;0,'Gas Giant'!G$88,0.5)))</f>
        <v>-0.00689625014767711</v>
      </c>
      <c r="E104" s="71" t="n">
        <f aca="false">D104</f>
        <v>-0.00689625014767711</v>
      </c>
    </row>
    <row r="105" customFormat="false" ht="15" hidden="false" customHeight="false" outlineLevel="0" collapsed="false">
      <c r="A105" s="69" t="str">
        <f aca="false">IF(B105="","Unused","key =")</f>
        <v>key =</v>
      </c>
      <c r="B105" s="69" t="n">
        <f aca="false">IF('Gas Giant'!Q116="|",ROUND('Gas Giant'!N116,0),IF('Gas Giant'!Q116="V",ROUND('Gas Giant'!N116,-3),""))</f>
        <v>102637</v>
      </c>
      <c r="C105" s="71" t="n">
        <f aca="false">IF(B105="","",IF(B106="",0,'Gas Giant'!H116/1000))</f>
        <v>101.325</v>
      </c>
      <c r="D105" s="71" t="n">
        <f aca="false">IF(C105="","",IF(C105=0,0,-(C105*1.001-C105*0.999)/('Gas Giant'!G116*LN((C105*1.001)/(C105*0.999)))/IF('Gas Giant'!G$88&gt;0,'Gas Giant'!G$88,0.5)))</f>
        <v>-0.00377613484551917</v>
      </c>
      <c r="E105" s="71" t="n">
        <f aca="false">D105</f>
        <v>-0.00377613484551917</v>
      </c>
    </row>
    <row r="106" customFormat="false" ht="15" hidden="false" customHeight="false" outlineLevel="0" collapsed="false">
      <c r="A106" s="69" t="str">
        <f aca="false">IF(B106="","Unused","key =")</f>
        <v>key =</v>
      </c>
      <c r="B106" s="69" t="n">
        <f aca="false">IF('Gas Giant'!Q117="|",ROUND('Gas Giant'!N117,0),IF('Gas Giant'!Q117="V",ROUND('Gas Giant'!N117,-3),""))</f>
        <v>122381</v>
      </c>
      <c r="C106" s="71" t="n">
        <f aca="false">IF(B106="","",IF(B107="",0,'Gas Giant'!H117/1000))</f>
        <v>47.0308988565815</v>
      </c>
      <c r="D106" s="71" t="n">
        <f aca="false">IF(C106="","",IF(C106=0,0,-(C106*1.001-C106*0.999)/('Gas Giant'!G117*LN((C106*1.001)/(C106*0.999)))/IF('Gas Giant'!G$88&gt;0,'Gas Giant'!G$88,0.5)))</f>
        <v>-0.00198396912852169</v>
      </c>
      <c r="E106" s="71" t="n">
        <f aca="false">D106</f>
        <v>-0.00198396912852169</v>
      </c>
    </row>
    <row r="107" customFormat="false" ht="15" hidden="false" customHeight="false" outlineLevel="0" collapsed="false">
      <c r="A107" s="69" t="str">
        <f aca="false">IF(B107="","Unused","key =")</f>
        <v>key =</v>
      </c>
      <c r="B107" s="69" t="n">
        <f aca="false">IF('Gas Giant'!Q118="|",ROUND('Gas Giant'!N118,0),IF('Gas Giant'!Q118="V",ROUND('Gas Giant'!N118,-3),""))</f>
        <v>140283</v>
      </c>
      <c r="C107" s="71" t="n">
        <f aca="false">IF(B107="","",IF(B108="",0,'Gas Giant'!H118/1000))</f>
        <v>21.8298094967481</v>
      </c>
      <c r="D107" s="71" t="n">
        <f aca="false">IF(C107="","",IF(C107=0,0,-(C107*1.001-C107*0.999)/('Gas Giant'!G118*LN((C107*1.001)/(C107*0.999)))/IF('Gas Giant'!G$88&gt;0,'Gas Giant'!G$88,0.5)))</f>
        <v>-0.000991751148600593</v>
      </c>
      <c r="E107" s="71" t="n">
        <f aca="false">D107</f>
        <v>-0.000991751148600593</v>
      </c>
    </row>
    <row r="108" customFormat="false" ht="15" hidden="false" customHeight="false" outlineLevel="0" collapsed="false">
      <c r="A108" s="69" t="str">
        <f aca="false">IF(B108="","Unused","key =")</f>
        <v>key =</v>
      </c>
      <c r="B108" s="69" t="n">
        <f aca="false">IF('Gas Giant'!Q119="|",ROUND('Gas Giant'!N119,0),IF('Gas Giant'!Q119="V",ROUND('Gas Giant'!N119,-3),""))</f>
        <v>157399</v>
      </c>
      <c r="C108" s="71" t="n">
        <f aca="false">IF(B108="","",IF(B109="",0,'Gas Giant'!H119/1000))</f>
        <v>10.1325</v>
      </c>
      <c r="D108" s="71" t="n">
        <f aca="false">IF(C108="","",IF(C108=0,0,-(C108*1.001-C108*0.999)/('Gas Giant'!G119*LN((C108*1.001)/(C108*0.999)))/IF('Gas Giant'!G$88&gt;0,'Gas Giant'!G$88,0.5)))</f>
        <v>-0.000468653816456662</v>
      </c>
      <c r="E108" s="71" t="n">
        <f aca="false">D108</f>
        <v>-0.000468653816456662</v>
      </c>
    </row>
    <row r="109" customFormat="false" ht="15" hidden="false" customHeight="false" outlineLevel="0" collapsed="false">
      <c r="A109" s="69" t="str">
        <f aca="false">IF(B109="","Unused","key =")</f>
        <v>key =</v>
      </c>
      <c r="B109" s="69" t="n">
        <f aca="false">IF('Gas Giant'!Q120="|",ROUND('Gas Giant'!N120,0),IF('Gas Giant'!Q120="V",ROUND('Gas Giant'!N120,-3),""))</f>
        <v>174386</v>
      </c>
      <c r="C109" s="71" t="n">
        <f aca="false">IF(B109="","",IF(B110="",0,'Gas Giant'!H120/1000))</f>
        <v>4.70308988565815</v>
      </c>
      <c r="D109" s="71" t="n">
        <f aca="false">IF(C109="","",IF(C109=0,0,-(C109*1.001-C109*0.999)/('Gas Giant'!G120*LN((C109*1.001)/(C109*0.999)))/IF('Gas Giant'!G$88&gt;0,'Gas Giant'!G$88,0.5)))</f>
        <v>-0.000217529832129546</v>
      </c>
      <c r="E109" s="71" t="n">
        <f aca="false">D109</f>
        <v>-0.000217529832129546</v>
      </c>
    </row>
    <row r="110" customFormat="false" ht="15" hidden="false" customHeight="false" outlineLevel="0" collapsed="false">
      <c r="A110" s="69" t="str">
        <f aca="false">IF(B110="","Unused","key =")</f>
        <v>key =</v>
      </c>
      <c r="B110" s="69" t="n">
        <f aca="false">IF('Gas Giant'!Q121="|",ROUND('Gas Giant'!N121,0),IF('Gas Giant'!Q121="V",ROUND('Gas Giant'!N121,-3),""))</f>
        <v>191716</v>
      </c>
      <c r="C110" s="71" t="n">
        <f aca="false">IF(B110="","",IF(B111="",0,'Gas Giant'!H121/1000))</f>
        <v>2.18298094967481</v>
      </c>
      <c r="D110" s="71" t="n">
        <f aca="false">IF(C110="","",IF(C110=0,0,-(C110*1.001-C110*0.999)/('Gas Giant'!G121*LN((C110*1.001)/(C110*0.999)))/IF('Gas Giant'!G$88&gt;0,'Gas Giant'!G$88,0.5)))</f>
        <v>-9.72719427399765E-005</v>
      </c>
      <c r="E110" s="71" t="n">
        <f aca="false">D110</f>
        <v>-9.72719427399765E-005</v>
      </c>
    </row>
    <row r="111" customFormat="false" ht="15" hidden="false" customHeight="false" outlineLevel="0" collapsed="false">
      <c r="A111" s="69" t="str">
        <f aca="false">IF(B111="","Unused","key =")</f>
        <v>key =</v>
      </c>
      <c r="B111" s="69" t="n">
        <f aca="false">IF('Gas Giant'!Q122="|",ROUND('Gas Giant'!N122,0),IF('Gas Giant'!Q122="V",ROUND('Gas Giant'!N122,-3),""))</f>
        <v>210030</v>
      </c>
      <c r="C111" s="71" t="n">
        <f aca="false">IF(B111="","",IF(B112="",0,'Gas Giant'!H122/1000))</f>
        <v>1.01325</v>
      </c>
      <c r="D111" s="71" t="n">
        <f aca="false">IF(C111="","",IF(C111=0,0,-(C111*1.001-C111*0.999)/('Gas Giant'!G122*LN((C111*1.001)/(C111*0.999)))/IF('Gas Giant'!G$88&gt;0,'Gas Giant'!G$88,0.5)))</f>
        <v>-4.21031082809023E-005</v>
      </c>
      <c r="E111" s="71" t="n">
        <f aca="false">D111</f>
        <v>-4.21031082809023E-005</v>
      </c>
    </row>
    <row r="112" customFormat="false" ht="15" hidden="false" customHeight="false" outlineLevel="0" collapsed="false">
      <c r="A112" s="69" t="str">
        <f aca="false">IF(B112="","Unused","key =")</f>
        <v>key =</v>
      </c>
      <c r="B112" s="69" t="n">
        <f aca="false">IF('Gas Giant'!Q123="|",ROUND('Gas Giant'!N123,0),IF('Gas Giant'!Q123="V",ROUND('Gas Giant'!N123,-3),""))</f>
        <v>229823</v>
      </c>
      <c r="C112" s="71" t="n">
        <f aca="false">IF(B112="","",IF(B113="",0,'Gas Giant'!H123/1000))</f>
        <v>0.470308988565815</v>
      </c>
      <c r="D112" s="71" t="n">
        <f aca="false">IF(C112="","",IF(C112=0,0,-(C112*1.001-C112*0.999)/('Gas Giant'!G123*LN((C112*1.001)/(C112*0.999)))/IF('Gas Giant'!G$88&gt;0,'Gas Giant'!G$88,0.5)))</f>
        <v>-1.79957620229741E-005</v>
      </c>
      <c r="E112" s="71" t="n">
        <f aca="false">D112</f>
        <v>-1.79957620229741E-005</v>
      </c>
    </row>
    <row r="113" customFormat="false" ht="15" hidden="false" customHeight="false" outlineLevel="0" collapsed="false">
      <c r="A113" s="69" t="str">
        <f aca="false">IF(B113="","Unused","key =")</f>
        <v>key =</v>
      </c>
      <c r="B113" s="69" t="n">
        <f aca="false">IF('Gas Giant'!Q124="|",ROUND('Gas Giant'!N124,0),IF('Gas Giant'!Q124="V",ROUND('Gas Giant'!N124,-3),""))</f>
        <v>251300</v>
      </c>
      <c r="C113" s="71" t="n">
        <f aca="false">IF(B113="","",IF(B114="",0,'Gas Giant'!H124/1000))</f>
        <v>0.21829809496748</v>
      </c>
      <c r="D113" s="71" t="n">
        <f aca="false">IF(C113="","",IF(C113=0,0,-(C113*1.001-C113*0.999)/('Gas Giant'!G124*LN((C113*1.001)/(C113*0.999)))/IF('Gas Giant'!G$88&gt;0,'Gas Giant'!G$88,0.5)))</f>
        <v>-7.72966313811638E-006</v>
      </c>
      <c r="E113" s="71" t="n">
        <f aca="false">D113</f>
        <v>-7.72966313811638E-006</v>
      </c>
    </row>
    <row r="114" customFormat="false" ht="15" hidden="false" customHeight="false" outlineLevel="0" collapsed="false">
      <c r="A114" s="69" t="str">
        <f aca="false">IF(B114="","Unused","key =")</f>
        <v>key =</v>
      </c>
      <c r="B114" s="69" t="n">
        <f aca="false">IF('Gas Giant'!Q125="|",ROUND('Gas Giant'!N125,0),IF('Gas Giant'!Q125="V",ROUND('Gas Giant'!N125,-3),""))</f>
        <v>274364</v>
      </c>
      <c r="C114" s="71" t="n">
        <f aca="false">IF(B114="","",IF(B115="",0,'Gas Giant'!H125/1000))</f>
        <v>0.101325</v>
      </c>
      <c r="D114" s="71" t="n">
        <f aca="false">IF(C114="","",IF(C114=0,0,-(C114*1.001-C114*0.999)/('Gas Giant'!G125*LN((C114*1.001)/(C114*0.999)))/IF('Gas Giant'!G$88&gt;0,'Gas Giant'!G$88,0.5)))</f>
        <v>-3.37306216559711E-006</v>
      </c>
      <c r="E114" s="71" t="n">
        <f aca="false">D114</f>
        <v>-3.37306216559711E-006</v>
      </c>
    </row>
    <row r="115" customFormat="false" ht="15" hidden="false" customHeight="false" outlineLevel="0" collapsed="false">
      <c r="A115" s="69" t="str">
        <f aca="false">IF(B115="","Unused","key =")</f>
        <v>key =</v>
      </c>
      <c r="B115" s="69" t="n">
        <f aca="false">IF('Gas Giant'!Q126="|",ROUND('Gas Giant'!N126,0),IF('Gas Giant'!Q126="V",ROUND('Gas Giant'!N126,-3),""))</f>
        <v>298618</v>
      </c>
      <c r="C115" s="71" t="n">
        <f aca="false">IF(B115="","",IF(B116="",0,'Gas Giant'!H126/1000))</f>
        <v>0.0470308988565815</v>
      </c>
      <c r="D115" s="71" t="n">
        <f aca="false">IF(C115="","",IF(C115=0,0,-(C115*1.001-C115*0.999)/('Gas Giant'!G126*LN((C115*1.001)/(C115*0.999)))/IF('Gas Giant'!G$88&gt;0,'Gas Giant'!G$88,0.5)))</f>
        <v>-1.51117586263323E-006</v>
      </c>
      <c r="E115" s="71" t="n">
        <f aca="false">D115</f>
        <v>-1.51117586263323E-006</v>
      </c>
    </row>
    <row r="116" customFormat="false" ht="15" hidden="false" customHeight="false" outlineLevel="0" collapsed="false">
      <c r="A116" s="69" t="str">
        <f aca="false">IF(B116="","Unused","key =")</f>
        <v>key =</v>
      </c>
      <c r="B116" s="69" t="n">
        <f aca="false">IF('Gas Giant'!Q127="|",ROUND('Gas Giant'!N127,0),IF('Gas Giant'!Q127="V",ROUND('Gas Giant'!N127,-3),""))</f>
        <v>323417</v>
      </c>
      <c r="C116" s="71" t="n">
        <f aca="false">IF(B116="","",IF(B117="",0,'Gas Giant'!H127/1000))</f>
        <v>0.021829809496748</v>
      </c>
      <c r="D116" s="71" t="n">
        <f aca="false">IF(C116="","",IF(C116=0,0,-(C116*1.001-C116*0.999)/('Gas Giant'!G127*LN((C116*1.001)/(C116*0.999)))/IF('Gas Giant'!G$88&gt;0,'Gas Giant'!G$88,0.5)))</f>
        <v>-6.97741702616207E-007</v>
      </c>
      <c r="E116" s="71" t="n">
        <f aca="false">D116</f>
        <v>-6.97741702616207E-007</v>
      </c>
    </row>
    <row r="117" customFormat="false" ht="15" hidden="false" customHeight="false" outlineLevel="0" collapsed="false">
      <c r="A117" s="69" t="str">
        <f aca="false">IF(B117="","Unused","key =")</f>
        <v>key =</v>
      </c>
      <c r="B117" s="69" t="n">
        <f aca="false">IF('Gas Giant'!Q128="|",ROUND('Gas Giant'!N128,0),IF('Gas Giant'!Q128="V",ROUND('Gas Giant'!N128,-3),""))</f>
        <v>348331</v>
      </c>
      <c r="C117" s="71" t="n">
        <f aca="false">IF(B117="","",IF(B118="",0,'Gas Giant'!H128/1000))</f>
        <v>0.0101325</v>
      </c>
      <c r="D117" s="71" t="n">
        <f aca="false">IF(C117="","",IF(C117=0,0,-(C117*1.001-C117*0.999)/('Gas Giant'!G128*LN((C117*1.001)/(C117*0.999)))/IF('Gas Giant'!G$88&gt;0,'Gas Giant'!G$88,0.5)))</f>
        <v>-3.23863009560932E-007</v>
      </c>
      <c r="E117" s="71" t="n">
        <f aca="false">D117</f>
        <v>-3.23863009560932E-007</v>
      </c>
    </row>
    <row r="118" customFormat="false" ht="15" hidden="false" customHeight="false" outlineLevel="0" collapsed="false">
      <c r="A118" s="69" t="str">
        <f aca="false">IF(B118="","Unused","key =")</f>
        <v>key =</v>
      </c>
      <c r="B118" s="69" t="n">
        <f aca="false">IF('Gas Giant'!Q129="|",ROUND('Gas Giant'!N129,0),IF('Gas Giant'!Q129="V",ROUND('Gas Giant'!N129,-3),""))</f>
        <v>373293</v>
      </c>
      <c r="C118" s="71" t="n">
        <f aca="false">IF(B118="","",IF(B119="",0,'Gas Giant'!H129/1000))</f>
        <v>0.00470308988565815</v>
      </c>
      <c r="D118" s="71" t="n">
        <f aca="false">IF(C118="","",IF(C118=0,0,-(C118*1.001-C118*0.999)/('Gas Giant'!G129*LN((C118*1.001)/(C118*0.999)))/IF('Gas Giant'!G$88&gt;0,'Gas Giant'!G$88,0.5)))</f>
        <v>-1.5032389287983E-007</v>
      </c>
      <c r="E118" s="71" t="n">
        <f aca="false">D118</f>
        <v>-1.5032389287983E-007</v>
      </c>
    </row>
    <row r="119" customFormat="false" ht="15" hidden="false" customHeight="false" outlineLevel="0" collapsed="false">
      <c r="A119" s="69" t="str">
        <f aca="false">IF(B119="","Unused","key =")</f>
        <v>key =</v>
      </c>
      <c r="B119" s="69" t="n">
        <f aca="false">IF('Gas Giant'!Q130="|",ROUND('Gas Giant'!N130,0),IF('Gas Giant'!Q130="V",ROUND('Gas Giant'!N130,-3),""))</f>
        <v>398305</v>
      </c>
      <c r="C119" s="71" t="n">
        <f aca="false">IF(B119="","",IF(B120="",0,'Gas Giant'!H130/1000))</f>
        <v>0.00218298094967481</v>
      </c>
      <c r="D119" s="71" t="n">
        <f aca="false">IF(C119="","",IF(C119=0,0,-(C119*1.001-C119*0.999)/('Gas Giant'!G130*LN((C119*1.001)/(C119*0.999)))/IF('Gas Giant'!G$88&gt;0,'Gas Giant'!G$88,0.5)))</f>
        <v>-6.97741702616207E-008</v>
      </c>
      <c r="E119" s="71" t="n">
        <f aca="false">D119</f>
        <v>-6.97741702616207E-008</v>
      </c>
    </row>
    <row r="120" customFormat="false" ht="15" hidden="false" customHeight="false" outlineLevel="0" collapsed="false">
      <c r="A120" s="69" t="str">
        <f aca="false">IF(B120="","Unused","key =")</f>
        <v>key =</v>
      </c>
      <c r="B120" s="69" t="n">
        <f aca="false">IF('Gas Giant'!Q131="|",ROUND('Gas Giant'!N131,0),IF('Gas Giant'!Q131="V",ROUND('Gas Giant'!N131,-3),""))</f>
        <v>424000</v>
      </c>
      <c r="C120" s="71" t="n">
        <f aca="false">IF(B120="","",IF(B121="",0,'Gas Giant'!H131/1000))</f>
        <v>0</v>
      </c>
      <c r="D120" s="71" t="n">
        <f aca="false">IF(C120="","",IF(C120=0,0,-(C120*1.001-C120*0.999)/('Gas Giant'!G131*LN((C120*1.001)/(C120*0.999)))/IF('Gas Giant'!G$88&gt;0,'Gas Giant'!G$88,0.5)))</f>
        <v>0</v>
      </c>
      <c r="E120" s="71" t="n">
        <f aca="false">D120</f>
        <v>0</v>
      </c>
    </row>
    <row r="121" customFormat="false" ht="15" hidden="false" customHeight="false" outlineLevel="0" collapsed="false">
      <c r="A121" s="69" t="str">
        <f aca="false">IF(B121="","Unused","key =")</f>
        <v>Unused</v>
      </c>
      <c r="B121" s="69" t="str">
        <f aca="false">IF('Gas Giant'!Q132="|",ROUND('Gas Giant'!N132,0),IF('Gas Giant'!Q132="V",ROUND('Gas Giant'!N132,-3),""))</f>
        <v/>
      </c>
      <c r="C121" s="71" t="str">
        <f aca="false">IF(B121="","",IF(B122="",0,'Gas Giant'!H132/1000))</f>
        <v/>
      </c>
      <c r="D121" s="71" t="str">
        <f aca="false">IF(C121="","",IF(C121=0,0,-(C121*1.001-C121*0.999)/('Gas Giant'!G132*LN((C121*1.001)/(C121*0.999)))/IF('Gas Giant'!G$88&gt;0,'Gas Giant'!G$88,0.5)))</f>
        <v/>
      </c>
      <c r="E121" s="71" t="str">
        <f aca="false">D121</f>
        <v/>
      </c>
    </row>
    <row r="122" customFormat="false" ht="15" hidden="false" customHeight="false" outlineLevel="0" collapsed="false">
      <c r="A122" s="69" t="str">
        <f aca="false">IF(B122="","Unused","key =")</f>
        <v>Unused</v>
      </c>
      <c r="B122" s="69" t="str">
        <f aca="false">IF('Gas Giant'!Q133="|",ROUND('Gas Giant'!N133,0),IF('Gas Giant'!Q133="V",ROUND('Gas Giant'!N133,-3),""))</f>
        <v/>
      </c>
      <c r="C122" s="71" t="str">
        <f aca="false">IF(B122="","",IF(B123="",0,'Gas Giant'!H133/1000))</f>
        <v/>
      </c>
      <c r="D122" s="71" t="str">
        <f aca="false">IF(C122="","",IF(C122=0,0,-(C122*1.001-C122*0.999)/('Gas Giant'!G133*LN((C122*1.001)/(C122*0.999)))/IF('Gas Giant'!G$88&gt;0,'Gas Giant'!G$88,0.5)))</f>
        <v/>
      </c>
      <c r="E122" s="71" t="str">
        <f aca="false">D122</f>
        <v/>
      </c>
    </row>
    <row r="123" customFormat="false" ht="15" hidden="false" customHeight="false" outlineLevel="0" collapsed="false">
      <c r="A123" s="69" t="str">
        <f aca="false">IF(B123="","Unused","key =")</f>
        <v>Unused</v>
      </c>
      <c r="B123" s="69" t="str">
        <f aca="false">IF('Gas Giant'!Q134="|",ROUND('Gas Giant'!N134,0),IF('Gas Giant'!Q134="V",ROUND('Gas Giant'!N134,-3),""))</f>
        <v/>
      </c>
      <c r="C123" s="71" t="str">
        <f aca="false">IF(B123="","",IF(B124="",0,'Gas Giant'!H134/1000))</f>
        <v/>
      </c>
      <c r="D123" s="71" t="str">
        <f aca="false">IF(C123="","",IF(C123=0,0,-(C123*1.001-C123*0.999)/('Gas Giant'!G134*LN((C123*1.001)/(C123*0.999)))/IF('Gas Giant'!G$88&gt;0,'Gas Giant'!G$88,0.5)))</f>
        <v/>
      </c>
      <c r="E123" s="71" t="str">
        <f aca="false">D123</f>
        <v/>
      </c>
    </row>
    <row r="124" customFormat="false" ht="15" hidden="false" customHeight="false" outlineLevel="0" collapsed="false">
      <c r="A124" s="69" t="str">
        <f aca="false">IF(B124="","Unused","key =")</f>
        <v>Unused</v>
      </c>
      <c r="B124" s="69" t="str">
        <f aca="false">IF('Gas Giant'!Q135="|",ROUND('Gas Giant'!N135,0),IF('Gas Giant'!Q135="V",ROUND('Gas Giant'!N135,-3),""))</f>
        <v/>
      </c>
      <c r="C124" s="71" t="str">
        <f aca="false">IF(B124="","",IF(B125="",0,'Gas Giant'!H135/1000))</f>
        <v/>
      </c>
      <c r="D124" s="71" t="str">
        <f aca="false">IF(C124="","",IF(C124=0,0,-(C124*1.001-C124*0.999)/('Gas Giant'!G135*LN((C124*1.001)/(C124*0.999)))/IF('Gas Giant'!G$88&gt;0,'Gas Giant'!G$88,0.5)))</f>
        <v/>
      </c>
      <c r="E124" s="71" t="str">
        <f aca="false">D124</f>
        <v/>
      </c>
    </row>
    <row r="125" customFormat="false" ht="15" hidden="false" customHeight="false" outlineLevel="0" collapsed="false">
      <c r="A125" s="69" t="str">
        <f aca="false">IF(B125="","Unused","key =")</f>
        <v>Unused</v>
      </c>
      <c r="B125" s="69" t="str">
        <f aca="false">IF('Gas Giant'!Q136="|",ROUND('Gas Giant'!N136,0),IF('Gas Giant'!Q136="V",ROUND('Gas Giant'!N136,-3),""))</f>
        <v/>
      </c>
      <c r="C125" s="71" t="str">
        <f aca="false">IF(B125="","",IF(B126="",0,'Gas Giant'!H136/1000))</f>
        <v/>
      </c>
      <c r="D125" s="71" t="str">
        <f aca="false">IF(C125="","",IF(C125=0,0,-(C125*1.001-C125*0.999)/('Gas Giant'!G136*LN((C125*1.001)/(C125*0.999)))/IF('Gas Giant'!G$88&gt;0,'Gas Giant'!G$88,0.5)))</f>
        <v/>
      </c>
      <c r="E125" s="71" t="str">
        <f aca="false">D125</f>
        <v/>
      </c>
    </row>
    <row r="126" customFormat="false" ht="15" hidden="false" customHeight="false" outlineLevel="0" collapsed="false">
      <c r="A126" s="69" t="str">
        <f aca="false">IF(B126="","Unused","key =")</f>
        <v>Unused</v>
      </c>
      <c r="B126" s="69" t="str">
        <f aca="false">IF('Gas Giant'!Q137="|",ROUND('Gas Giant'!N137,0),IF('Gas Giant'!Q137="V",ROUND('Gas Giant'!N137,-3),""))</f>
        <v/>
      </c>
      <c r="C126" s="71" t="str">
        <f aca="false">IF(B126="","",IF(B127="",0,'Gas Giant'!H137/1000))</f>
        <v/>
      </c>
      <c r="D126" s="71" t="str">
        <f aca="false">IF(C126="","",IF(C126=0,0,-(C126*1.001-C126*0.999)/('Gas Giant'!G137*LN((C126*1.001)/(C126*0.999)))/IF('Gas Giant'!G$88&gt;0,'Gas Giant'!G$88,0.5)))</f>
        <v/>
      </c>
      <c r="E126" s="71" t="str">
        <f aca="false">D126</f>
        <v/>
      </c>
    </row>
    <row r="127" customFormat="false" ht="15" hidden="false" customHeight="false" outlineLevel="0" collapsed="false">
      <c r="A127" s="69" t="str">
        <f aca="false">IF(B127="","Unused","key =")</f>
        <v>Unused</v>
      </c>
      <c r="B127" s="69" t="str">
        <f aca="false">IF('Gas Giant'!Q138="|",ROUND('Gas Giant'!N138,0),IF('Gas Giant'!Q138="V",ROUND('Gas Giant'!N138,-3),""))</f>
        <v/>
      </c>
      <c r="C127" s="71" t="str">
        <f aca="false">IF(B127="","",IF(B128="",0,'Gas Giant'!H138/1000))</f>
        <v/>
      </c>
      <c r="D127" s="71" t="str">
        <f aca="false">IF(C127="","",IF(C127=0,0,-(C127*1.001-C127*0.999)/('Gas Giant'!G138*LN((C127*1.001)/(C127*0.999)))/IF('Gas Giant'!G$88&gt;0,'Gas Giant'!G$88,0.5)))</f>
        <v/>
      </c>
      <c r="E127" s="71" t="str">
        <f aca="false">D127</f>
        <v/>
      </c>
    </row>
    <row r="128" customFormat="false" ht="15" hidden="false" customHeight="false" outlineLevel="0" collapsed="false">
      <c r="A128" s="69" t="str">
        <f aca="false">IF(B128="","Unused","key =")</f>
        <v>Unused</v>
      </c>
      <c r="B128" s="69" t="str">
        <f aca="false">IF('Gas Giant'!Q139="|",ROUND('Gas Giant'!N139,0),IF('Gas Giant'!Q139="V",ROUND('Gas Giant'!N139,-3),""))</f>
        <v/>
      </c>
      <c r="C128" s="71" t="str">
        <f aca="false">IF(B128="","",IF(B129="",0,'Gas Giant'!H139/1000))</f>
        <v/>
      </c>
      <c r="D128" s="71" t="str">
        <f aca="false">IF(C128="","",IF(C128=0,0,-(C128*1.001-C128*0.999)/('Gas Giant'!G139*LN((C128*1.001)/(C128*0.999)))/IF('Gas Giant'!G$88&gt;0,'Gas Giant'!G$88,0.5)))</f>
        <v/>
      </c>
      <c r="E128" s="71" t="str">
        <f aca="false">D128</f>
        <v/>
      </c>
    </row>
    <row r="129" customFormat="false" ht="15" hidden="false" customHeight="false" outlineLevel="0" collapsed="false">
      <c r="A129" s="69" t="str">
        <f aca="false">IF(B129="","Unused","key =")</f>
        <v>Unused</v>
      </c>
      <c r="B129" s="69" t="str">
        <f aca="false">IF('Gas Giant'!Q140="|",ROUND('Gas Giant'!N140,0),IF('Gas Giant'!Q140="V",ROUND('Gas Giant'!N140,-3),""))</f>
        <v/>
      </c>
      <c r="C129" s="71" t="str">
        <f aca="false">IF(B129="","",IF(B130="",0,'Gas Giant'!H140/1000))</f>
        <v/>
      </c>
      <c r="D129" s="71" t="str">
        <f aca="false">IF(C129="","",IF(C129=0,0,-(C129*1.001-C129*0.999)/('Gas Giant'!G140*LN((C129*1.001)/(C129*0.999)))/IF('Gas Giant'!G$88&gt;0,'Gas Giant'!G$88,0.5)))</f>
        <v/>
      </c>
      <c r="E129" s="71" t="str">
        <f aca="false">D129</f>
        <v/>
      </c>
    </row>
    <row r="130" customFormat="false" ht="15" hidden="false" customHeight="false" outlineLevel="0" collapsed="false">
      <c r="A130" s="69" t="str">
        <f aca="false">IF(B130="","Unused","key =")</f>
        <v>Unused</v>
      </c>
      <c r="B130" s="69" t="str">
        <f aca="false">IF('Gas Giant'!Q141="|",ROUND('Gas Giant'!N141,0),IF('Gas Giant'!Q141="V",ROUND('Gas Giant'!N141,-3),""))</f>
        <v/>
      </c>
      <c r="C130" s="71" t="str">
        <f aca="false">IF(B130="","",IF(B131="",0,'Gas Giant'!H141/1000))</f>
        <v/>
      </c>
      <c r="D130" s="71" t="str">
        <f aca="false">IF(C130="","",IF(C130=0,0,-(C130*1.001-C130*0.999)/('Gas Giant'!G141*LN((C130*1.001)/(C130*0.999)))/IF('Gas Giant'!G$88&gt;0,'Gas Giant'!G$88,0.5)))</f>
        <v/>
      </c>
      <c r="E130" s="71" t="str">
        <f aca="false">D130</f>
        <v/>
      </c>
    </row>
    <row r="131" customFormat="false" ht="15" hidden="false" customHeight="false" outlineLevel="0" collapsed="false">
      <c r="A131" s="69" t="str">
        <f aca="false">IF(B131="","Unused","key =")</f>
        <v>Unused</v>
      </c>
      <c r="B131" s="69" t="str">
        <f aca="false">IF('Gas Giant'!Q142="|",ROUND('Gas Giant'!N142,0),IF('Gas Giant'!Q142="V",ROUND('Gas Giant'!N142,-3),""))</f>
        <v/>
      </c>
      <c r="C131" s="71" t="str">
        <f aca="false">IF(B131="","",IF(B132="",0,'Gas Giant'!H142/1000))</f>
        <v/>
      </c>
      <c r="D131" s="71" t="str">
        <f aca="false">IF(C131="","",IF(C131=0,0,-(C131*1.001-C131*0.999)/('Gas Giant'!G142*LN((C131*1.001)/(C131*0.999)))/IF('Gas Giant'!G$88&gt;0,'Gas Giant'!G$88,0.5)))</f>
        <v/>
      </c>
      <c r="E131" s="71" t="str">
        <f aca="false">D131</f>
        <v/>
      </c>
    </row>
    <row r="132" customFormat="false" ht="15" hidden="false" customHeight="false" outlineLevel="0" collapsed="false">
      <c r="A132" s="69" t="str">
        <f aca="false">IF(B132="","Unused","key =")</f>
        <v>Unused</v>
      </c>
      <c r="B132" s="69" t="str">
        <f aca="false">IF('Gas Giant'!Q143="|",ROUND('Gas Giant'!N143,0),IF('Gas Giant'!Q143="V",ROUND('Gas Giant'!N143,-3),""))</f>
        <v/>
      </c>
      <c r="C132" s="71" t="str">
        <f aca="false">IF(B132="","",IF(B133="",0,'Gas Giant'!H143/1000))</f>
        <v/>
      </c>
      <c r="D132" s="71" t="str">
        <f aca="false">IF(C132="","",IF(C132=0,0,-(C132*1.001-C132*0.999)/('Gas Giant'!G143*LN((C132*1.001)/(C132*0.999)))/IF('Gas Giant'!G$88&gt;0,'Gas Giant'!G$88,0.5)))</f>
        <v/>
      </c>
      <c r="E132" s="71" t="str">
        <f aca="false">D132</f>
        <v/>
      </c>
    </row>
    <row r="133" customFormat="false" ht="15" hidden="false" customHeight="false" outlineLevel="0" collapsed="false">
      <c r="A133" s="66" t="s">
        <v>212</v>
      </c>
      <c r="B133" s="69"/>
      <c r="C133" s="69"/>
      <c r="D133" s="69"/>
      <c r="E133" s="69"/>
    </row>
    <row r="134" customFormat="false" ht="15" hidden="false" customHeight="false" outlineLevel="0" collapsed="false">
      <c r="A134" s="65" t="s">
        <v>212</v>
      </c>
      <c r="B134" s="69"/>
      <c r="C134" s="69"/>
      <c r="D134" s="69"/>
      <c r="E134" s="69"/>
    </row>
    <row r="136" customFormat="false" ht="15" hidden="false" customHeight="false" outlineLevel="0" collapsed="false">
      <c r="C136" s="72"/>
      <c r="D136" s="73"/>
      <c r="E136" s="73"/>
    </row>
    <row r="138" customFormat="false" ht="15" hidden="false" customHeight="false" outlineLevel="0" collapsed="false">
      <c r="E138" s="73"/>
    </row>
    <row r="139" customFormat="false" ht="15" hidden="false" customHeight="false" outlineLevel="0" collapsed="false">
      <c r="D139" s="73"/>
      <c r="E139" s="73"/>
    </row>
    <row r="140" customFormat="false" ht="15" hidden="false" customHeight="false" outlineLevel="0" collapsed="false">
      <c r="D140" s="73"/>
      <c r="E140" s="73"/>
    </row>
    <row r="141" customFormat="false" ht="15" hidden="false" customHeight="false" outlineLevel="0" collapsed="false">
      <c r="C141" s="72"/>
      <c r="D141" s="73"/>
      <c r="E141" s="73"/>
    </row>
    <row r="148" customFormat="false" ht="15" hidden="false" customHeight="false" outlineLevel="0" collapsed="false">
      <c r="D148" s="73"/>
      <c r="E148" s="73"/>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S16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G26" activeCellId="0" sqref="G26"/>
    </sheetView>
  </sheetViews>
  <sheetFormatPr defaultColWidth="9.13671875" defaultRowHeight="15.75" zeroHeight="false" outlineLevelRow="0" outlineLevelCol="0"/>
  <cols>
    <col collapsed="false" customWidth="true" hidden="false" outlineLevel="0" max="1" min="1" style="1" width="3.71"/>
    <col collapsed="false" customWidth="true" hidden="false" outlineLevel="0" max="16" min="2" style="1" width="12.71"/>
    <col collapsed="false" customWidth="false" hidden="false" outlineLevel="0" max="17" min="17" style="1" width="9.13"/>
    <col collapsed="false" customWidth="true" hidden="true" outlineLevel="0" max="18" min="18" style="1" width="11.52"/>
    <col collapsed="false" customWidth="false" hidden="false" outlineLevel="0" max="1024" min="19" style="1" width="9.13"/>
  </cols>
  <sheetData>
    <row r="2" customFormat="false" ht="31.5" hidden="false" customHeight="false" outlineLevel="0" collapsed="false">
      <c r="B2" s="4" t="s">
        <v>292</v>
      </c>
      <c r="C2" s="4"/>
      <c r="D2" s="4"/>
      <c r="E2" s="4"/>
      <c r="F2" s="4"/>
      <c r="G2" s="4"/>
      <c r="H2" s="4"/>
    </row>
    <row r="4" customFormat="false" ht="15.75" hidden="false" customHeight="false" outlineLevel="0" collapsed="false">
      <c r="B4" s="5" t="s">
        <v>20</v>
      </c>
      <c r="C4" s="5"/>
      <c r="D4" s="5"/>
      <c r="E4" s="5"/>
      <c r="F4" s="5"/>
      <c r="G4" s="5"/>
      <c r="H4" s="5"/>
    </row>
    <row r="5" customFormat="false" ht="15.75" hidden="false" customHeight="false" outlineLevel="0" collapsed="false">
      <c r="B5" s="5" t="s">
        <v>293</v>
      </c>
      <c r="C5" s="5"/>
      <c r="D5" s="5"/>
      <c r="E5" s="5"/>
      <c r="F5" s="5"/>
      <c r="G5" s="5"/>
      <c r="H5" s="5"/>
    </row>
    <row r="6" customFormat="false" ht="15.75" hidden="false" customHeight="false" outlineLevel="0" collapsed="false">
      <c r="B6" s="5" t="s">
        <v>294</v>
      </c>
      <c r="C6" s="5"/>
      <c r="D6" s="5"/>
      <c r="E6" s="5"/>
      <c r="F6" s="5"/>
      <c r="G6" s="5"/>
      <c r="H6" s="5"/>
    </row>
    <row r="7" customFormat="false" ht="15.75" hidden="false" customHeight="false" outlineLevel="0" collapsed="false">
      <c r="B7" s="5" t="s">
        <v>295</v>
      </c>
      <c r="C7" s="5"/>
      <c r="D7" s="5"/>
      <c r="E7" s="5"/>
      <c r="F7" s="5"/>
      <c r="G7" s="5"/>
      <c r="H7" s="5"/>
    </row>
    <row r="8" customFormat="false" ht="15.75" hidden="false" customHeight="false" outlineLevel="0" collapsed="false">
      <c r="B8" s="5" t="s">
        <v>296</v>
      </c>
      <c r="C8" s="5"/>
      <c r="D8" s="5"/>
      <c r="E8" s="5"/>
      <c r="F8" s="5"/>
      <c r="G8" s="5"/>
      <c r="H8" s="5"/>
    </row>
    <row r="10" customFormat="false" ht="15.75" hidden="false" customHeight="false" outlineLevel="0" collapsed="false">
      <c r="B10" s="1" t="s">
        <v>29</v>
      </c>
    </row>
    <row r="11" customFormat="false" ht="15.75" hidden="false" customHeight="false" outlineLevel="0" collapsed="false">
      <c r="B11" s="3" t="s">
        <v>32</v>
      </c>
      <c r="F11" s="13" t="n">
        <v>348871312.337751</v>
      </c>
      <c r="G11" s="13"/>
      <c r="H11" s="12" t="s">
        <v>33</v>
      </c>
    </row>
    <row r="12" customFormat="false" ht="15.75" hidden="false" customHeight="false" outlineLevel="0" collapsed="false">
      <c r="B12" s="1" t="s">
        <v>36</v>
      </c>
      <c r="F12" s="14"/>
      <c r="G12" s="14"/>
    </row>
    <row r="13" customFormat="false" ht="15.75" hidden="false" customHeight="false" outlineLevel="0" collapsed="false">
      <c r="B13" s="3" t="s">
        <v>39</v>
      </c>
      <c r="F13" s="13" t="n">
        <v>396549</v>
      </c>
      <c r="G13" s="13"/>
      <c r="H13" s="1" t="s">
        <v>33</v>
      </c>
    </row>
    <row r="14" customFormat="false" ht="15" hidden="false" customHeight="true" outlineLevel="0" collapsed="false">
      <c r="B14" s="15" t="s">
        <v>42</v>
      </c>
      <c r="C14" s="16"/>
      <c r="D14" s="17" t="s">
        <v>43</v>
      </c>
      <c r="E14" s="17"/>
      <c r="F14" s="18"/>
      <c r="G14" s="19"/>
      <c r="H14" s="12" t="s">
        <v>44</v>
      </c>
    </row>
    <row r="15" customFormat="false" ht="15" hidden="false" customHeight="false" outlineLevel="0" collapsed="false">
      <c r="B15" s="20" t="s">
        <v>47</v>
      </c>
      <c r="C15" s="12"/>
      <c r="D15" s="17"/>
      <c r="E15" s="17"/>
      <c r="F15" s="21"/>
      <c r="G15" s="22" t="n">
        <v>2.187317E+028</v>
      </c>
      <c r="H15" s="1" t="s">
        <v>48</v>
      </c>
    </row>
    <row r="16" customFormat="false" ht="15.75" hidden="false" customHeight="false" outlineLevel="0" collapsed="false">
      <c r="B16" s="23" t="s">
        <v>50</v>
      </c>
      <c r="C16" s="24"/>
      <c r="D16" s="17"/>
      <c r="E16" s="17"/>
      <c r="F16" s="25"/>
      <c r="G16" s="26"/>
      <c r="H16" s="12" t="s">
        <v>51</v>
      </c>
    </row>
    <row r="17" customFormat="false" ht="15.75" hidden="false" customHeight="false" outlineLevel="0" collapsed="false">
      <c r="B17" s="3" t="s">
        <v>236</v>
      </c>
      <c r="F17" s="14"/>
      <c r="G17" s="30" t="n">
        <v>1360</v>
      </c>
      <c r="H17" s="12" t="s">
        <v>135</v>
      </c>
    </row>
    <row r="18" s="12" customFormat="true" ht="15.75" hidden="false" customHeight="false" outlineLevel="0" collapsed="false">
      <c r="B18" s="1" t="s">
        <v>237</v>
      </c>
      <c r="F18" s="21"/>
      <c r="G18" s="21"/>
      <c r="M18" s="1"/>
      <c r="N18" s="1"/>
      <c r="O18" s="1"/>
      <c r="P18" s="1"/>
      <c r="Q18" s="1"/>
      <c r="R18" s="1"/>
      <c r="S18" s="1"/>
    </row>
    <row r="19" s="12" customFormat="true" ht="15.75" hidden="false" customHeight="false" outlineLevel="0" collapsed="false">
      <c r="B19" s="3" t="s">
        <v>297</v>
      </c>
      <c r="F19" s="21"/>
      <c r="G19" s="84" t="s">
        <v>298</v>
      </c>
      <c r="N19" s="1"/>
      <c r="O19" s="1"/>
      <c r="P19" s="1"/>
      <c r="Q19" s="1"/>
    </row>
    <row r="20" s="12" customFormat="true" ht="15.75" hidden="false" customHeight="false" outlineLevel="0" collapsed="false">
      <c r="B20" s="3" t="s">
        <v>39</v>
      </c>
      <c r="C20" s="1"/>
      <c r="D20" s="1"/>
      <c r="E20" s="1"/>
      <c r="F20" s="13" t="n">
        <v>1146783</v>
      </c>
      <c r="G20" s="13"/>
      <c r="H20" s="1" t="s">
        <v>33</v>
      </c>
      <c r="N20" s="1"/>
      <c r="O20" s="1"/>
      <c r="P20" s="1"/>
      <c r="Q20" s="1"/>
    </row>
    <row r="21" customFormat="false" ht="15" hidden="false" customHeight="true" outlineLevel="0" collapsed="false">
      <c r="B21" s="15" t="s">
        <v>42</v>
      </c>
      <c r="C21" s="16"/>
      <c r="D21" s="17" t="s">
        <v>43</v>
      </c>
      <c r="E21" s="17"/>
      <c r="F21" s="18"/>
      <c r="G21" s="19"/>
      <c r="H21" s="12" t="s">
        <v>44</v>
      </c>
    </row>
    <row r="22" s="12" customFormat="true" ht="15" hidden="false" customHeight="false" outlineLevel="0" collapsed="false">
      <c r="B22" s="20" t="s">
        <v>47</v>
      </c>
      <c r="D22" s="17"/>
      <c r="E22" s="17"/>
      <c r="F22" s="21"/>
      <c r="G22" s="22" t="n">
        <v>1.13468E+023</v>
      </c>
      <c r="H22" s="1" t="s">
        <v>48</v>
      </c>
      <c r="N22" s="1"/>
      <c r="O22" s="1"/>
      <c r="P22" s="1"/>
      <c r="Q22" s="1"/>
    </row>
    <row r="23" customFormat="false" ht="15.75" hidden="false" customHeight="false" outlineLevel="0" collapsed="false">
      <c r="B23" s="23" t="s">
        <v>50</v>
      </c>
      <c r="C23" s="24"/>
      <c r="D23" s="17"/>
      <c r="E23" s="17"/>
      <c r="F23" s="25"/>
      <c r="G23" s="26"/>
      <c r="H23" s="12" t="s">
        <v>51</v>
      </c>
      <c r="I23" s="12"/>
    </row>
    <row r="24" s="12" customFormat="true" ht="15.75" hidden="false" customHeight="false" outlineLevel="0" collapsed="false">
      <c r="B24" s="3" t="s">
        <v>238</v>
      </c>
      <c r="F24" s="21"/>
      <c r="G24" s="30" t="n">
        <v>0.3</v>
      </c>
      <c r="O24" s="1"/>
      <c r="P24" s="1"/>
      <c r="Q24" s="1"/>
    </row>
    <row r="25" s="12" customFormat="true" ht="15.75" hidden="false" customHeight="false" outlineLevel="0" collapsed="false">
      <c r="B25" s="3" t="s">
        <v>32</v>
      </c>
      <c r="F25" s="13" t="n">
        <v>400000000</v>
      </c>
      <c r="G25" s="13"/>
      <c r="H25" s="12" t="s">
        <v>33</v>
      </c>
      <c r="O25" s="1"/>
      <c r="P25" s="1"/>
      <c r="Q25" s="1"/>
    </row>
    <row r="26" s="12" customFormat="true" ht="15.75" hidden="false" customHeight="false" outlineLevel="0" collapsed="false">
      <c r="B26" s="3" t="s">
        <v>239</v>
      </c>
      <c r="F26" s="21"/>
      <c r="G26" s="30" t="n">
        <v>0</v>
      </c>
      <c r="O26" s="1"/>
      <c r="P26" s="1"/>
      <c r="Q26" s="1"/>
    </row>
    <row r="27" s="12" customFormat="true" ht="15.75" hidden="false" customHeight="false" outlineLevel="0" collapsed="false">
      <c r="B27" s="3" t="s">
        <v>240</v>
      </c>
      <c r="F27" s="21"/>
      <c r="G27" s="30" t="n">
        <v>0</v>
      </c>
      <c r="H27" s="12" t="s">
        <v>241</v>
      </c>
      <c r="O27" s="1"/>
      <c r="P27" s="1"/>
      <c r="Q27" s="1"/>
    </row>
    <row r="28" s="12" customFormat="true" ht="15.75" hidden="false" customHeight="false" outlineLevel="0" collapsed="false">
      <c r="B28" s="3" t="s">
        <v>242</v>
      </c>
      <c r="F28" s="21"/>
      <c r="G28" s="30" t="n">
        <v>0</v>
      </c>
      <c r="H28" s="12" t="s">
        <v>241</v>
      </c>
      <c r="O28" s="1"/>
      <c r="P28" s="1"/>
      <c r="Q28" s="1"/>
    </row>
    <row r="29" s="12" customFormat="true" ht="15.75" hidden="false" customHeight="false" outlineLevel="0" collapsed="false">
      <c r="B29" s="1" t="s">
        <v>299</v>
      </c>
      <c r="F29" s="21"/>
      <c r="G29" s="21"/>
      <c r="O29" s="1"/>
      <c r="P29" s="1"/>
      <c r="Q29" s="1"/>
    </row>
    <row r="30" s="12" customFormat="true" ht="15.75" hidden="false" customHeight="false" outlineLevel="0" collapsed="false">
      <c r="B30" s="3" t="str">
        <f aca="false">IF(G19="Moon","semiMajorAxis","")</f>
        <v/>
      </c>
      <c r="D30" s="85" t="str">
        <f aca="false">IF(G19="Planet","not applicable","")</f>
        <v>not applicable</v>
      </c>
      <c r="F30" s="13"/>
      <c r="G30" s="13"/>
      <c r="H30" s="12" t="str">
        <f aca="false">IF(G19="Moon","m","")</f>
        <v/>
      </c>
      <c r="O30" s="1"/>
      <c r="P30" s="1"/>
      <c r="Q30" s="1"/>
    </row>
    <row r="31" s="12" customFormat="true" ht="15.75" hidden="false" customHeight="false" outlineLevel="0" collapsed="false">
      <c r="B31" s="3" t="str">
        <f aca="false">IF(G19="Moon","eccentricity","")</f>
        <v/>
      </c>
      <c r="D31" s="85" t="str">
        <f aca="false">IF(G19="Planet","|","")</f>
        <v>|</v>
      </c>
      <c r="F31" s="21"/>
      <c r="G31" s="30"/>
      <c r="O31" s="1"/>
      <c r="P31" s="1"/>
      <c r="Q31" s="1"/>
    </row>
    <row r="32" s="12" customFormat="true" ht="15.75" hidden="false" customHeight="false" outlineLevel="0" collapsed="false">
      <c r="B32" s="3" t="str">
        <f aca="false">IF(G19="Moon","inclination","")</f>
        <v/>
      </c>
      <c r="D32" s="85" t="str">
        <f aca="false">IF(G19="Planet","|","")</f>
        <v>|</v>
      </c>
      <c r="F32" s="21"/>
      <c r="G32" s="30"/>
      <c r="H32" s="12" t="str">
        <f aca="false">IF(G19="Moon","°","")</f>
        <v/>
      </c>
      <c r="O32" s="1"/>
      <c r="P32" s="1"/>
      <c r="Q32" s="1"/>
    </row>
    <row r="33" s="12" customFormat="true" ht="15.75" hidden="false" customHeight="false" outlineLevel="0" collapsed="false">
      <c r="B33" s="3" t="str">
        <f aca="false">IF(G19="Moon","argumentOfPeriapsis","")</f>
        <v/>
      </c>
      <c r="D33" s="85" t="str">
        <f aca="false">IF(G19="Planet","V","")</f>
        <v>V</v>
      </c>
      <c r="F33" s="21"/>
      <c r="G33" s="30"/>
      <c r="H33" s="12" t="str">
        <f aca="false">IF(G19="Moon","°","")</f>
        <v/>
      </c>
      <c r="O33" s="1"/>
      <c r="P33" s="1"/>
      <c r="Q33" s="1"/>
    </row>
    <row r="34" s="12" customFormat="true" ht="15.75" hidden="false" customHeight="false" outlineLevel="0" collapsed="false">
      <c r="B34" s="28"/>
      <c r="F34" s="21"/>
      <c r="G34" s="21"/>
      <c r="O34" s="1"/>
      <c r="P34" s="1"/>
      <c r="Q34" s="1"/>
    </row>
    <row r="35" customFormat="false" ht="15.75" hidden="false" customHeight="false" outlineLevel="0" collapsed="false">
      <c r="B35" s="5" t="s">
        <v>69</v>
      </c>
      <c r="C35" s="5"/>
      <c r="D35" s="5"/>
      <c r="E35" s="5"/>
      <c r="F35" s="5"/>
      <c r="G35" s="5"/>
      <c r="H35" s="5"/>
      <c r="K35" s="12"/>
      <c r="L35" s="12"/>
      <c r="M35" s="12"/>
      <c r="N35" s="12"/>
    </row>
    <row r="36" customFormat="false" ht="15.75" hidden="false" customHeight="false" outlineLevel="0" collapsed="false">
      <c r="B36" s="5" t="s">
        <v>243</v>
      </c>
      <c r="C36" s="5"/>
      <c r="D36" s="5"/>
      <c r="E36" s="5"/>
      <c r="F36" s="5"/>
      <c r="G36" s="5"/>
      <c r="H36" s="5"/>
      <c r="K36" s="12"/>
      <c r="L36" s="12"/>
      <c r="M36" s="12"/>
      <c r="N36" s="12"/>
    </row>
    <row r="37" customFormat="false" ht="15.75" hidden="false" customHeight="false" outlineLevel="0" collapsed="false">
      <c r="F37" s="14"/>
      <c r="G37" s="14"/>
    </row>
    <row r="38" customFormat="false" ht="15.75" hidden="false" customHeight="false" outlineLevel="0" collapsed="false">
      <c r="B38" s="3" t="s">
        <v>75</v>
      </c>
      <c r="F38" s="34" t="n">
        <v>11467830</v>
      </c>
      <c r="G38" s="34"/>
      <c r="H38" s="1" t="s">
        <v>33</v>
      </c>
    </row>
    <row r="40" customFormat="false" ht="15.75" hidden="false" customHeight="false" outlineLevel="0" collapsed="false">
      <c r="B40" s="5" t="s">
        <v>300</v>
      </c>
      <c r="C40" s="5"/>
      <c r="D40" s="5"/>
      <c r="E40" s="5"/>
      <c r="F40" s="5"/>
      <c r="G40" s="5"/>
      <c r="H40" s="5"/>
    </row>
    <row r="41" customFormat="false" ht="15.75" hidden="false" customHeight="false" outlineLevel="0" collapsed="false">
      <c r="B41" s="5" t="s">
        <v>301</v>
      </c>
      <c r="C41" s="5"/>
      <c r="D41" s="5"/>
      <c r="E41" s="5"/>
      <c r="F41" s="5"/>
      <c r="G41" s="5"/>
      <c r="H41" s="5"/>
    </row>
    <row r="43" customFormat="false" ht="15.75" hidden="false" customHeight="false" outlineLevel="0" collapsed="false">
      <c r="B43" s="3" t="s">
        <v>302</v>
      </c>
      <c r="G43" s="43" t="n">
        <v>1.57</v>
      </c>
      <c r="H43" s="1" t="s">
        <v>189</v>
      </c>
    </row>
    <row r="45" customFormat="false" ht="15.75" hidden="false" customHeight="false" outlineLevel="0" collapsed="false">
      <c r="F45" s="9" t="s">
        <v>87</v>
      </c>
      <c r="G45" s="9" t="s">
        <v>88</v>
      </c>
      <c r="H45" s="9" t="s">
        <v>89</v>
      </c>
    </row>
    <row r="46" customFormat="false" ht="15.75" hidden="false" customHeight="false" outlineLevel="0" collapsed="false">
      <c r="B46" s="36" t="s">
        <v>91</v>
      </c>
      <c r="C46" s="36"/>
      <c r="D46" s="36"/>
      <c r="E46" s="36" t="s">
        <v>92</v>
      </c>
      <c r="F46" s="38" t="s">
        <v>93</v>
      </c>
      <c r="G46" s="38" t="s">
        <v>94</v>
      </c>
      <c r="H46" s="38" t="s">
        <v>95</v>
      </c>
    </row>
    <row r="47" customFormat="false" ht="15.75" hidden="false" customHeight="false" outlineLevel="0" collapsed="false">
      <c r="B47" s="39" t="s">
        <v>303</v>
      </c>
      <c r="C47" s="39"/>
      <c r="D47" s="39"/>
      <c r="E47" s="1" t="s">
        <v>304</v>
      </c>
      <c r="F47" s="40" t="n">
        <v>0.78</v>
      </c>
      <c r="G47" s="41" t="n">
        <v>28.0134</v>
      </c>
      <c r="H47" s="41" t="n">
        <f aca="false">IF(G$75&lt;100,29.104,IF(G$75&lt;500,28.98641+1.853978*(G$75/1000)-9.647459*(G$75/1000)^2+16.63537*(G$75/1000)^3+0.000117/(G$75/1000)^2,IF(G$75&lt;2000,19.50583+19.88705*(G$75/1000)-8.598535*(G$75/1000)^2+1.369784*(G$75/1000)^3+0.527601/(G$75/1000)^2,IF(G$75&lt;6000,35.51872+1.128728*(G$75/1000)-0.196103*(G$75/1000)^2+0.014662*(G$75/1000)^3-4.55376/(G$75/1000)^2,38.276))))</f>
        <v>29.1092344941652</v>
      </c>
    </row>
    <row r="48" customFormat="false" ht="15.75" hidden="false" customHeight="false" outlineLevel="0" collapsed="false">
      <c r="B48" s="12" t="s">
        <v>305</v>
      </c>
      <c r="C48" s="12"/>
      <c r="D48" s="12"/>
      <c r="E48" s="1" t="s">
        <v>306</v>
      </c>
      <c r="F48" s="40" t="n">
        <v>0</v>
      </c>
      <c r="G48" s="41" t="n">
        <v>31.9988</v>
      </c>
      <c r="H48" s="41" t="n">
        <f aca="false">IF(G$75&lt;100,29.106,IF(G$75&lt;700,31.32234-20.23531*(G$75/1000)+57.86644*(G$75/1000)^2-36.50624*(G$75/1000)^3-0.007374/(G$75/1000)^2,IF(G$75&lt;2000,30.03235+8.772972*(G$75/1000)-3.988133*(G$75/1000)^2+0.788313*(G$75/1000)^3-0.741599/(G$75/1000)^2,IF(G$75&lt;6000,20.91111+10.72071*(G$75/1000)-2.020498*(G$75/1000)^2+0.146449*(G$75/1000)^3+9.245722/(G$75/1000)^2,44.387))))</f>
        <v>29.201666062132</v>
      </c>
    </row>
    <row r="49" customFormat="false" ht="15.75" hidden="false" customHeight="false" outlineLevel="0" collapsed="false">
      <c r="B49" s="12" t="s">
        <v>307</v>
      </c>
      <c r="C49" s="12"/>
      <c r="D49" s="12"/>
      <c r="E49" s="1" t="s">
        <v>308</v>
      </c>
      <c r="F49" s="40" t="n">
        <v>0.02</v>
      </c>
      <c r="G49" s="41" t="n">
        <v>39.948</v>
      </c>
      <c r="H49" s="41" t="n">
        <v>20.786</v>
      </c>
    </row>
    <row r="50" customFormat="false" ht="15.75" hidden="false" customHeight="false" outlineLevel="0" collapsed="false">
      <c r="B50" s="12" t="s">
        <v>309</v>
      </c>
      <c r="C50" s="12"/>
      <c r="D50" s="12"/>
      <c r="E50" s="1" t="s">
        <v>310</v>
      </c>
      <c r="F50" s="40" t="n">
        <v>0</v>
      </c>
      <c r="G50" s="41" t="n">
        <v>18.0153</v>
      </c>
      <c r="H50" s="41" t="n">
        <f aca="false">IF(G$75&lt;100,33.284,IF(G$75&lt;298.15,0.00000986841*G$75^2-0.00246052*G$75+33.4464,IF(G$75&lt;500,-0.0000000923802*G$75^3+0.000125756*G$75^2-0.0471887*G$75+38.9288,IF(G$75&lt;1700,30.092+6.832514*(G$75/1000)+6.793435*(G$75/1000)^2-2.53448*(G$75/1000)^3+0.082139/(G$75/1000)^2,IF(G$75&lt;6000,41.96426+8.622053*(G$75/1000)-1.49978*(G$75/1000)^2+0.098119*(G$75/1000)^3-11.15764/(G$75/1000)^2,60.571)))))</f>
        <v>33.4566550773295</v>
      </c>
      <c r="I50" s="1" t="str">
        <f aca="false">IF(G78&gt;1,"Too much water, oversaturated","")</f>
        <v/>
      </c>
    </row>
    <row r="51" customFormat="false" ht="15.75" hidden="false" customHeight="false" outlineLevel="0" collapsed="false">
      <c r="B51" s="12" t="s">
        <v>311</v>
      </c>
      <c r="C51" s="12"/>
      <c r="D51" s="12"/>
      <c r="E51" s="1" t="s">
        <v>312</v>
      </c>
      <c r="F51" s="40" t="n">
        <v>0.005</v>
      </c>
      <c r="G51" s="41" t="n">
        <v>44.0095</v>
      </c>
      <c r="H51" s="41" t="n">
        <f aca="false">IF(G$75&lt;100,29.208,IF(G$75&lt;298.15,0.0000862432*G$75^2+0.00563705*G$75+27.7819,IF(G$75&lt;1200,24.99735+55.18696*(G$75/1000)-33.69137*(G$75/1000)^2+7.948387*(G$75/1000)^3-0.136638/(G$75/1000)^2,IF(G$75&lt;6000,58.16639+2.720074*(G$75/1000)-0.492289*(G$75/1000)^2+0.038844*(G$75/1000)^3-6.447293/(G$75/1000)^2,64.957))))</f>
        <v>34.7497865430476</v>
      </c>
    </row>
    <row r="52" customFormat="false" ht="15.75" hidden="false" customHeight="false" outlineLevel="0" collapsed="false">
      <c r="B52" s="42"/>
      <c r="C52" s="42"/>
      <c r="D52" s="42"/>
      <c r="E52" s="43"/>
      <c r="F52" s="40"/>
      <c r="G52" s="44"/>
      <c r="H52" s="44"/>
      <c r="I52" s="86" t="s">
        <v>313</v>
      </c>
      <c r="J52" s="86"/>
    </row>
    <row r="53" customFormat="false" ht="15.75" hidden="false" customHeight="false" outlineLevel="0" collapsed="false">
      <c r="B53" s="42"/>
      <c r="C53" s="42"/>
      <c r="D53" s="42"/>
      <c r="E53" s="43"/>
      <c r="F53" s="40"/>
      <c r="G53" s="44"/>
      <c r="H53" s="44"/>
      <c r="I53" s="86" t="s">
        <v>313</v>
      </c>
      <c r="J53" s="86"/>
    </row>
    <row r="54" customFormat="false" ht="15.75" hidden="false" customHeight="false" outlineLevel="0" collapsed="false">
      <c r="B54" s="45"/>
      <c r="C54" s="45"/>
      <c r="D54" s="45"/>
      <c r="E54" s="45"/>
      <c r="F54" s="46"/>
      <c r="G54" s="47"/>
      <c r="H54" s="47"/>
      <c r="I54" s="87" t="s">
        <v>313</v>
      </c>
      <c r="J54" s="87"/>
    </row>
    <row r="55" customFormat="false" ht="15.75" hidden="false" customHeight="false" outlineLevel="0" collapsed="false">
      <c r="B55" s="1" t="s">
        <v>112</v>
      </c>
      <c r="F55" s="48" t="n">
        <f aca="false">SUM(F47:F54)</f>
        <v>0.805</v>
      </c>
    </row>
    <row r="57" customFormat="false" ht="15.75" hidden="false" customHeight="false" outlineLevel="0" collapsed="false">
      <c r="B57" s="3" t="s">
        <v>115</v>
      </c>
    </row>
    <row r="58" customFormat="false" ht="15.75" hidden="false" customHeight="false" outlineLevel="0" collapsed="false">
      <c r="B58" s="3" t="s">
        <v>117</v>
      </c>
    </row>
    <row r="60" customFormat="false" ht="15.75" hidden="false" customHeight="false" outlineLevel="0" collapsed="false">
      <c r="B60" s="5" t="s">
        <v>120</v>
      </c>
      <c r="C60" s="5"/>
      <c r="D60" s="5"/>
      <c r="E60" s="5"/>
      <c r="F60" s="5"/>
      <c r="G60" s="5"/>
      <c r="H60" s="5"/>
    </row>
    <row r="61" customFormat="false" ht="15.75" hidden="false" customHeight="false" outlineLevel="0" collapsed="false">
      <c r="B61" s="5" t="s">
        <v>252</v>
      </c>
      <c r="C61" s="5"/>
      <c r="D61" s="5"/>
      <c r="E61" s="5"/>
      <c r="F61" s="5"/>
      <c r="G61" s="5"/>
      <c r="H61" s="5"/>
    </row>
    <row r="62" customFormat="false" ht="15.75" hidden="false" customHeight="false" outlineLevel="0" collapsed="false">
      <c r="B62" s="5" t="s">
        <v>253</v>
      </c>
      <c r="C62" s="5"/>
      <c r="D62" s="5"/>
      <c r="E62" s="5"/>
      <c r="F62" s="5"/>
      <c r="G62" s="5"/>
      <c r="H62" s="5"/>
    </row>
    <row r="64" customFormat="false" ht="15.75" hidden="false" customHeight="false" outlineLevel="0" collapsed="false">
      <c r="B64" s="74" t="s">
        <v>254</v>
      </c>
      <c r="C64" s="74"/>
      <c r="D64" s="74"/>
      <c r="E64" s="74"/>
      <c r="F64" s="74"/>
      <c r="G64" s="74"/>
      <c r="H64" s="74"/>
    </row>
    <row r="66" s="12" customFormat="true" ht="15.75" hidden="false" customHeight="false" outlineLevel="0" collapsed="false">
      <c r="B66" s="12" t="s">
        <v>36</v>
      </c>
      <c r="I66" s="1"/>
      <c r="J66" s="1"/>
      <c r="K66" s="1"/>
      <c r="L66" s="1"/>
      <c r="M66" s="1"/>
      <c r="O66" s="1"/>
      <c r="P66" s="1"/>
      <c r="Q66" s="1"/>
    </row>
    <row r="67" s="12" customFormat="true" ht="15.75" hidden="false" customHeight="false" outlineLevel="0" collapsed="false">
      <c r="B67" s="29" t="s">
        <v>42</v>
      </c>
      <c r="G67" s="75" t="n">
        <f aca="false">IF(G14&gt;0,G14,IF(G15&gt;0,G15*0.0000000000667408,IF(G16&gt;0,IF(F13&gt;0,F13^2*G16*9.80665,1E+018),1E+018)))</f>
        <v>1.459832864336E+018</v>
      </c>
      <c r="H67" s="12" t="s">
        <v>44</v>
      </c>
      <c r="I67" s="1"/>
      <c r="J67" s="1"/>
      <c r="K67" s="1"/>
      <c r="L67" s="1"/>
      <c r="M67" s="1"/>
      <c r="O67" s="1"/>
      <c r="P67" s="1"/>
      <c r="Q67" s="1"/>
    </row>
    <row r="68" s="12" customFormat="true" ht="15.75" hidden="false" customHeight="false" outlineLevel="0" collapsed="false">
      <c r="B68" s="12" t="s">
        <v>237</v>
      </c>
      <c r="I68" s="1"/>
      <c r="J68" s="1"/>
      <c r="K68" s="1"/>
      <c r="L68" s="1"/>
      <c r="M68" s="1"/>
      <c r="O68" s="1"/>
      <c r="P68" s="1"/>
      <c r="Q68" s="1"/>
    </row>
    <row r="69" s="12" customFormat="true" ht="15.75" hidden="false" customHeight="false" outlineLevel="0" collapsed="false">
      <c r="B69" s="29" t="s">
        <v>42</v>
      </c>
      <c r="C69" s="1"/>
      <c r="G69" s="75" t="n">
        <f aca="false">IF(G21&gt;0,G21,IF(G22&gt;0,G22*0.0000000000667408,IF(G23&gt;0,IF(F20&gt;0,F20^2*G23*9.80665,1000000000000),1000000000000)))</f>
        <v>7572945094400</v>
      </c>
      <c r="H69" s="12" t="s">
        <v>44</v>
      </c>
      <c r="I69" s="1"/>
      <c r="J69" s="1"/>
      <c r="K69" s="1"/>
      <c r="L69" s="1"/>
      <c r="M69" s="1"/>
      <c r="O69" s="1"/>
      <c r="P69" s="1"/>
      <c r="Q69" s="1"/>
    </row>
    <row r="70" s="12" customFormat="true" ht="15.75" hidden="false" customHeight="false" outlineLevel="0" collapsed="false">
      <c r="B70" s="29" t="s">
        <v>50</v>
      </c>
      <c r="G70" s="12" t="n">
        <f aca="false">MAX(IF(G21&gt;0,IF(F20&gt;0,G21/F20^2/9.80665,1),IF(G22&gt;0,IF(F20&gt;0,G22*0.0000000000667408/F20^2/9.80665,1),IF(G23&gt;0,G23,1))),IF(F38&gt;0,F38*0.00000001,0.01))</f>
        <v>0.587194041424304</v>
      </c>
      <c r="H70" s="12" t="s">
        <v>51</v>
      </c>
      <c r="I70" s="1"/>
      <c r="J70" s="1"/>
      <c r="K70" s="1"/>
      <c r="L70" s="1"/>
      <c r="O70" s="1"/>
      <c r="P70" s="1"/>
      <c r="Q70" s="1"/>
    </row>
    <row r="71" s="12" customFormat="true" ht="15.75" hidden="false" customHeight="false" outlineLevel="0" collapsed="false">
      <c r="B71" s="29" t="str">
        <f aca="false">IF(G19="Planet","Orbital period","Solar orbital period (parent planet)")</f>
        <v>Orbital period</v>
      </c>
      <c r="C71" s="1"/>
      <c r="G71" s="88" t="n">
        <f aca="false">IF(G19="Planet",2*PI()*SQRT(F25^3/G67)/3600,2*PI()*SQRT(F30^3/G67)/3600)</f>
        <v>11.5562196086193</v>
      </c>
      <c r="H71" s="12" t="s">
        <v>256</v>
      </c>
      <c r="I71" s="1"/>
      <c r="J71" s="1"/>
      <c r="K71" s="1"/>
      <c r="L71" s="1"/>
      <c r="O71" s="1"/>
      <c r="P71" s="1"/>
      <c r="Q71" s="1"/>
    </row>
    <row r="72" customFormat="false" ht="15.75" hidden="false" customHeight="false" outlineLevel="0" collapsed="false">
      <c r="B72" s="29" t="s">
        <v>257</v>
      </c>
      <c r="G72" s="77" t="n">
        <f aca="false">IF(F11&gt;0,IF(G17&gt;0,IF(G19="Planet",IF(F25&gt;0,G17*(F11/F25)^2,1000),IF(F30&gt;0,G17*(F11/F30)^2,1000)),1000),1000)</f>
        <v>1034.54513686425</v>
      </c>
      <c r="H72" s="1" t="s">
        <v>135</v>
      </c>
    </row>
    <row r="73" customFormat="false" ht="15.75" hidden="false" customHeight="false" outlineLevel="0" collapsed="false">
      <c r="B73" s="29" t="s">
        <v>258</v>
      </c>
      <c r="G73" s="77" t="n">
        <f aca="false">(G72*(1-G24)/(4*0.000000056704))^0.25</f>
        <v>237.707809004057</v>
      </c>
      <c r="H73" s="1" t="s">
        <v>65</v>
      </c>
    </row>
    <row r="74" customFormat="false" ht="15.75" hidden="false" customHeight="false" outlineLevel="0" collapsed="false">
      <c r="B74" s="29" t="s">
        <v>127</v>
      </c>
      <c r="F74" s="79"/>
      <c r="G74" s="79" t="n">
        <f aca="false">IF(F55&gt;0,(F47*G47+F48*G48+F49*G49+F50*G50+F51*G51+F52*G52+F53*G53+F54*G54)/(SUM(F47:F51)+IF(G52&gt;0,F52,0)+IF(G53&gt;0,F53,0)+IF(G54&gt;0,F54,0)),29)</f>
        <v>28.4092664596273</v>
      </c>
      <c r="H74" s="1" t="s">
        <v>128</v>
      </c>
    </row>
    <row r="75" customFormat="false" ht="15.75" hidden="false" customHeight="false" outlineLevel="0" collapsed="false">
      <c r="B75" s="78" t="s">
        <v>259</v>
      </c>
      <c r="G75" s="89" t="n">
        <f aca="false">(C122*I122+C123*I123+C124*I124+C125*I125+C126*I126+C127*I127+C128*I128+C129*I129+C130*I130+C131*I131+C132*I132+C133*I133+C134*I134)/SUM(I122:I134)</f>
        <v>253.433388632023</v>
      </c>
      <c r="H75" s="1" t="s">
        <v>65</v>
      </c>
    </row>
    <row r="76" customFormat="false" ht="15.75" hidden="false" customHeight="false" outlineLevel="0" collapsed="false">
      <c r="B76" s="29" t="s">
        <v>130</v>
      </c>
      <c r="G76" s="79" t="n">
        <f aca="false">IF(F55&gt;0,1/(1-8.3144621/((F47*H47+F48*H48+F49*H49+F50*H50+F51*H51+F52*H52+F53*H53+F54*H54)/(SUM(F47:F51)+IF(H52&gt;0,F52,0)+IF(H53&gt;0,F53,0)+IF(H54&gt;0,F54,0)))),1.4)</f>
        <v>1.40316416932153</v>
      </c>
    </row>
    <row r="77" customFormat="false" ht="15.75" hidden="false" customHeight="false" outlineLevel="0" collapsed="false">
      <c r="B77" s="29" t="s">
        <v>314</v>
      </c>
      <c r="G77" s="31" t="n">
        <f aca="false">G43*F48*1013.25</f>
        <v>0</v>
      </c>
      <c r="H77" s="1" t="s">
        <v>315</v>
      </c>
    </row>
    <row r="78" customFormat="false" ht="15.75" hidden="false" customHeight="false" outlineLevel="0" collapsed="false">
      <c r="B78" s="29" t="s">
        <v>316</v>
      </c>
      <c r="G78" s="90" t="n">
        <f aca="false">(G43*F50*101325*4)/MAX(10^(0.00000000003015194*C122^5-0.00000004034334*C122^4+0.00002174343*C122^3-0.006075586*C122^2+0.9360141*C122-63.99428),0.000001)</f>
        <v>0</v>
      </c>
    </row>
    <row r="79" customFormat="false" ht="15.75" hidden="false" customHeight="false" outlineLevel="0" collapsed="false">
      <c r="B79" s="91" t="s">
        <v>317</v>
      </c>
    </row>
    <row r="80" customFormat="false" ht="15.75" hidden="false" customHeight="false" outlineLevel="0" collapsed="false">
      <c r="B80" s="52"/>
    </row>
    <row r="81" customFormat="false" ht="15.75" hidden="false" customHeight="true" outlineLevel="0" collapsed="false">
      <c r="B81" s="80" t="s">
        <v>260</v>
      </c>
      <c r="C81" s="80"/>
      <c r="D81" s="80"/>
      <c r="E81" s="80"/>
      <c r="F81" s="80"/>
      <c r="G81" s="80"/>
      <c r="H81" s="80"/>
    </row>
    <row r="83" customFormat="false" ht="15.75" hidden="false" customHeight="false" outlineLevel="0" collapsed="false">
      <c r="B83" s="12" t="s">
        <v>237</v>
      </c>
    </row>
    <row r="84" customFormat="false" ht="15.75" hidden="false" customHeight="false" outlineLevel="0" collapsed="false">
      <c r="B84" s="29" t="s">
        <v>261</v>
      </c>
      <c r="G84" s="31" t="n">
        <f aca="false">ROUND(165*G72^0.25,-1)</f>
        <v>940</v>
      </c>
      <c r="H84" s="1" t="s">
        <v>65</v>
      </c>
    </row>
    <row r="85" customFormat="false" ht="15.75" hidden="false" customHeight="false" outlineLevel="0" collapsed="false">
      <c r="B85" s="29" t="s">
        <v>318</v>
      </c>
      <c r="F85" s="92" t="n">
        <f aca="false">LOG(IF(G43&gt;0,(((F51+IF(I52="Mild greenhouse",F52,0)+IF(I53="Mild greenhouse",F53,0)+IF(I54="Mild greenhouse",F54,0))*10+(F50+IF(I52="Strong greenhouse",F52,0)+IF(I53="Strong greenhouse",F53,0)+IF(I54="Strong greenhouse",F54,0))*40+(1-F50-F51-IF(I52&lt;&gt;"No greenhouse",F52,0)-IF(I53&lt;&gt;"No greenhouse",F53,0)-IF(I54&lt;&gt;"No greenhouse",F54,0)))*G43/G70),1))</f>
        <v>0.446234302947057</v>
      </c>
      <c r="G85" s="31" t="n">
        <f aca="false">(G72*(1-G24)/4/IF(F85&lt;3.00607947,MIN(-0.0276*F85^3+0.08774*F85^2-0.2178*F85+0.6126,0.9),0.001)/0.000000056704)^0.25-G73</f>
        <v>40.8315947020489</v>
      </c>
      <c r="H85" s="1" t="s">
        <v>65</v>
      </c>
    </row>
    <row r="86" customFormat="false" ht="15.75" hidden="false" customHeight="false" outlineLevel="0" collapsed="false">
      <c r="A86" s="52"/>
      <c r="B86" s="29" t="s">
        <v>263</v>
      </c>
      <c r="G86" s="93" t="n">
        <f aca="false">ROUND(G73*(-0.035*LOG(IF(G43&gt;0,G43,1)*101325*G74/(8314.46*(G73+G85)))+0.07),0)</f>
        <v>14</v>
      </c>
      <c r="H86" s="1" t="s">
        <v>65</v>
      </c>
    </row>
    <row r="87" customFormat="false" ht="15.75" hidden="false" customHeight="false" outlineLevel="0" collapsed="false">
      <c r="A87" s="52"/>
      <c r="B87" s="29" t="s">
        <v>264</v>
      </c>
      <c r="G87" s="93" t="n">
        <f aca="false">ROUND(G73*(-0.01*LOG(IF(G43&gt;0,G43,1)*101325*G74/(8314.46*(G73+G85)))+0.02),0)</f>
        <v>4</v>
      </c>
      <c r="H87" s="1" t="s">
        <v>65</v>
      </c>
    </row>
    <row r="88" customFormat="false" ht="15.75" hidden="false" customHeight="false" outlineLevel="0" collapsed="false">
      <c r="A88" s="52"/>
      <c r="B88" s="29" t="s">
        <v>265</v>
      </c>
      <c r="G88" s="93" t="n">
        <f aca="false">ROUND(G73*(-0.084*LOG(IF(G43&gt;0,G43,1)*101325*G74/(8314.46*(G73+G85)))+0.168),0)</f>
        <v>34</v>
      </c>
      <c r="H88" s="1" t="s">
        <v>65</v>
      </c>
    </row>
    <row r="89" customFormat="false" ht="15.75" hidden="false" customHeight="false" outlineLevel="0" collapsed="false">
      <c r="A89" s="52"/>
      <c r="B89" s="29" t="s">
        <v>266</v>
      </c>
      <c r="G89" s="94" t="n">
        <f aca="false">IF(G19="Planet",(COS(RADIANS(38.2425-G27))*G72*(1-G24)/(PI()*0.000000056704))^0.25-(COS(RADIANS(38.2425+G27))*G72*(1-G24)/(PI()*0.000000056704))^0.25,(COS(RADIANS(38.2425-G32))*G72*(1-G24)/(PI()*0.000000056704))^0.25-(COS(RADIANS(38.2425+G32))*G72*(1-G24)/(PI()*0.000000056704))^0.25)</f>
        <v>0</v>
      </c>
      <c r="H89" s="1" t="s">
        <v>65</v>
      </c>
    </row>
    <row r="90" customFormat="false" ht="15.75" hidden="false" customHeight="false" outlineLevel="0" collapsed="false">
      <c r="A90" s="52"/>
      <c r="B90" s="29" t="s">
        <v>267</v>
      </c>
      <c r="G90" s="94" t="n">
        <f aca="false">IF(G19="Planet",IF(F25&gt;0,((F11/(F25*(1-G26)))^2*G17*(1-G24)/(4*0.000000056704))^0.25-((F11/(F25*(1+G26)))^2*G17*(1-G24)/(4*0.000000056704))^0.25,0),IF(F30&gt;0,((F11/(F30*(1-G31)))^2*G17*(1-G24)/(4*0.000000056704))^0.25-((F11/(F30*(1+G31)))^2*G17*(1-G24)/(4*0.000000056704))^0.25,0))</f>
        <v>0</v>
      </c>
      <c r="H90" s="1" t="s">
        <v>65</v>
      </c>
    </row>
    <row r="91" customFormat="false" ht="15.75" hidden="false" customHeight="false" outlineLevel="0" collapsed="false">
      <c r="A91" s="52"/>
      <c r="B91" s="29" t="s">
        <v>268</v>
      </c>
      <c r="G91" s="79" t="n">
        <f aca="false">IF(F20&gt;0,IF(G71&gt;0,IF((G71*(F38/F20)^0.5)^(2/3)&lt;400,0.0009*(G71*(F38/F20)^0.5)^(2/3),IF((G71*(F38/F20)^0.5)^(2/3)&lt;1600,-0.0000003333333333*((G71*(F38/F20)^0.5)^(2/3))^2+0.0012*((G71*(F38/F20)^0.5)^(2/3))-0.06666666667,1)),0.5),0.5)</f>
        <v>0.00991105075870849</v>
      </c>
    </row>
    <row r="92" customFormat="false" ht="15.75" hidden="false" customHeight="false" outlineLevel="0" collapsed="false">
      <c r="A92" s="52"/>
      <c r="G92" s="50"/>
    </row>
    <row r="93" customFormat="false" ht="15.75" hidden="false" customHeight="false" outlineLevel="0" collapsed="false">
      <c r="A93" s="52"/>
      <c r="B93" s="53" t="s">
        <v>138</v>
      </c>
      <c r="C93" s="53"/>
      <c r="D93" s="53"/>
      <c r="E93" s="53"/>
      <c r="F93" s="53"/>
      <c r="G93" s="53"/>
      <c r="H93" s="53"/>
    </row>
    <row r="94" customFormat="false" ht="15.75" hidden="false" customHeight="false" outlineLevel="0" collapsed="false">
      <c r="A94" s="52"/>
      <c r="B94" s="5" t="s">
        <v>140</v>
      </c>
      <c r="C94" s="5"/>
      <c r="D94" s="5"/>
      <c r="E94" s="5"/>
      <c r="F94" s="5"/>
      <c r="G94" s="5"/>
      <c r="H94" s="5"/>
    </row>
    <row r="95" customFormat="false" ht="15.75" hidden="false" customHeight="false" outlineLevel="0" collapsed="false">
      <c r="A95" s="52"/>
      <c r="G95" s="50"/>
    </row>
    <row r="96" customFormat="false" ht="15.75" hidden="false" customHeight="false" outlineLevel="0" collapsed="false">
      <c r="A96" s="52"/>
      <c r="B96" s="29" t="s">
        <v>142</v>
      </c>
      <c r="G96" s="50" t="n">
        <f aca="false">IF(F20&gt;0,IF(F38&gt;0,F20/F38,0.1),0.1)</f>
        <v>0.1</v>
      </c>
    </row>
    <row r="97" customFormat="false" ht="15.75" hidden="false" customHeight="false" outlineLevel="0" collapsed="false">
      <c r="A97" s="52"/>
      <c r="B97" s="29" t="s">
        <v>144</v>
      </c>
      <c r="G97" s="31" t="n">
        <f aca="false">(F122-F138)/LN(H138/H122)</f>
        <v>11753.7433430929</v>
      </c>
      <c r="H97" s="1" t="s">
        <v>33</v>
      </c>
    </row>
    <row r="98" customFormat="false" ht="15.75" hidden="false" customHeight="false" outlineLevel="0" collapsed="false">
      <c r="A98" s="52"/>
      <c r="B98" s="29" t="s">
        <v>146</v>
      </c>
      <c r="G98" s="50" t="n">
        <f aca="false">(G96-0.09412)/0.90588*(1-IF(G97&gt;3344.087,0.16684*LOG(G97)^2-1.8388*LOG(G97)+5.4082,1))+IF(G97&gt;3344.087,0.16684*LOG(G97)^2-1.8388*LOG(G97)+5.4082,1)</f>
        <v>0.689913117346676</v>
      </c>
    </row>
    <row r="99" customFormat="false" ht="15.75" hidden="false" customHeight="false" outlineLevel="0" collapsed="false">
      <c r="A99" s="52"/>
    </row>
    <row r="100" customFormat="false" ht="15.75" hidden="false" customHeight="false" outlineLevel="0" collapsed="false">
      <c r="A100" s="52"/>
      <c r="B100" s="29" t="s">
        <v>149</v>
      </c>
      <c r="F100" s="54" t="s">
        <v>150</v>
      </c>
      <c r="G100" s="55" t="n">
        <f aca="false">G98</f>
        <v>0.689913117346676</v>
      </c>
    </row>
    <row r="101" customFormat="false" ht="15.75" hidden="false" customHeight="false" outlineLevel="0" collapsed="false">
      <c r="A101" s="52"/>
      <c r="B101" s="29" t="s">
        <v>152</v>
      </c>
      <c r="G101" s="95" t="n">
        <f aca="false">'Earthlike CFG'!B11</f>
        <v>103000</v>
      </c>
      <c r="H101" s="1" t="s">
        <v>33</v>
      </c>
    </row>
    <row r="103" customFormat="false" ht="15.75" hidden="false" customHeight="false" outlineLevel="0" collapsed="false">
      <c r="B103" s="5" t="s">
        <v>319</v>
      </c>
      <c r="C103" s="5"/>
      <c r="D103" s="5"/>
      <c r="E103" s="5"/>
      <c r="F103" s="5"/>
      <c r="G103" s="5"/>
      <c r="H103" s="5"/>
      <c r="I103" s="5"/>
      <c r="J103" s="5"/>
      <c r="K103" s="5"/>
      <c r="L103" s="5"/>
      <c r="M103" s="5"/>
      <c r="N103" s="5"/>
      <c r="O103" s="5"/>
      <c r="P103" s="5"/>
      <c r="Q103" s="5"/>
    </row>
    <row r="104" customFormat="false" ht="15.75" hidden="false" customHeight="false" outlineLevel="0" collapsed="false">
      <c r="B104" s="5" t="s">
        <v>320</v>
      </c>
      <c r="C104" s="5"/>
      <c r="D104" s="5"/>
      <c r="E104" s="5"/>
      <c r="F104" s="5"/>
      <c r="G104" s="5"/>
      <c r="H104" s="5"/>
      <c r="I104" s="5"/>
      <c r="J104" s="5"/>
      <c r="K104" s="5"/>
      <c r="L104" s="5"/>
      <c r="M104" s="5"/>
      <c r="N104" s="5"/>
      <c r="O104" s="5"/>
      <c r="P104" s="5"/>
      <c r="Q104" s="5"/>
    </row>
    <row r="105" customFormat="false" ht="15.75" hidden="false" customHeight="false" outlineLevel="0" collapsed="false">
      <c r="B105" s="5" t="s">
        <v>321</v>
      </c>
      <c r="C105" s="5"/>
      <c r="D105" s="5"/>
      <c r="E105" s="5"/>
      <c r="F105" s="5"/>
      <c r="G105" s="5"/>
      <c r="H105" s="5"/>
      <c r="I105" s="5"/>
      <c r="J105" s="5"/>
      <c r="K105" s="5"/>
      <c r="L105" s="5"/>
      <c r="M105" s="5"/>
      <c r="N105" s="5"/>
      <c r="O105" s="5"/>
      <c r="P105" s="5"/>
      <c r="Q105" s="5"/>
    </row>
    <row r="106" customFormat="false" ht="15.75" hidden="false" customHeight="false" outlineLevel="0" collapsed="false">
      <c r="J106" s="31"/>
    </row>
    <row r="107" customFormat="false" ht="15.75" hidden="false" customHeight="false" outlineLevel="0" collapsed="false">
      <c r="B107" s="29" t="s">
        <v>164</v>
      </c>
      <c r="J107" s="31"/>
    </row>
    <row r="108" customFormat="false" ht="15.75" hidden="false" customHeight="false" outlineLevel="0" collapsed="false">
      <c r="B108" s="29" t="s">
        <v>166</v>
      </c>
      <c r="J108" s="31"/>
    </row>
    <row r="109" customFormat="false" ht="15.75" hidden="false" customHeight="false" outlineLevel="0" collapsed="false">
      <c r="B109" s="29" t="s">
        <v>168</v>
      </c>
      <c r="J109" s="31"/>
    </row>
    <row r="110" customFormat="false" ht="15.75" hidden="false" customHeight="false" outlineLevel="0" collapsed="false">
      <c r="B110" s="29" t="s">
        <v>170</v>
      </c>
      <c r="J110" s="31"/>
    </row>
    <row r="111" customFormat="false" ht="15.75" hidden="false" customHeight="false" outlineLevel="0" collapsed="false">
      <c r="B111" s="29" t="s">
        <v>172</v>
      </c>
    </row>
    <row r="112" customFormat="false" ht="15.75" hidden="false" customHeight="false" outlineLevel="0" collapsed="false">
      <c r="B112" s="29" t="s">
        <v>174</v>
      </c>
      <c r="J112" s="31"/>
    </row>
    <row r="113" customFormat="false" ht="15.75" hidden="false" customHeight="false" outlineLevel="0" collapsed="false">
      <c r="B113" s="29" t="s">
        <v>272</v>
      </c>
      <c r="J113" s="31"/>
    </row>
    <row r="114" customFormat="false" ht="15.75" hidden="false" customHeight="false" outlineLevel="0" collapsed="false">
      <c r="B114" s="29" t="s">
        <v>273</v>
      </c>
      <c r="J114" s="31"/>
    </row>
    <row r="115" customFormat="false" ht="15.75" hidden="false" customHeight="false" outlineLevel="0" collapsed="false">
      <c r="B115" s="29" t="s">
        <v>274</v>
      </c>
      <c r="J115" s="31"/>
    </row>
    <row r="116" customFormat="false" ht="15.75" hidden="false" customHeight="false" outlineLevel="0" collapsed="false">
      <c r="B116" s="29" t="s">
        <v>275</v>
      </c>
      <c r="K116" s="81" t="s">
        <v>322</v>
      </c>
      <c r="L116" s="96" t="n">
        <f aca="false">IF(G96&lt;1,46.5182*LOG(G96)^2+1,1)</f>
        <v>47.5182</v>
      </c>
      <c r="M116" s="1" t="s">
        <v>323</v>
      </c>
    </row>
    <row r="118" customFormat="false" ht="15.75" hidden="false" customHeight="false" outlineLevel="0" collapsed="false">
      <c r="B118" s="9"/>
      <c r="C118" s="9" t="s">
        <v>177</v>
      </c>
      <c r="F118" s="9"/>
      <c r="N118" s="9" t="s">
        <v>178</v>
      </c>
      <c r="O118" s="9" t="s">
        <v>278</v>
      </c>
      <c r="P118" s="9" t="s">
        <v>279</v>
      </c>
      <c r="Q118" s="9" t="s">
        <v>280</v>
      </c>
    </row>
    <row r="119" customFormat="false" ht="15.75" hidden="false" customHeight="false" outlineLevel="0" collapsed="false">
      <c r="B119" s="9" t="s">
        <v>180</v>
      </c>
      <c r="C119" s="9" t="s">
        <v>181</v>
      </c>
      <c r="D119" s="9" t="s">
        <v>182</v>
      </c>
      <c r="E119" s="9" t="s">
        <v>183</v>
      </c>
      <c r="F119" s="9" t="s">
        <v>184</v>
      </c>
      <c r="G119" s="9" t="s">
        <v>98</v>
      </c>
      <c r="H119" s="9" t="s">
        <v>185</v>
      </c>
      <c r="I119" s="9" t="s">
        <v>186</v>
      </c>
      <c r="J119" s="9" t="s">
        <v>281</v>
      </c>
      <c r="K119" s="9" t="s">
        <v>282</v>
      </c>
      <c r="L119" s="9" t="s">
        <v>283</v>
      </c>
      <c r="M119" s="9" t="s">
        <v>284</v>
      </c>
      <c r="N119" s="9" t="s">
        <v>187</v>
      </c>
      <c r="O119" s="9" t="s">
        <v>181</v>
      </c>
      <c r="P119" s="9" t="s">
        <v>285</v>
      </c>
      <c r="Q119" s="9" t="s">
        <v>286</v>
      </c>
    </row>
    <row r="120" customFormat="false" ht="15.75" hidden="false" customHeight="false" outlineLevel="0" collapsed="false">
      <c r="B120" s="9" t="s">
        <v>189</v>
      </c>
      <c r="C120" s="9" t="s">
        <v>65</v>
      </c>
      <c r="D120" s="9" t="s">
        <v>190</v>
      </c>
      <c r="E120" s="9" t="s">
        <v>191</v>
      </c>
      <c r="F120" s="9" t="s">
        <v>33</v>
      </c>
      <c r="G120" s="9" t="s">
        <v>33</v>
      </c>
      <c r="H120" s="9" t="s">
        <v>192</v>
      </c>
      <c r="I120" s="9" t="s">
        <v>193</v>
      </c>
      <c r="J120" s="9" t="s">
        <v>287</v>
      </c>
      <c r="K120" s="9" t="s">
        <v>287</v>
      </c>
      <c r="L120" s="9" t="s">
        <v>192</v>
      </c>
      <c r="M120" s="9" t="s">
        <v>135</v>
      </c>
      <c r="N120" s="9" t="s">
        <v>33</v>
      </c>
      <c r="O120" s="9" t="s">
        <v>65</v>
      </c>
      <c r="P120" s="9" t="s">
        <v>288</v>
      </c>
      <c r="Q120" s="9" t="s">
        <v>288</v>
      </c>
    </row>
    <row r="121" customFormat="false" ht="15.75" hidden="false" customHeight="false" outlineLevel="0" collapsed="false">
      <c r="B121" s="9"/>
      <c r="C121" s="9"/>
      <c r="D121" s="9"/>
      <c r="E121" s="57"/>
      <c r="O121" s="9"/>
      <c r="P121" s="9"/>
    </row>
    <row r="122" s="1" customFormat="true" ht="15.75" hidden="false" customHeight="false" outlineLevel="0" collapsed="false">
      <c r="B122" s="58" t="n">
        <f aca="false">LOG(IF(G43&gt;=0.2,G43,0.2))</f>
        <v>0.195899652409234</v>
      </c>
      <c r="C122" s="59" t="n">
        <f aca="false">IF(B122&lt;-7.5,(0.07688888889*B122^3+1.880666667*B122^2+14.87*B122+38.351)*(G$84-0.74*G$73)+0.74*G$73,IF(B122&lt;-6,(-0.05792592593*B122^3-1.051333333*B122^2-6.36*B122-12.824)*(G$84-0.74*G$73)+0.74*G$73,0))+IF(B122&lt;-6,0,IF(B122&lt;-4.5,-0.008888888889*B122^3-0.1033333333*B122^2-0.28*B122+0.86,IF(B122&lt;-3.5,-0.015*B122^3-0.14*B122^2-0.23875*B122+1.23125,IF(B122&lt;-3.1,-0.84375*B122^3-8.590625*B122^2-28.9365625*B122-31.22359375,IF(B122&lt;-2.5,0.3425925926*B122^3+2.702777778*B122^2+6.880277778*B122+6.621342593,IF(B122&lt;-1.5,-0.005*B122^3+0.0075*B122^2-0.07875*B122+0.638125,IF(B122&lt;-1,0.26*B122^3+1.11*B122^2+1.44*B122+1.33,0)))))))*G$73+IF(B122&lt;-1,0,IF((1/(B$122+1)*(B122-B$122))&lt;-0.5,0.32*(1/(B$122+1)*(B122-B$122))^3+1.12*(1/(B$122+1)*(B122-B$122))^2+1.28*(1/(B$122+1)*(B122-B$122))+1.22,-0.26*(1/(B$122+1)*(B122-B$122))^3-0.34*(1/(B$122+1)*(B122-B$122))^2+0.255*(1/(B$122+1)*(B122-B$122))+1))*G$73+IF(B122&gt;-3.1,(-B122-3.1)/(-B$122-3.1),0)*G$85</f>
        <v>278.539403706106</v>
      </c>
      <c r="D122" s="9"/>
      <c r="E122" s="57" t="n">
        <v>0</v>
      </c>
      <c r="F122" s="57" t="n">
        <v>0</v>
      </c>
      <c r="G122" s="57" t="n">
        <f aca="false">8314.4621*C122/(G$74*G$70*9.80665)</f>
        <v>14156.5837919361</v>
      </c>
      <c r="H122" s="60" t="n">
        <f aca="false">10^B122*101325</f>
        <v>159080.25</v>
      </c>
      <c r="I122" s="60" t="n">
        <f aca="false">H122/(8314.4621/G$74*C122)</f>
        <v>1.95144127029864</v>
      </c>
      <c r="J122" s="57" t="n">
        <f aca="false">SQRT(8314.4621/G$74*G$76*C122)</f>
        <v>338.208589158285</v>
      </c>
      <c r="K122" s="57" t="n">
        <f aca="false">IF(F$20&gt;0,SQRT(2*G$69/(F$20+N122)),10000)</f>
        <v>3634.18288470623</v>
      </c>
      <c r="L122" s="60" t="n">
        <f aca="false">I122*K122^2/2</f>
        <v>12886620.7424751</v>
      </c>
      <c r="M122" s="60" t="n">
        <f aca="false">I122*K122^3/2</f>
        <v>46832336544.0032</v>
      </c>
      <c r="N122" s="57" t="n">
        <f aca="false">F122*IF(G$100&gt;0,G$100,0.5)</f>
        <v>0</v>
      </c>
      <c r="O122" s="57" t="n">
        <f aca="false">C122-P122*(G$87+(G$86-G$87)*COS(RADIANS(38)))/2</f>
        <v>272.599349938072</v>
      </c>
      <c r="P122" s="82" t="n">
        <f aca="false">IF(B122&lt;R$160,0.2,IF(B122&lt;-4,-0.8*((B122+4)/(R$160+4))^3+1.2*((B122+4)/(R$160+4))^2-0.2,IF(B122&lt;-2.5,-0.3555555556*B122^3-3.466666667*B122^2-10.66666667*B122-10.15555556,IF(B122&lt;-1,0.4148148148*B122^3+2.177777778*B122^2+3.111111111*B122+1.048148148,0))))+IF(B122&lt;-1,0,-1.6*(B122/(B$122+1)-B$122/(B$122+1))^3-1.9*(B122/(B$122+1)-B$122/(B$122+1))^2+1*(B122/(B$122+1)-B$122/(B$122+1))+1)</f>
        <v>1</v>
      </c>
      <c r="Q122" s="9" t="str">
        <f aca="false">IF(L122&gt;L$116,"|",IF(L121&gt;L$116,"V",""))</f>
        <v>|</v>
      </c>
      <c r="R122" s="1" t="n">
        <f aca="false">IF(Q122="V",B122,0)</f>
        <v>0</v>
      </c>
    </row>
    <row r="123" customFormat="false" ht="15.75" hidden="false" customHeight="false" outlineLevel="0" collapsed="false">
      <c r="A123" s="31"/>
      <c r="B123" s="58" t="n">
        <f aca="false">B122-0.25</f>
        <v>-0.0541003475907663</v>
      </c>
      <c r="C123" s="61" t="n">
        <f aca="false">IF(B123&lt;-7.5,(0.07688888889*B123^3+1.880666667*B123^2+14.87*B123+38.351)*(G$84-0.74*G$73)+0.74*G$73,IF(B123&lt;-6,(-0.05792592593*B123^3-1.051333333*B123^2-6.36*B123-12.824)*(G$84-0.74*G$73)+0.74*G$73,0))+IF(B123&lt;-6,0,IF(B123&lt;-4.5,-0.008888888889*B123^3-0.1033333333*B123^2-0.28*B123+0.86,IF(B123&lt;-3.5,-0.015*B123^3-0.14*B123^2-0.23875*B123+1.23125,IF(B123&lt;-3.1,-0.84375*B123^3-8.590625*B123^2-28.9365625*B123-31.22359375,IF(B123&lt;-2.5,0.3425925926*B123^3+2.702777778*B123^2+6.880277778*B123+6.621342593,IF(B123&lt;-1.5,-0.005*B123^3+0.0075*B123^2-0.07875*B123+0.638125,IF(B123&lt;-1,0.26*B123^3+1.11*B123^2+1.44*B123+1.33,0)))))))*G$73+IF(B123&lt;-1,0,IF((1/(B$122+1)*(B123-B$122))&lt;-0.5,0.32*(1/(B$122+1)*(B123-B$122))^3+1.12*(1/(B$122+1)*(B123-B$122))^2+1.28*(1/(B$122+1)*(B123-B$122))+1.22,-0.26*(1/(B$122+1)*(B123-B$122))^3-0.34*(1/(B$122+1)*(B123-B$122))^2+0.255*(1/(B$122+1)*(B123-B$122))+1))*G$73+IF(B123&gt;-3.1,(-B123-3.1)/(-B$122-3.1),0)*G$85</f>
        <v>259.80340598284</v>
      </c>
      <c r="D123" s="60" t="n">
        <f aca="false">(C123-C122)/(E123-E122)</f>
        <v>-0.00238022828981158</v>
      </c>
      <c r="E123" s="57" t="n">
        <f aca="false">IF(D123=0,(8314.4621*C122*LN(H123/H122)/(-G$70*9.80665*G$74)),C122/D123*(1/(H123/H122)^(8314.4621*D123/(G$70*9.80665*G$74))-1))+E122</f>
        <v>7871.91176066055</v>
      </c>
      <c r="F123" s="57" t="n">
        <f aca="false">F$38*E123/(F$38-E123)</f>
        <v>7877.31902256243</v>
      </c>
      <c r="G123" s="57" t="n">
        <f aca="false">8314.4621*C123/(G$74*G$70*9.80665)</f>
        <v>13204.3389096472</v>
      </c>
      <c r="H123" s="60" t="n">
        <f aca="false">10^B123*101325</f>
        <v>89457.398596612</v>
      </c>
      <c r="I123" s="60" t="n">
        <f aca="false">H123/(8314.4621/G$74*C123)</f>
        <v>1.17651450724717</v>
      </c>
      <c r="J123" s="57" t="n">
        <f aca="false">SQRT(8314.4621/G$74*G$76*C123)</f>
        <v>326.635762029977</v>
      </c>
      <c r="K123" s="57" t="n">
        <f aca="false">IF(F$20&gt;0,SQRT(2*G$69/(F$20+N123)),10000)</f>
        <v>3625.60207822724</v>
      </c>
      <c r="L123" s="60" t="n">
        <f aca="false">I123*K123^2/2</f>
        <v>7732635.96905167</v>
      </c>
      <c r="M123" s="60" t="n">
        <f aca="false">I123*K123^3/2</f>
        <v>28035461039.5684</v>
      </c>
      <c r="N123" s="57" t="n">
        <f aca="false">F123*IF(G$100&gt;0,G$100,0.5)</f>
        <v>5434.66572319031</v>
      </c>
      <c r="O123" s="57" t="n">
        <f aca="false">C123-P123*(G$87+(G$86-G$87)*COS(RADIANS(38)))/2</f>
        <v>255.511494161762</v>
      </c>
      <c r="P123" s="82" t="n">
        <f aca="false">IF(B123&lt;R$160,0.2,IF(B123&lt;-4,-0.8*((B123+4)/(R$160+4))^3+1.2*((B123+4)/(R$160+4))^2-0.2,IF(B123&lt;-2.5,-0.3555555556*B123^3-3.466666667*B123^2-10.66666667*B123-10.15555556,IF(B123&lt;-1,0.4148148148*B123^3+2.177777778*B123^2+3.111111111*B123+1.048148148,0))))+IF(B123&lt;-1,0,-1.6*(B123/(B$122+1)-B$122/(B$122+1))^3-1.9*(B123/(B$122+1)-B$122/(B$122+1))^2+1*(B123/(B$122+1)-B$122/(B$122+1))+1)</f>
        <v>0.722537537315642</v>
      </c>
      <c r="Q123" s="9" t="str">
        <f aca="false">IF(L123&gt;L$116,"|",IF(L122&gt;L$116,"V",""))</f>
        <v>|</v>
      </c>
      <c r="R123" s="1" t="n">
        <f aca="false">IF(Q123="V",B123,0)</f>
        <v>0</v>
      </c>
    </row>
    <row r="124" customFormat="false" ht="15.75" hidden="false" customHeight="false" outlineLevel="0" collapsed="false">
      <c r="A124" s="31"/>
      <c r="B124" s="58" t="n">
        <f aca="false">B123-0.25</f>
        <v>-0.304100347590766</v>
      </c>
      <c r="C124" s="61" t="n">
        <f aca="false">IF(B124&lt;-7.5,(0.07688888889*B124^3+1.880666667*B124^2+14.87*B124+38.351)*(G$84-0.74*G$73)+0.74*G$73,IF(B124&lt;-6,(-0.05792592593*B124^3-1.051333333*B124^2-6.36*B124-12.824)*(G$84-0.74*G$73)+0.74*G$73,0))+IF(B124&lt;-6,0,IF(B124&lt;-4.5,-0.008888888889*B124^3-0.1033333333*B124^2-0.28*B124+0.86,IF(B124&lt;-3.5,-0.015*B124^3-0.14*B124^2-0.23875*B124+1.23125,IF(B124&lt;-3.1,-0.84375*B124^3-8.590625*B124^2-28.9365625*B124-31.22359375,IF(B124&lt;-2.5,0.3425925926*B124^3+2.702777778*B124^2+6.880277778*B124+6.621342593,IF(B124&lt;-1.5,-0.005*B124^3+0.0075*B124^2-0.07875*B124+0.638125,IF(B124&lt;-1,0.26*B124^3+1.11*B124^2+1.44*B124+1.33,0)))))))*G$73+IF(B124&lt;-1,0,IF((1/(B$122+1)*(B124-B$122))&lt;-0.5,0.32*(1/(B$122+1)*(B124-B$122))^3+1.12*(1/(B$122+1)*(B124-B$122))^2+1.28*(1/(B$122+1)*(B124-B$122))+1.22,-0.26*(1/(B$122+1)*(B124-B$122))^3-0.34*(1/(B$122+1)*(B124-B$122))^2+0.255*(1/(B$122+1)*(B124-B$122))+1))*G$73+IF(B124&gt;-3.1,(-B124-3.1)/(-B$122-3.1),0)*G$85</f>
        <v>237.391226478805</v>
      </c>
      <c r="D124" s="60" t="n">
        <f aca="false">(C124-C123)/(E124-E123)</f>
        <v>-0.00308466933187293</v>
      </c>
      <c r="E124" s="57" t="n">
        <f aca="false">IF(D124=0,(8314.4621*C123*LN(H124/H123)/(-G$70*9.80665*G$74)),C123/D124*(1/(H124/H123)^(8314.4621*D124/(G$70*9.80665*G$74))-1))+E123</f>
        <v>15140.0418769073</v>
      </c>
      <c r="F124" s="57" t="n">
        <f aca="false">F$38*E124/(F$38-E124)</f>
        <v>15160.056464648</v>
      </c>
      <c r="G124" s="57" t="n">
        <f aca="false">8314.4621*C124/(G$74*G$70*9.80665)</f>
        <v>12065.254482499</v>
      </c>
      <c r="H124" s="60" t="n">
        <f aca="false">10^B124*101325</f>
        <v>50305.5920749001</v>
      </c>
      <c r="I124" s="60" t="n">
        <f aca="false">H124/(8314.4621/G$74*C124)</f>
        <v>0.724064846290059</v>
      </c>
      <c r="J124" s="57" t="n">
        <f aca="false">SQRT(8314.4621/G$74*G$76*C124)</f>
        <v>312.229291890484</v>
      </c>
      <c r="K124" s="57" t="n">
        <f aca="false">IF(F$20&gt;0,SQRT(2*G$69/(F$20+N124)),10000)</f>
        <v>3617.72278736341</v>
      </c>
      <c r="L124" s="60" t="n">
        <f aca="false">I124*K124^2/2</f>
        <v>4738250.72763632</v>
      </c>
      <c r="M124" s="60" t="n">
        <f aca="false">I124*K124^3/2</f>
        <v>17141677629.6112</v>
      </c>
      <c r="N124" s="57" t="n">
        <f aca="false">F124*IF(G$100&gt;0,G$100,0.5)</f>
        <v>10459.1218146769</v>
      </c>
      <c r="O124" s="57" t="n">
        <f aca="false">C124-P124*(G$87+(G$86-G$87)*COS(RADIANS(38)))/2</f>
        <v>235.212930956711</v>
      </c>
      <c r="P124" s="82" t="n">
        <f aca="false">IF(B124&lt;R$160,0.2,IF(B124&lt;-4,-0.8*((B124+4)/(R$160+4))^3+1.2*((B124+4)/(R$160+4))^2-0.2,IF(B124&lt;-2.5,-0.3555555556*B124^3-3.466666667*B124^2-10.66666667*B124-10.15555556,IF(B124&lt;-1,0.4148148148*B124^3+2.177777778*B124^2+3.111111111*B124+1.048148148,0))))+IF(B124&lt;-1,0,-1.6*(B124/(B$122+1)-B$122/(B$122+1))^3-1.9*(B124/(B$122+1)-B$122/(B$122+1))^2+1*(B124/(B$122+1)-B$122/(B$122+1))+1)</f>
        <v>0.366713098426323</v>
      </c>
      <c r="Q124" s="9" t="str">
        <f aca="false">IF(L124&gt;L$116,"|",IF(L123&gt;L$116,"V",""))</f>
        <v>|</v>
      </c>
      <c r="R124" s="1" t="n">
        <f aca="false">IF(Q124="V",B124,0)</f>
        <v>0</v>
      </c>
    </row>
    <row r="125" customFormat="false" ht="15.75" hidden="false" customHeight="false" outlineLevel="0" collapsed="false">
      <c r="A125" s="31"/>
      <c r="B125" s="58" t="n">
        <f aca="false">B124-0.25</f>
        <v>-0.554100347590766</v>
      </c>
      <c r="C125" s="61" t="n">
        <f aca="false">IF(B125&lt;-7.5,(0.07688888889*B125^3+1.880666667*B125^2+14.87*B125+38.351)*(G$84-0.74*G$73)+0.74*G$73,IF(B125&lt;-6,(-0.05792592593*B125^3-1.051333333*B125^2-6.36*B125-12.824)*(G$84-0.74*G$73)+0.74*G$73,0))+IF(B125&lt;-6,0,IF(B125&lt;-4.5,-0.008888888889*B125^3-0.1033333333*B125^2-0.28*B125+0.86,IF(B125&lt;-3.5,-0.015*B125^3-0.14*B125^2-0.23875*B125+1.23125,IF(B125&lt;-3.1,-0.84375*B125^3-8.590625*B125^2-28.9365625*B125-31.22359375,IF(B125&lt;-2.5,0.3425925926*B125^3+2.702777778*B125^2+6.880277778*B125+6.621342593,IF(B125&lt;-1.5,-0.005*B125^3+0.0075*B125^2-0.07875*B125+0.638125,IF(B125&lt;-1,0.26*B125^3+1.11*B125^2+1.44*B125+1.33,0)))))))*G$73+IF(B125&lt;-1,0,IF((1/(B$122+1)*(B125-B$122))&lt;-0.5,0.32*(1/(B$122+1)*(B125-B$122))^3+1.12*(1/(B$122+1)*(B125-B$122))^2+1.28*(1/(B$122+1)*(B125-B$122))+1.22,-0.26*(1/(B$122+1)*(B125-B$122))^3-0.34*(1/(B$122+1)*(B125-B$122))^2+0.255*(1/(B$122+1)*(B125-B$122))+1))*G$73+IF(B125&gt;-3.1,(-B125-3.1)/(-B$122-3.1),0)*G$85</f>
        <v>216.674338279033</v>
      </c>
      <c r="D125" s="60" t="n">
        <f aca="false">(C125-C124)/(E125-E124)</f>
        <v>-0.00312462129823257</v>
      </c>
      <c r="E125" s="57" t="n">
        <f aca="false">IF(D125=0,(8314.4621*C124*LN(H125/H124)/(-G$70*9.80665*G$74)),C124/D125*(1/(H125/H124)^(8314.4621*D125/(G$70*9.80665*G$74))-1))+E124</f>
        <v>21777.3586122013</v>
      </c>
      <c r="F125" s="57" t="n">
        <f aca="false">F$38*E125/(F$38-E125)</f>
        <v>21818.7924027825</v>
      </c>
      <c r="G125" s="57" t="n">
        <f aca="false">8314.4621*C125/(G$74*G$70*9.80665)</f>
        <v>11012.3321318154</v>
      </c>
      <c r="H125" s="60" t="n">
        <f aca="false">10^B125*101325</f>
        <v>28288.9133118844</v>
      </c>
      <c r="I125" s="60" t="n">
        <f aca="false">H125/(8314.4621/G$74*C125)</f>
        <v>0.446102490781649</v>
      </c>
      <c r="J125" s="57" t="n">
        <f aca="false">SQRT(8314.4621/G$74*G$76*C125)</f>
        <v>298.294366479704</v>
      </c>
      <c r="K125" s="57" t="n">
        <f aca="false">IF(F$20&gt;0,SQRT(2*G$69/(F$20+N125)),10000)</f>
        <v>3610.56338828225</v>
      </c>
      <c r="L125" s="60" t="n">
        <f aca="false">I125*K125^2/2</f>
        <v>2907733.50324236</v>
      </c>
      <c r="M125" s="60" t="n">
        <f aca="false">I125*K125^3/2</f>
        <v>10498556129.6885</v>
      </c>
      <c r="N125" s="57" t="n">
        <f aca="false">F125*IF(G$100&gt;0,G$100,0.5)</f>
        <v>15053.0710833437</v>
      </c>
      <c r="O125" s="57" t="n">
        <f aca="false">C125-P125*(G$87+(G$86-G$87)*COS(RADIANS(38)))/2</f>
        <v>216.554181759968</v>
      </c>
      <c r="P125" s="82" t="n">
        <f aca="false">IF(B125&lt;R$160,0.2,IF(B125&lt;-4,-0.8*((B125+4)/(R$160+4))^3+1.2*((B125+4)/(R$160+4))^2-0.2,IF(B125&lt;-2.5,-0.3555555556*B125^3-3.466666667*B125^2-10.66666667*B125-10.15555556,IF(B125&lt;-1,0.4148148148*B125^3+2.177777778*B125^2+3.111111111*B125+1.048148148,0))))+IF(B125&lt;-1,0,-1.6*(B125/(B$122+1)-B$122/(B$122+1))^3-1.9*(B125/(B$122+1)-B$122/(B$122+1))^2+1*(B125/(B$122+1)-B$122/(B$122+1))+1)</f>
        <v>0.0202281871102175</v>
      </c>
      <c r="Q125" s="9" t="str">
        <f aca="false">IF(L125&gt;L$116,"|",IF(L124&gt;L$116,"V",""))</f>
        <v>|</v>
      </c>
      <c r="R125" s="1" t="n">
        <f aca="false">IF(Q125="V",B125,0)</f>
        <v>0</v>
      </c>
    </row>
    <row r="126" customFormat="false" ht="15.75" hidden="false" customHeight="false" outlineLevel="0" collapsed="false">
      <c r="A126" s="31"/>
      <c r="B126" s="58" t="n">
        <f aca="false">B125-0.25</f>
        <v>-0.804100347590766</v>
      </c>
      <c r="C126" s="61" t="n">
        <f aca="false">IF(B126&lt;-7.5,(0.07688888889*B126^3+1.880666667*B126^2+14.87*B126+38.351)*(G$84-0.74*G$73)+0.74*G$73,IF(B126&lt;-6,(-0.05792592593*B126^3-1.051333333*B126^2-6.36*B126-12.824)*(G$84-0.74*G$73)+0.74*G$73,0))+IF(B126&lt;-6,0,IF(B126&lt;-4.5,-0.008888888889*B126^3-0.1033333333*B126^2-0.28*B126+0.86,IF(B126&lt;-3.5,-0.015*B126^3-0.14*B126^2-0.23875*B126+1.23125,IF(B126&lt;-3.1,-0.84375*B126^3-8.590625*B126^2-28.9365625*B126-31.22359375,IF(B126&lt;-2.5,0.3425925926*B126^3+2.702777778*B126^2+6.880277778*B126+6.621342593,IF(B126&lt;-1.5,-0.005*B126^3+0.0075*B126^2-0.07875*B126+0.638125,IF(B126&lt;-1,0.26*B126^3+1.11*B126^2+1.44*B126+1.33,0)))))))*G$73+IF(B126&lt;-1,0,IF((1/(B$122+1)*(B126-B$122))&lt;-0.5,0.32*(1/(B$122+1)*(B126-B$122))^3+1.12*(1/(B$122+1)*(B126-B$122))^2+1.28*(1/(B$122+1)*(B126-B$122))+1.22,-0.26*(1/(B$122+1)*(B126-B$122))^3-0.34*(1/(B$122+1)*(B126-B$122))^2+0.255*(1/(B$122+1)*(B126-B$122))+1))*G$73+IF(B126&gt;-3.1,(-B126-3.1)/(-B$122-3.1),0)*G$85</f>
        <v>205.701692917642</v>
      </c>
      <c r="D126" s="60" t="n">
        <f aca="false">(C126-C125)/(E126-E125)</f>
        <v>-0.00177948339793222</v>
      </c>
      <c r="E126" s="57" t="n">
        <f aca="false">IF(D126=0,(8314.4621*C125*LN(H126/H125)/(-G$70*9.80665*G$74)),C125/D126*(1/(H126/H125)^(8314.4621*D126/(G$70*9.80665*G$74))-1))+E125</f>
        <v>27954.3772154656</v>
      </c>
      <c r="F126" s="57" t="n">
        <f aca="false">F$38*E126/(F$38-E126)</f>
        <v>28022.6862802904</v>
      </c>
      <c r="G126" s="57" t="n">
        <f aca="false">8314.4621*C126/(G$74*G$70*9.80665)</f>
        <v>10454.654577362</v>
      </c>
      <c r="H126" s="60" t="n">
        <f aca="false">10^B126*101325</f>
        <v>15908.025</v>
      </c>
      <c r="I126" s="60" t="n">
        <f aca="false">H126/(8314.4621/G$74*C126)</f>
        <v>0.264243468338441</v>
      </c>
      <c r="J126" s="57" t="n">
        <f aca="false">SQRT(8314.4621/G$74*G$76*C126)</f>
        <v>290.643252518565</v>
      </c>
      <c r="K126" s="57" t="n">
        <f aca="false">IF(F$20&gt;0,SQRT(2*G$69/(F$20+N126)),10000)</f>
        <v>3603.9311370875</v>
      </c>
      <c r="L126" s="60" t="n">
        <f aca="false">I126*K126^2/2</f>
        <v>1716039.31489574</v>
      </c>
      <c r="M126" s="60" t="n">
        <f aca="false">I126*K126^3/2</f>
        <v>6184487519.41907</v>
      </c>
      <c r="N126" s="57" t="n">
        <f aca="false">F126*IF(G$100&gt;0,G$100,0.5)</f>
        <v>19333.2188480631</v>
      </c>
      <c r="O126" s="57" t="n">
        <f aca="false">C126-P126*(G$87+(G$86-G$87)*COS(RADIANS(38)))/2</f>
        <v>207.063246457675</v>
      </c>
      <c r="P126" s="82" t="n">
        <f aca="false">IF(B126&lt;R$160,0.2,IF(B126&lt;-4,-0.8*((B126+4)/(R$160+4))^3+1.2*((B126+4)/(R$160+4))^2-0.2,IF(B126&lt;-2.5,-0.3555555556*B126^3-3.466666667*B126^2-10.66666667*B126-10.15555556,IF(B126&lt;-1,0.4148148148*B126^3+2.177777778*B126^2+3.111111111*B126+1.048148148,0))))+IF(B126&lt;-1,0,-1.6*(B126/(B$122+1)-B$122/(B$122+1))^3-1.9*(B126/(B$122+1)-B$122/(B$122+1))^2+1*(B126/(B$122+1)-B$122/(B$122+1))+1)</f>
        <v>-0.229215692854503</v>
      </c>
      <c r="Q126" s="9" t="str">
        <f aca="false">IF(L126&gt;L$116,"|",IF(L125&gt;L$116,"V",""))</f>
        <v>|</v>
      </c>
      <c r="R126" s="1" t="n">
        <f aca="false">IF(Q126="V",B126,0)</f>
        <v>0</v>
      </c>
    </row>
    <row r="127" customFormat="false" ht="15.75" hidden="false" customHeight="false" outlineLevel="0" collapsed="false">
      <c r="A127" s="31"/>
      <c r="B127" s="58" t="n">
        <f aca="false">B126-0.25</f>
        <v>-1.05410034759077</v>
      </c>
      <c r="C127" s="61" t="n">
        <f aca="false">IF(B127&lt;-7.5,(0.07688888889*B127^3+1.880666667*B127^2+14.87*B127+38.351)*(G$84-0.74*G$73)+0.74*G$73,IF(B127&lt;-6,(-0.05792592593*B127^3-1.051333333*B127^2-6.36*B127-12.824)*(G$84-0.74*G$73)+0.74*G$73,0))+IF(B127&lt;-6,0,IF(B127&lt;-4.5,-0.008888888889*B127^3-0.1033333333*B127^2-0.28*B127+0.86,IF(B127&lt;-3.5,-0.015*B127^3-0.14*B127^2-0.23875*B127+1.23125,IF(B127&lt;-3.1,-0.84375*B127^3-8.590625*B127^2-28.9365625*B127-31.22359375,IF(B127&lt;-2.5,0.3425925926*B127^3+2.702777778*B127^2+6.880277778*B127+6.621342593,IF(B127&lt;-1.5,-0.005*B127^3+0.0075*B127^2-0.07875*B127+0.638125,IF(B127&lt;-1,0.26*B127^3+1.11*B127^2+1.44*B127+1.33,0)))))))*G$73+IF(B127&lt;-1,0,IF((1/(B$122+1)*(B127-B$122))&lt;-0.5,0.32*(1/(B$122+1)*(B127-B$122))^3+1.12*(1/(B$122+1)*(B127-B$122))^2+1.28*(1/(B$122+1)*(B127-B$122))+1.22,-0.26*(1/(B$122+1)*(B127-B$122))^3-0.34*(1/(B$122+1)*(B127-B$122))^2+0.255*(1/(B$122+1)*(B127-B$122))+1))*G$73+IF(B127&gt;-3.1,(-B127-3.1)/(-B$122-3.1),0)*G$85</f>
        <v>201.469424843144</v>
      </c>
      <c r="D127" s="60" t="n">
        <f aca="false">(C127-C126)/(E127-E126)</f>
        <v>-0.000712092005067172</v>
      </c>
      <c r="E127" s="57" t="n">
        <f aca="false">IF(D127=0,(8314.4621*C126*LN(H127/H126)/(-G$70*9.80665*G$74)),C126/D127*(1/(H127/H126)^(8314.4621*D127/(G$70*9.80665*G$74))-1))+E126</f>
        <v>33910.3031475942</v>
      </c>
      <c r="F127" s="57" t="n">
        <f aca="false">F$38*E127/(F$38-E127)</f>
        <v>34010.8730912399</v>
      </c>
      <c r="G127" s="57" t="n">
        <f aca="false">8314.4621*C127/(G$74*G$70*9.80665)</f>
        <v>10239.5523087803</v>
      </c>
      <c r="H127" s="60" t="n">
        <f aca="false">10^B127*101325</f>
        <v>8945.7398596612</v>
      </c>
      <c r="I127" s="60" t="n">
        <f aca="false">H127/(8314.4621/G$74*C127)</f>
        <v>0.151716557690585</v>
      </c>
      <c r="J127" s="57" t="n">
        <f aca="false">SQRT(8314.4621/G$74*G$76*C127)</f>
        <v>287.637751593821</v>
      </c>
      <c r="K127" s="57" t="n">
        <f aca="false">IF(F$20&gt;0,SQRT(2*G$69/(F$20+N127)),10000)</f>
        <v>3597.56402789852</v>
      </c>
      <c r="L127" s="60" t="n">
        <f aca="false">I127*K127^2/2</f>
        <v>981793.265688266</v>
      </c>
      <c r="M127" s="60" t="n">
        <f aca="false">I127*K127^3/2</f>
        <v>3532064135.47312</v>
      </c>
      <c r="N127" s="57" t="n">
        <f aca="false">F127*IF(G$100&gt;0,G$100,0.5)</f>
        <v>23464.5474780595</v>
      </c>
      <c r="O127" s="57" t="n">
        <f aca="false">C127-P127*(G$87+(G$86-G$87)*COS(RADIANS(38)))/2</f>
        <v>203.235604543991</v>
      </c>
      <c r="P127" s="82" t="n">
        <f aca="false">IF(B127&lt;R$160,0.2,IF(B127&lt;-4,-0.8*((B127+4)/(R$160+4))^3+1.2*((B127+4)/(R$160+4))^2-0.2,IF(B127&lt;-2.5,-0.3555555556*B127^3-3.466666667*B127^2-10.66666667*B127-10.15555556,IF(B127&lt;-1,0.4148148148*B127^3+2.177777778*B127^2+3.111111111*B127+1.048148148,0))))+IF(B127&lt;-1,0,-1.6*(B127/(B$122+1)-B$122/(B$122+1))^3-1.9*(B127/(B$122+1)-B$122/(B$122+1))^2+1*(B127/(B$122+1)-B$122/(B$122+1))+1)</f>
        <v>-0.297333958549715</v>
      </c>
      <c r="Q127" s="9" t="str">
        <f aca="false">IF(L127&gt;L$116,"|",IF(L126&gt;L$116,"V",""))</f>
        <v>|</v>
      </c>
      <c r="R127" s="1" t="n">
        <f aca="false">IF(Q127="V",B127,0)</f>
        <v>0</v>
      </c>
    </row>
    <row r="128" customFormat="false" ht="15.75" hidden="false" customHeight="false" outlineLevel="0" collapsed="false">
      <c r="A128" s="31"/>
      <c r="B128" s="58" t="n">
        <f aca="false">B127-0.25</f>
        <v>-1.30410034759077</v>
      </c>
      <c r="C128" s="61" t="n">
        <f aca="false">IF(B128&lt;-7.5,(0.07688888889*B128^3+1.880666667*B128^2+14.87*B128+38.351)*(G$84-0.74*G$73)+0.74*G$73,IF(B128&lt;-6,(-0.05792592593*B128^3-1.051333333*B128^2-6.36*B128-12.824)*(G$84-0.74*G$73)+0.74*G$73,0))+IF(B128&lt;-6,0,IF(B128&lt;-4.5,-0.008888888889*B128^3-0.1033333333*B128^2-0.28*B128+0.86,IF(B128&lt;-3.5,-0.015*B128^3-0.14*B128^2-0.23875*B128+1.23125,IF(B128&lt;-3.1,-0.84375*B128^3-8.590625*B128^2-28.9365625*B128-31.22359375,IF(B128&lt;-2.5,0.3425925926*B128^3+2.702777778*B128^2+6.880277778*B128+6.621342593,IF(B128&lt;-1.5,-0.005*B128^3+0.0075*B128^2-0.07875*B128+0.638125,IF(B128&lt;-1,0.26*B128^3+1.11*B128^2+1.44*B128+1.33,0)))))))*G$73+IF(B128&lt;-1,0,IF((1/(B$122+1)*(B128-B$122))&lt;-0.5,0.32*(1/(B$122+1)*(B128-B$122))^3+1.12*(1/(B$122+1)*(B128-B$122))^2+1.28*(1/(B$122+1)*(B128-B$122))+1.22,-0.26*(1/(B$122+1)*(B128-B$122))^3-0.34*(1/(B$122+1)*(B128-B$122))^2+0.255*(1/(B$122+1)*(B128-B$122))+1))*G$73+IF(B128&gt;-3.1,(-B128-3.1)/(-B$122-3.1),0)*G$85</f>
        <v>203.668624994827</v>
      </c>
      <c r="D128" s="60" t="n">
        <f aca="false">(C128-C127)/(E128-E127)</f>
        <v>0.000371810317455118</v>
      </c>
      <c r="E128" s="57" t="n">
        <f aca="false">IF(D128=0,(8314.4621*C127*LN(H128/H127)/(-G$70*9.80665*G$74)),C127/D128*(1/(H128/H127)^(8314.4621*D128/(G$70*9.80665*G$74))-1))+E127</f>
        <v>39836.8392556272</v>
      </c>
      <c r="F128" s="57" t="n">
        <f aca="false">F$38*E128/(F$38-E128)</f>
        <v>39975.7064862561</v>
      </c>
      <c r="G128" s="57" t="n">
        <f aca="false">8314.4621*C128/(G$74*G$70*9.80665)</f>
        <v>10351.3252242396</v>
      </c>
      <c r="H128" s="60" t="n">
        <f aca="false">10^B128*101325</f>
        <v>5030.55920749001</v>
      </c>
      <c r="I128" s="60" t="n">
        <f aca="false">H128/(8314.4621/G$74*C128)</f>
        <v>0.0843952483674646</v>
      </c>
      <c r="J128" s="57" t="n">
        <f aca="false">SQRT(8314.4621/G$74*G$76*C128)</f>
        <v>289.203388873965</v>
      </c>
      <c r="K128" s="57" t="n">
        <f aca="false">IF(F$20&gt;0,SQRT(2*G$69/(F$20+N128)),10000)</f>
        <v>3591.25518155564</v>
      </c>
      <c r="L128" s="60" t="n">
        <f aca="false">I128*K128^2/2</f>
        <v>544227.560303198</v>
      </c>
      <c r="M128" s="60" t="n">
        <f aca="false">I128*K128^3/2</f>
        <v>1954460045.88424</v>
      </c>
      <c r="N128" s="57" t="n">
        <f aca="false">F128*IF(G$100&gt;0,G$100,0.5)</f>
        <v>27579.7642800687</v>
      </c>
      <c r="O128" s="57" t="n">
        <f aca="false">C128-P128*(G$87+(G$86-G$87)*COS(RADIANS(38)))/2</f>
        <v>205.007237835848</v>
      </c>
      <c r="P128" s="82" t="n">
        <f aca="false">IF(B128&lt;R$160,0.2,IF(B128&lt;-4,-0.8*((B128+4)/(R$160+4))^3+1.2*((B128+4)/(R$160+4))^2-0.2,IF(B128&lt;-2.5,-0.3555555556*B128^3-3.466666667*B128^2-10.66666667*B128-10.15555556,IF(B128&lt;-1,0.4148148148*B128^3+2.177777778*B128^2+3.111111111*B128+1.048148148,0))))+IF(B128&lt;-1,0,-1.6*(B128/(B$122+1)-B$122/(B$122+1))^3-1.9*(B128/(B$122+1)-B$122/(B$122+1))^2+1*(B128/(B$122+1)-B$122/(B$122+1))+1)</f>
        <v>-0.225353657272319</v>
      </c>
      <c r="Q128" s="9" t="str">
        <f aca="false">IF(L128&gt;L$116,"|",IF(L127&gt;L$116,"V",""))</f>
        <v>|</v>
      </c>
      <c r="R128" s="1" t="n">
        <f aca="false">IF(Q128="V",B128,0)</f>
        <v>0</v>
      </c>
    </row>
    <row r="129" customFormat="false" ht="15.75" hidden="false" customHeight="false" outlineLevel="0" collapsed="false">
      <c r="A129" s="31"/>
      <c r="B129" s="58" t="n">
        <f aca="false">B128-0.25</f>
        <v>-1.55410034759077</v>
      </c>
      <c r="C129" s="61" t="n">
        <f aca="false">IF(B129&lt;-7.5,(0.07688888889*B129^3+1.880666667*B129^2+14.87*B129+38.351)*(G$84-0.74*G$73)+0.74*G$73,IF(B129&lt;-6,(-0.05792592593*B129^3-1.051333333*B129^2-6.36*B129-12.824)*(G$84-0.74*G$73)+0.74*G$73,0))+IF(B129&lt;-6,0,IF(B129&lt;-4.5,-0.008888888889*B129^3-0.1033333333*B129^2-0.28*B129+0.86,IF(B129&lt;-3.5,-0.015*B129^3-0.14*B129^2-0.23875*B129+1.23125,IF(B129&lt;-3.1,-0.84375*B129^3-8.590625*B129^2-28.9365625*B129-31.22359375,IF(B129&lt;-2.5,0.3425925926*B129^3+2.702777778*B129^2+6.880277778*B129+6.621342593,IF(B129&lt;-1.5,-0.005*B129^3+0.0075*B129^2-0.07875*B129+0.638125,IF(B129&lt;-1,0.26*B129^3+1.11*B129^2+1.44*B129+1.33,0)))))))*G$73+IF(B129&lt;-1,0,IF((1/(B$122+1)*(B129-B$122))&lt;-0.5,0.32*(1/(B$122+1)*(B129-B$122))^3+1.12*(1/(B$122+1)*(B129-B$122))^2+1.28*(1/(B$122+1)*(B129-B$122))+1.22,-0.26*(1/(B$122+1)*(B129-B$122))^3-0.34*(1/(B$122+1)*(B129-B$122))^2+0.255*(1/(B$122+1)*(B129-B$122))+1))*G$73+IF(B129&gt;-3.1,(-B129-3.1)/(-B$122-3.1),0)*G$85</f>
        <v>208.697877672107</v>
      </c>
      <c r="D129" s="60" t="n">
        <f aca="false">(C129-C128)/(E129-E128)</f>
        <v>0.00083516228722093</v>
      </c>
      <c r="E129" s="57" t="n">
        <f aca="false">IF(D129=0,(8314.4621*C128*LN(H129/H128)/(-G$70*9.80665*G$74)),C128/D129*(1/(H129/H128)^(8314.4621*D129/(G$70*9.80665*G$74))-1))+E128</f>
        <v>45868.9357062324</v>
      </c>
      <c r="F129" s="57" t="n">
        <f aca="false">F$38*E129/(F$38-E129)</f>
        <v>46053.1386859991</v>
      </c>
      <c r="G129" s="57" t="n">
        <f aca="false">8314.4621*C129/(G$74*G$70*9.80665)</f>
        <v>10606.9337162139</v>
      </c>
      <c r="H129" s="60" t="n">
        <f aca="false">10^B129*101325</f>
        <v>2828.89133118844</v>
      </c>
      <c r="I129" s="60" t="n">
        <f aca="false">H129/(8314.4621/G$74*C129)</f>
        <v>0.0463152587237166</v>
      </c>
      <c r="J129" s="57" t="n">
        <f aca="false">SQRT(8314.4621/G$74*G$76*C129)</f>
        <v>292.752308432349</v>
      </c>
      <c r="K129" s="57" t="n">
        <f aca="false">IF(F$20&gt;0,SQRT(2*G$69/(F$20+N129)),10000)</f>
        <v>3584.8612574121</v>
      </c>
      <c r="L129" s="60" t="n">
        <f aca="false">I129*K129^2/2</f>
        <v>297604.026623588</v>
      </c>
      <c r="M129" s="60" t="n">
        <f aca="false">I129*K129^3/2</f>
        <v>1066869145.09274</v>
      </c>
      <c r="N129" s="57" t="n">
        <f aca="false">F129*IF(G$100&gt;0,G$100,0.5)</f>
        <v>31772.6644744564</v>
      </c>
      <c r="O129" s="57" t="n">
        <f aca="false">C129-P129*(G$87+(G$86-G$87)*COS(RADIANS(38)))/2</f>
        <v>209.1969086448</v>
      </c>
      <c r="P129" s="82" t="n">
        <f aca="false">IF(B129&lt;R$160,0.2,IF(B129&lt;-4,-0.8*((B129+4)/(R$160+4))^3+1.2*((B129+4)/(R$160+4))^2-0.2,IF(B129&lt;-2.5,-0.3555555556*B129^3-3.466666667*B129^2-10.66666667*B129-10.15555556,IF(B129&lt;-1,0.4148148148*B129^3+2.177777778*B129^2+3.111111111*B129+1.048148148,0))))+IF(B129&lt;-1,0,-1.6*(B129/(B$122+1)-B$122/(B$122+1))^3-1.9*(B129/(B$122+1)-B$122/(B$122+1))^2+1*(B129/(B$122+1)-B$122/(B$122+1))+1)</f>
        <v>-0.0840111878073533</v>
      </c>
      <c r="Q129" s="9" t="str">
        <f aca="false">IF(L129&gt;L$116,"|",IF(L128&gt;L$116,"V",""))</f>
        <v>|</v>
      </c>
      <c r="R129" s="1" t="n">
        <f aca="false">IF(Q129="V",B129,0)</f>
        <v>0</v>
      </c>
    </row>
    <row r="130" customFormat="false" ht="15.75" hidden="false" customHeight="false" outlineLevel="0" collapsed="false">
      <c r="A130" s="31"/>
      <c r="B130" s="58" t="n">
        <f aca="false">B129-0.25</f>
        <v>-1.80410034759077</v>
      </c>
      <c r="C130" s="61" t="n">
        <f aca="false">IF(B130&lt;-7.5,(0.07688888889*B130^3+1.880666667*B130^2+14.87*B130+38.351)*(G$84-0.74*G$73)+0.74*G$73,IF(B130&lt;-6,(-0.05792592593*B130^3-1.051333333*B130^2-6.36*B130-12.824)*(G$84-0.74*G$73)+0.74*G$73,0))+IF(B130&lt;-6,0,IF(B130&lt;-4.5,-0.008888888889*B130^3-0.1033333333*B130^2-0.28*B130+0.86,IF(B130&lt;-3.5,-0.015*B130^3-0.14*B130^2-0.23875*B130+1.23125,IF(B130&lt;-3.1,-0.84375*B130^3-8.590625*B130^2-28.9365625*B130-31.22359375,IF(B130&lt;-2.5,0.3425925926*B130^3+2.702777778*B130^2+6.880277778*B130+6.621342593,IF(B130&lt;-1.5,-0.005*B130^3+0.0075*B130^2-0.07875*B130+0.638125,IF(B130&lt;-1,0.26*B130^3+1.11*B130^2+1.44*B130+1.33,0)))))))*G$73+IF(B130&lt;-1,0,IF((1/(B$122+1)*(B130-B$122))&lt;-0.5,0.32*(1/(B$122+1)*(B130-B$122))^3+1.12*(1/(B$122+1)*(B130-B$122))^2+1.28*(1/(B$122+1)*(B130-B$122))+1.22,-0.26*(1/(B$122+1)*(B130-B$122))^3-0.34*(1/(B$122+1)*(B130-B$122))^2+0.255*(1/(B$122+1)*(B130-B$122))+1))*G$73+IF(B130&gt;-3.1,(-B130-3.1)/(-B$122-3.1),0)*G$85</f>
        <v>214.295204811167</v>
      </c>
      <c r="D130" s="60" t="n">
        <f aca="false">(C130-C129)/(E130-E129)</f>
        <v>0.00090593844168363</v>
      </c>
      <c r="E130" s="57" t="n">
        <f aca="false">IF(D130=0,(8314.4621*C129*LN(H130/H129)/(-G$70*9.80665*G$74)),C129/D130*(1/(H130/H129)^(8314.4621*D130/(G$70*9.80665*G$74))-1))+E129</f>
        <v>52056.414606353</v>
      </c>
      <c r="F130" s="57" t="n">
        <f aca="false">F$38*E130/(F$38-E130)</f>
        <v>52293.7940779585</v>
      </c>
      <c r="G130" s="57" t="n">
        <f aca="false">8314.4621*C130/(G$74*G$70*9.80665)</f>
        <v>10891.4142227443</v>
      </c>
      <c r="H130" s="60" t="n">
        <f aca="false">10^B130*101325</f>
        <v>1590.8025</v>
      </c>
      <c r="I130" s="60" t="n">
        <f aca="false">H130/(8314.4621/G$74*C130)</f>
        <v>0.0253646967171028</v>
      </c>
      <c r="J130" s="57" t="n">
        <f aca="false">SQRT(8314.4621/G$74*G$76*C130)</f>
        <v>296.652176169392</v>
      </c>
      <c r="K130" s="57" t="n">
        <f aca="false">IF(F$20&gt;0,SQRT(2*G$69/(F$20+N130)),10000)</f>
        <v>3578.3310207294</v>
      </c>
      <c r="L130" s="60" t="n">
        <f aca="false">I130*K130^2/2</f>
        <v>162390.532141282</v>
      </c>
      <c r="M130" s="60" t="n">
        <f aca="false">I130*K130^3/2</f>
        <v>581087078.633904</v>
      </c>
      <c r="N130" s="57" t="n">
        <f aca="false">F130*IF(G$100&gt;0,G$100,0.5)</f>
        <v>36078.1744902095</v>
      </c>
      <c r="O130" s="57" t="n">
        <f aca="false">C130-P130*(G$87+(G$86-G$87)*COS(RADIANS(38)))/2</f>
        <v>213.773640998</v>
      </c>
      <c r="P130" s="82" t="n">
        <f aca="false">IF(B130&lt;R$160,0.2,IF(B130&lt;-4,-0.8*((B130+4)/(R$160+4))^3+1.2*((B130+4)/(R$160+4))^2-0.2,IF(B130&lt;-2.5,-0.3555555556*B130^3-3.466666667*B130^2-10.66666667*B130-10.15555556,IF(B130&lt;-1,0.4148148148*B130^3+2.177777778*B130^2+3.111111111*B130+1.048148148,0))))+IF(B130&lt;-1,0,-1.6*(B130/(B$122+1)-B$122/(B$122+1))^3-1.9*(B130/(B$122+1)-B$122/(B$122+1))^2+1*(B130/(B$122+1)-B$122/(B$122+1))+1)</f>
        <v>0.0878045609576821</v>
      </c>
      <c r="Q130" s="9" t="str">
        <f aca="false">IF(L130&gt;L$116,"|",IF(L129&gt;L$116,"V",""))</f>
        <v>|</v>
      </c>
      <c r="R130" s="1" t="n">
        <f aca="false">IF(Q130="V",B130,0)</f>
        <v>0</v>
      </c>
    </row>
    <row r="131" s="1" customFormat="true" ht="15.75" hidden="false" customHeight="false" outlineLevel="0" collapsed="false">
      <c r="B131" s="58" t="n">
        <f aca="false">B130-0.25</f>
        <v>-2.05410034759077</v>
      </c>
      <c r="C131" s="61" t="n">
        <f aca="false">IF(B131&lt;-7.5,(0.07688888889*B131^3+1.880666667*B131^2+14.87*B131+38.351)*(G$84-0.74*G$73)+0.74*G$73,IF(B131&lt;-6,(-0.05792592593*B131^3-1.051333333*B131^2-6.36*B131-12.824)*(G$84-0.74*G$73)+0.74*G$73,0))+IF(B131&lt;-6,0,IF(B131&lt;-4.5,-0.008888888889*B131^3-0.1033333333*B131^2-0.28*B131+0.86,IF(B131&lt;-3.5,-0.015*B131^3-0.14*B131^2-0.23875*B131+1.23125,IF(B131&lt;-3.1,-0.84375*B131^3-8.590625*B131^2-28.9365625*B131-31.22359375,IF(B131&lt;-2.5,0.3425925926*B131^3+2.702777778*B131^2+6.880277778*B131+6.621342593,IF(B131&lt;-1.5,-0.005*B131^3+0.0075*B131^2-0.07875*B131+0.638125,IF(B131&lt;-1,0.26*B131^3+1.11*B131^2+1.44*B131+1.33,0)))))))*G$73+IF(B131&lt;-1,0,IF((1/(B$122+1)*(B131-B$122))&lt;-0.5,0.32*(1/(B$122+1)*(B131-B$122))^3+1.12*(1/(B$122+1)*(B131-B$122))^2+1.28*(1/(B$122+1)*(B131-B$122))+1.22,-0.26*(1/(B$122+1)*(B131-B$122))^3-0.34*(1/(B$122+1)*(B131-B$122))^2+0.255*(1/(B$122+1)*(B131-B$122))+1))*G$73+IF(B131&gt;-3.1,(-B131-3.1)/(-B$122-3.1),0)*G$85</f>
        <v>220.919474410261</v>
      </c>
      <c r="D131" s="60" t="n">
        <f aca="false">(C131-C130)/(E131-E130)</f>
        <v>0.00104187770193787</v>
      </c>
      <c r="E131" s="57" t="n">
        <f aca="false">IF(D131=0,(8314.4621*C130*LN(H131/H130)/(-G$70*9.80665*G$74)),C130/D131*(1/(H131/H130)^(8314.4621*D131/(G$70*9.80665*G$74))-1))+E130</f>
        <v>58422.550145551</v>
      </c>
      <c r="F131" s="57" t="n">
        <f aca="false">F$38*E131/(F$38-E131)</f>
        <v>58721.7062919601</v>
      </c>
      <c r="G131" s="57" t="n">
        <f aca="false">8314.4621*C131/(G$74*G$70*9.80665)</f>
        <v>11228.0884109999</v>
      </c>
      <c r="H131" s="60" t="n">
        <f aca="false">10^B131*101325</f>
        <v>894.573985966121</v>
      </c>
      <c r="I131" s="60" t="n">
        <f aca="false">H131/(8314.4621/G$74*C131)</f>
        <v>0.0138359226585613</v>
      </c>
      <c r="J131" s="57" t="n">
        <f aca="false">SQRT(8314.4621/G$74*G$76*C131)</f>
        <v>301.202319986114</v>
      </c>
      <c r="K131" s="57" t="n">
        <f aca="false">IF(F$20&gt;0,SQRT(2*G$69/(F$20+N131)),10000)</f>
        <v>3571.64200829408</v>
      </c>
      <c r="L131" s="60" t="n">
        <f aca="false">I131*K131^2/2</f>
        <v>88249.8497558444</v>
      </c>
      <c r="M131" s="60" t="n">
        <f aca="false">I131*K131^3/2</f>
        <v>315196870.613615</v>
      </c>
      <c r="N131" s="57" t="n">
        <f aca="false">F131*IF(G$100&gt;0,G$100,0.5)</f>
        <v>40512.8754438021</v>
      </c>
      <c r="O131" s="57" t="n">
        <f aca="false">C131-P131*(G$87+(G$86-G$87)*COS(RADIANS(38)))/2</f>
        <v>219.427304984675</v>
      </c>
      <c r="P131" s="82" t="n">
        <f aca="false">IF(B131&lt;R$160,0.2,IF(B131&lt;-4,-0.8*((B131+4)/(R$160+4))^3+1.2*((B131+4)/(R$160+4))^2-0.2,IF(B131&lt;-2.5,-0.3555555556*B131^3-3.466666667*B131^2-10.66666667*B131-10.15555556,IF(B131&lt;-1,0.4148148148*B131^3+2.177777778*B131^2+3.111111111*B131+1.048148148,0))))+IF(B131&lt;-1,0,-1.6*(B131/(B$122+1)-B$122/(B$122+1))^3-1.9*(B131/(B$122+1)-B$122/(B$122+1))^2+1*(B131/(B$122+1)-B$122/(B$122+1))+1)</f>
        <v>0.251204700135289</v>
      </c>
      <c r="Q131" s="9" t="str">
        <f aca="false">IF(L131&gt;L$116,"|",IF(L130&gt;L$116,"V",""))</f>
        <v>|</v>
      </c>
      <c r="R131" s="1" t="n">
        <f aca="false">IF(Q131="V",B131,0)</f>
        <v>0</v>
      </c>
    </row>
    <row r="132" customFormat="false" ht="15.75" hidden="false" customHeight="false" outlineLevel="0" collapsed="false">
      <c r="B132" s="58" t="n">
        <f aca="false">B131-0.25</f>
        <v>-2.30410034759077</v>
      </c>
      <c r="C132" s="61" t="n">
        <f aca="false">IF(B132&lt;-7.5,(0.07688888889*B132^3+1.880666667*B132^2+14.87*B132+38.351)*(G$84-0.74*G$73)+0.74*G$73,IF(B132&lt;-6,(-0.05792592593*B132^3-1.051333333*B132^2-6.36*B132-12.824)*(G$84-0.74*G$73)+0.74*G$73,0))+IF(B132&lt;-6,0,IF(B132&lt;-4.5,-0.008888888889*B132^3-0.1033333333*B132^2-0.28*B132+0.86,IF(B132&lt;-3.5,-0.015*B132^3-0.14*B132^2-0.23875*B132+1.23125,IF(B132&lt;-3.1,-0.84375*B132^3-8.590625*B132^2-28.9365625*B132-31.22359375,IF(B132&lt;-2.5,0.3425925926*B132^3+2.702777778*B132^2+6.880277778*B132+6.621342593,IF(B132&lt;-1.5,-0.005*B132^3+0.0075*B132^2-0.07875*B132+0.638125,IF(B132&lt;-1,0.26*B132^3+1.11*B132^2+1.44*B132+1.33,0)))))))*G$73+IF(B132&lt;-1,0,IF((1/(B$122+1)*(B132-B$122))&lt;-0.5,0.32*(1/(B$122+1)*(B132-B$122))^3+1.12*(1/(B$122+1)*(B132-B$122))^2+1.28*(1/(B$122+1)*(B132-B$122))+1.22,-0.26*(1/(B$122+1)*(B132-B$122))^3-0.34*(1/(B$122+1)*(B132-B$122))^2+0.255*(1/(B$122+1)*(B132-B$122))+1))*G$73+IF(B132&gt;-3.1,(-B132-3.1)/(-B$122-3.1),0)*G$85</f>
        <v>228.682112004859</v>
      </c>
      <c r="D132" s="60" t="n">
        <f aca="false">(C132-C131)/(E132-E131)</f>
        <v>0.00118177582984987</v>
      </c>
      <c r="E132" s="57" t="n">
        <f aca="false">IF(D132=0,(8314.4621*C131*LN(H132/H131)/(-G$70*9.80665*G$74)),C131/D132*(1/(H132/H131)^(8314.4621*D132/(G$70*9.80665*G$74))-1))+E131</f>
        <v>64998.9926298641</v>
      </c>
      <c r="F132" s="57" t="n">
        <f aca="false">F$38*E132/(F$38-E132)</f>
        <v>65369.5031671304</v>
      </c>
      <c r="G132" s="57" t="n">
        <f aca="false">8314.4621*C132/(G$74*G$70*9.80665)</f>
        <v>11622.619411254</v>
      </c>
      <c r="H132" s="60" t="n">
        <f aca="false">10^B132*101325</f>
        <v>503.055920749001</v>
      </c>
      <c r="I132" s="60" t="n">
        <f aca="false">H132/(8314.4621/G$74*C132)</f>
        <v>0.00751640084150231</v>
      </c>
      <c r="J132" s="57" t="n">
        <f aca="false">SQRT(8314.4621/G$74*G$76*C132)</f>
        <v>306.448436026543</v>
      </c>
      <c r="K132" s="57" t="n">
        <f aca="false">IF(F$20&gt;0,SQRT(2*G$69/(F$20+N132)),10000)</f>
        <v>3564.76348667205</v>
      </c>
      <c r="L132" s="60" t="n">
        <f aca="false">I132*K132^2/2</f>
        <v>47757.4773488456</v>
      </c>
      <c r="M132" s="60" t="n">
        <f aca="false">I132*K132^3/2</f>
        <v>170244111.468732</v>
      </c>
      <c r="N132" s="57" t="n">
        <f aca="false">F132*IF(G$100&gt;0,G$100,0.5)</f>
        <v>45099.2777094383</v>
      </c>
      <c r="O132" s="57" t="n">
        <f aca="false">C132-P132*(G$87+(G$86-G$87)*COS(RADIANS(38)))/2</f>
        <v>226.500328231264</v>
      </c>
      <c r="P132" s="82" t="n">
        <f aca="false">IF(B132&lt;R$160,0.2,IF(B132&lt;-4,-0.8*((B132+4)/(R$160+4))^3+1.2*((B132+4)/(R$160+4))^2-0.2,IF(B132&lt;-2.5,-0.3555555556*B132^3-3.466666667*B132^2-10.66666667*B132-10.15555556,IF(B132&lt;-1,0.4148148148*B132^3+2.177777778*B132^2+3.111111111*B132+1.048148148,0))))+IF(B132&lt;-1,0,-1.6*(B132/(B$122+1)-B$122/(B$122+1))^3-1.9*(B132/(B$122+1)-B$122/(B$122+1))^2+1*(B132/(B$122+1)-B$122/(B$122+1))+1)</f>
        <v>0.367300340837964</v>
      </c>
      <c r="Q132" s="9" t="str">
        <f aca="false">IF(L132&gt;L$116,"|",IF(L131&gt;L$116,"V",""))</f>
        <v>|</v>
      </c>
      <c r="R132" s="1" t="n">
        <f aca="false">IF(Q132="V",B132,0)</f>
        <v>0</v>
      </c>
    </row>
    <row r="133" customFormat="false" ht="15.75" hidden="false" customHeight="false" outlineLevel="0" collapsed="false">
      <c r="B133" s="58" t="n">
        <f aca="false">B132-0.25</f>
        <v>-2.55410034759077</v>
      </c>
      <c r="C133" s="61" t="n">
        <f aca="false">IF(B133&lt;-7.5,(0.07688888889*B133^3+1.880666667*B133^2+14.87*B133+38.351)*(G$84-0.74*G$73)+0.74*G$73,IF(B133&lt;-6,(-0.05792592593*B133^3-1.051333333*B133^2-6.36*B133-12.824)*(G$84-0.74*G$73)+0.74*G$73,0))+IF(B133&lt;-6,0,IF(B133&lt;-4.5,-0.008888888889*B133^3-0.1033333333*B133^2-0.28*B133+0.86,IF(B133&lt;-3.5,-0.015*B133^3-0.14*B133^2-0.23875*B133+1.23125,IF(B133&lt;-3.1,-0.84375*B133^3-8.590625*B133^2-28.9365625*B133-31.22359375,IF(B133&lt;-2.5,0.3425925926*B133^3+2.702777778*B133^2+6.880277778*B133+6.621342593,IF(B133&lt;-1.5,-0.005*B133^3+0.0075*B133^2-0.07875*B133+0.638125,IF(B133&lt;-1,0.26*B133^3+1.11*B133^2+1.44*B133+1.33,0)))))))*G$73+IF(B133&lt;-1,0,IF((1/(B$122+1)*(B133-B$122))&lt;-0.5,0.32*(1/(B$122+1)*(B133-B$122))^3+1.12*(1/(B$122+1)*(B133-B$122))^2+1.28*(1/(B$122+1)*(B133-B$122))+1.22,-0.26*(1/(B$122+1)*(B133-B$122))^3-0.34*(1/(B$122+1)*(B133-B$122))^2+0.255*(1/(B$122+1)*(B133-B$122))+1))*G$73+IF(B133&gt;-3.1,(-B133-3.1)/(-B$122-3.1),0)*G$85</f>
        <v>237.742916753536</v>
      </c>
      <c r="D133" s="60" t="n">
        <f aca="false">(C133-C132)/(E133-E132)</f>
        <v>0.00132972713690772</v>
      </c>
      <c r="E133" s="57" t="n">
        <f aca="false">IF(D133=0,(8314.4621*C132*LN(H133/H132)/(-G$70*9.80665*G$74)),C132/D133*(1/(H133/H132)^(8314.4621*D133/(G$70*9.80665*G$74))-1))+E132</f>
        <v>71821.3570833525</v>
      </c>
      <c r="F133" s="57" t="n">
        <f aca="false">F$38*E133/(F$38-E133)</f>
        <v>72273.9986612001</v>
      </c>
      <c r="G133" s="57" t="n">
        <f aca="false">8314.4621*C133/(G$74*G$70*9.80665)</f>
        <v>12083.1289116706</v>
      </c>
      <c r="H133" s="60" t="n">
        <f aca="false">10^B133*101325</f>
        <v>282.889133118844</v>
      </c>
      <c r="I133" s="60" t="n">
        <f aca="false">H133/(8314.4621/G$74*C133)</f>
        <v>0.00406569261093682</v>
      </c>
      <c r="J133" s="57" t="n">
        <f aca="false">SQRT(8314.4621/G$74*G$76*C133)</f>
        <v>312.460486967884</v>
      </c>
      <c r="K133" s="57" t="n">
        <f aca="false">IF(F$20&gt;0,SQRT(2*G$69/(F$20+N133)),10000)</f>
        <v>3557.66126355938</v>
      </c>
      <c r="L133" s="60" t="n">
        <f aca="false">I133*K133^2/2</f>
        <v>25729.6414988825</v>
      </c>
      <c r="M133" s="60" t="n">
        <f aca="false">I133*K133^3/2</f>
        <v>91537348.8858442</v>
      </c>
      <c r="N133" s="57" t="n">
        <f aca="false">F133*IF(G$100&gt;0,G$100,0.5)</f>
        <v>49862.779719458</v>
      </c>
      <c r="O133" s="57" t="n">
        <f aca="false">C133-P133*(G$87+(G$86-G$87)*COS(RADIANS(38)))/2</f>
        <v>235.380469311964</v>
      </c>
      <c r="P133" s="82" t="n">
        <f aca="false">IF(B133&lt;R$160,0.2,IF(B133&lt;-4,-0.8*((B133+4)/(R$160+4))^3+1.2*((B133+4)/(R$160+4))^2-0.2,IF(B133&lt;-2.5,-0.3555555556*B133^3-3.466666667*B133^2-10.66666667*B133-10.15555556,IF(B133&lt;-1,0.4148148148*B133^3+2.177777778*B133^2+3.111111111*B133+1.048148148,0))))+IF(B133&lt;-1,0,-1.6*(B133/(B$122+1)-B$122/(B$122+1))^3-1.9*(B133/(B$122+1)-B$122/(B$122+1))^2+1*(B133/(B$122+1)-B$122/(B$122+1))+1)</f>
        <v>0.397714824449221</v>
      </c>
      <c r="Q133" s="9" t="str">
        <f aca="false">IF(L133&gt;L$116,"|",IF(L132&gt;L$116,"V",""))</f>
        <v>|</v>
      </c>
      <c r="R133" s="1" t="n">
        <f aca="false">IF(Q133="V",B133,0)</f>
        <v>0</v>
      </c>
    </row>
    <row r="134" customFormat="false" ht="15.75" hidden="false" customHeight="false" outlineLevel="0" collapsed="false">
      <c r="B134" s="58" t="n">
        <f aca="false">B133-0.25</f>
        <v>-2.80410034759077</v>
      </c>
      <c r="C134" s="61" t="n">
        <f aca="false">IF(B134&lt;-7.5,(0.07688888889*B134^3+1.880666667*B134^2+14.87*B134+38.351)*(G$84-0.74*G$73)+0.74*G$73,IF(B134&lt;-6,(-0.05792592593*B134^3-1.051333333*B134^2-6.36*B134-12.824)*(G$84-0.74*G$73)+0.74*G$73,0))+IF(B134&lt;-6,0,IF(B134&lt;-4.5,-0.008888888889*B134^3-0.1033333333*B134^2-0.28*B134+0.86,IF(B134&lt;-3.5,-0.015*B134^3-0.14*B134^2-0.23875*B134+1.23125,IF(B134&lt;-3.1,-0.84375*B134^3-8.590625*B134^2-28.9365625*B134-31.22359375,IF(B134&lt;-2.5,0.3425925926*B134^3+2.702777778*B134^2+6.880277778*B134+6.621342593,IF(B134&lt;-1.5,-0.005*B134^3+0.0075*B134^2-0.07875*B134+0.638125,IF(B134&lt;-1,0.26*B134^3+1.11*B134^2+1.44*B134+1.33,0)))))))*G$73+IF(B134&lt;-1,0,IF((1/(B$122+1)*(B134-B$122))&lt;-0.5,0.32*(1/(B$122+1)*(B134-B$122))^3+1.12*(1/(B$122+1)*(B134-B$122))^2+1.28*(1/(B$122+1)*(B134-B$122))+1.22,-0.26*(1/(B$122+1)*(B134-B$122))^3-0.34*(1/(B$122+1)*(B134-B$122))^2+0.255*(1/(B$122+1)*(B134-B$122))+1))*G$73+IF(B134&gt;-3.1,(-B134-3.1)/(-B$122-3.1),0)*G$85</f>
        <v>247.686364153541</v>
      </c>
      <c r="D134" s="60" t="n">
        <f aca="false">(C134-C133)/(E134-E133)</f>
        <v>0.00140237445170641</v>
      </c>
      <c r="E134" s="57" t="n">
        <f aca="false">IF(D134=0,(8314.4621*C133*LN(H134/H133)/(-G$70*9.80665*G$74)),C133/D134*(1/(H134/H133)^(8314.4621*D134/(G$70*9.80665*G$74))-1))+E133</f>
        <v>78921.6278984818</v>
      </c>
      <c r="F134" s="57" t="n">
        <f aca="false">F$38*E134/(F$38-E134)</f>
        <v>79468.5304765554</v>
      </c>
      <c r="G134" s="57" t="n">
        <f aca="false">8314.4621*C134/(G$74*G$70*9.80665)</f>
        <v>12588.4981500114</v>
      </c>
      <c r="H134" s="60" t="n">
        <f aca="false">10^B134*101325</f>
        <v>159.08025</v>
      </c>
      <c r="I134" s="60" t="n">
        <f aca="false">H134/(8314.4621/G$74*C134)</f>
        <v>0.00219452245445179</v>
      </c>
      <c r="J134" s="57" t="n">
        <f aca="false">SQRT(8314.4621/G$74*G$76*C134)</f>
        <v>318.927788229707</v>
      </c>
      <c r="K134" s="57" t="n">
        <f aca="false">IF(F$20&gt;0,SQRT(2*G$69/(F$20+N134)),10000)</f>
        <v>3550.30567513859</v>
      </c>
      <c r="L134" s="60" t="n">
        <f aca="false">I134*K134^2/2</f>
        <v>13830.6160975312</v>
      </c>
      <c r="M134" s="60" t="n">
        <f aca="false">I134*K134^3/2</f>
        <v>49102914.8217282</v>
      </c>
      <c r="N134" s="57" t="n">
        <f aca="false">F134*IF(G$100&gt;0,G$100,0.5)</f>
        <v>54826.3815920396</v>
      </c>
      <c r="O134" s="57" t="n">
        <f aca="false">C134-P134*(G$87+(G$86-G$87)*COS(RADIANS(38)))/2</f>
        <v>245.690402587213</v>
      </c>
      <c r="P134" s="82" t="n">
        <f aca="false">IF(B134&lt;R$160,0.2,IF(B134&lt;-4,-0.8*((B134+4)/(R$160+4))^3+1.2*((B134+4)/(R$160+4))^2-0.2,IF(B134&lt;-2.5,-0.3555555556*B134^3-3.466666667*B134^2-10.66666667*B134-10.15555556,IF(B134&lt;-1,0.4148148148*B134^3+2.177777778*B134^2+3.111111111*B134+1.048148148,0))))+IF(B134&lt;-1,0,-1.6*(B134/(B$122+1)-B$122/(B$122+1))^3-1.9*(B134/(B$122+1)-B$122/(B$122+1))^2+1*(B134/(B$122+1)-B$122/(B$122+1))+1)</f>
        <v>0.336017424129949</v>
      </c>
      <c r="Q134" s="9" t="str">
        <f aca="false">IF(L134&gt;L$116,"|",IF(L133&gt;L$116,"V",""))</f>
        <v>|</v>
      </c>
      <c r="R134" s="1" t="n">
        <f aca="false">IF(Q134="V",B134,0)</f>
        <v>0</v>
      </c>
    </row>
    <row r="135" customFormat="false" ht="15.75" hidden="false" customHeight="false" outlineLevel="0" collapsed="false">
      <c r="B135" s="58" t="n">
        <f aca="false">B134-0.25</f>
        <v>-3.05410034759077</v>
      </c>
      <c r="C135" s="61" t="n">
        <f aca="false">IF(B135&lt;-7.5,(0.07688888889*B135^3+1.880666667*B135^2+14.87*B135+38.351)*(G$84-0.74*G$73)+0.74*G$73,IF(B135&lt;-6,(-0.05792592593*B135^3-1.051333333*B135^2-6.36*B135-12.824)*(G$84-0.74*G$73)+0.74*G$73,0))+IF(B135&lt;-6,0,IF(B135&lt;-4.5,-0.008888888889*B135^3-0.1033333333*B135^2-0.28*B135+0.86,IF(B135&lt;-3.5,-0.015*B135^3-0.14*B135^2-0.23875*B135+1.23125,IF(B135&lt;-3.1,-0.84375*B135^3-8.590625*B135^2-28.9365625*B135-31.22359375,IF(B135&lt;-2.5,0.3425925926*B135^3+2.702777778*B135^2+6.880277778*B135+6.621342593,IF(B135&lt;-1.5,-0.005*B135^3+0.0075*B135^2-0.07875*B135+0.638125,IF(B135&lt;-1,0.26*B135^3+1.11*B135^2+1.44*B135+1.33,0)))))))*G$73+IF(B135&lt;-1,0,IF((1/(B$122+1)*(B135-B$122))&lt;-0.5,0.32*(1/(B$122+1)*(B135-B$122))^3+1.12*(1/(B$122+1)*(B135-B$122))^2+1.28*(1/(B$122+1)*(B135-B$122))+1.22,-0.26*(1/(B$122+1)*(B135-B$122))^3-0.34*(1/(B$122+1)*(B135-B$122))^2+0.255*(1/(B$122+1)*(B135-B$122))+1))*G$73+IF(B135&gt;-3.1,(-B135-3.1)/(-B$122-3.1),0)*G$85</f>
        <v>252.304733334415</v>
      </c>
      <c r="D135" s="60" t="n">
        <f aca="false">(C135-C134)/(E135-E134)</f>
        <v>0.00063237327839562</v>
      </c>
      <c r="E135" s="57" t="n">
        <f aca="false">IF(D135=0,(8314.4621*C134*LN(H135/H134)/(-G$70*9.80665*G$74)),C134/D135*(1/(H135/H134)^(8314.4621*D135/(G$70*9.80665*G$74))-1))+E134</f>
        <v>86235.6001245916</v>
      </c>
      <c r="F135" s="57" t="n">
        <f aca="false">F$38*E135/(F$38-E135)</f>
        <v>86888.9865015416</v>
      </c>
      <c r="G135" s="57" t="n">
        <f aca="false">8314.4621*C135/(G$74*G$70*9.80665)</f>
        <v>12823.2237558726</v>
      </c>
      <c r="H135" s="60" t="n">
        <f aca="false">10^B135*101325</f>
        <v>89.4573985966121</v>
      </c>
      <c r="I135" s="60" t="n">
        <f aca="false">H135/(8314.4621/G$74*C135)</f>
        <v>0.00121148133898027</v>
      </c>
      <c r="J135" s="57" t="n">
        <f aca="false">SQRT(8314.4621/G$74*G$76*C135)</f>
        <v>321.887425288421</v>
      </c>
      <c r="K135" s="57" t="n">
        <f aca="false">IF(F$20&gt;0,SQRT(2*G$69/(F$20+N135)),10000)</f>
        <v>3542.76669839107</v>
      </c>
      <c r="L135" s="60" t="n">
        <f aca="false">I135*K135^2/2</f>
        <v>7602.76979478589</v>
      </c>
      <c r="M135" s="60" t="n">
        <f aca="false">I135*K135^3/2</f>
        <v>26934839.644501</v>
      </c>
      <c r="N135" s="57" t="n">
        <f aca="false">F135*IF(G$100&gt;0,G$100,0.5)</f>
        <v>59945.8515403718</v>
      </c>
      <c r="O135" s="57" t="n">
        <f aca="false">C135-P135*(G$87+(G$86-G$87)*COS(RADIANS(38)))/2</f>
        <v>251.028413364695</v>
      </c>
      <c r="P135" s="82" t="n">
        <f aca="false">IF(B135&lt;R$160,0.2,IF(B135&lt;-4,-0.8*((B135+4)/(R$160+4))^3+1.2*((B135+4)/(R$160+4))^2-0.2,IF(B135&lt;-2.5,-0.3555555556*B135^3-3.466666667*B135^2-10.66666667*B135-10.15555556,IF(B135&lt;-1,0.4148148148*B135^3+2.177777778*B135^2+3.111111111*B135+1.048148148,0))))+IF(B135&lt;-1,0,-1.6*(B135/(B$122+1)-B$122/(B$122+1))^3-1.9*(B135/(B$122+1)-B$122/(B$122+1))^2+1*(B135/(B$122+1)-B$122/(B$122+1))+1)</f>
        <v>0.214866736827847</v>
      </c>
      <c r="Q135" s="9" t="str">
        <f aca="false">IF(L135&gt;L$116,"|",IF(L134&gt;L$116,"V",""))</f>
        <v>|</v>
      </c>
      <c r="R135" s="1" t="n">
        <f aca="false">IF(Q135="V",B135,0)</f>
        <v>0</v>
      </c>
    </row>
    <row r="136" s="1" customFormat="true" ht="15.75" hidden="false" customHeight="false" outlineLevel="0" collapsed="false">
      <c r="B136" s="58" t="n">
        <f aca="false">B135-0.25</f>
        <v>-3.30410034759077</v>
      </c>
      <c r="C136" s="61" t="n">
        <f aca="false">IF(B136&lt;-7.5,(0.07688888889*B136^3+1.880666667*B136^2+14.87*B136+38.351)*(G$84-0.74*G$73)+0.74*G$73,IF(B136&lt;-6,(-0.05792592593*B136^3-1.051333333*B136^2-6.36*B136-12.824)*(G$84-0.74*G$73)+0.74*G$73,0))+IF(B136&lt;-6,0,IF(B136&lt;-4.5,-0.008888888889*B136^3-0.1033333333*B136^2-0.28*B136+0.86,IF(B136&lt;-3.5,-0.015*B136^3-0.14*B136^2-0.23875*B136+1.23125,IF(B136&lt;-3.1,-0.84375*B136^3-8.590625*B136^2-28.9365625*B136-31.22359375,IF(B136&lt;-2.5,0.3425925926*B136^3+2.702777778*B136^2+6.880277778*B136+6.621342593,IF(B136&lt;-1.5,-0.005*B136^3+0.0075*B136^2-0.07875*B136+0.638125,IF(B136&lt;-1,0.26*B136^3+1.11*B136^2+1.44*B136+1.33,0)))))))*G$73+IF(B136&lt;-1,0,IF((1/(B$122+1)*(B136-B$122))&lt;-0.5,0.32*(1/(B$122+1)*(B136-B$122))^3+1.12*(1/(B$122+1)*(B136-B$122))^2+1.28*(1/(B$122+1)*(B136-B$122))+1.22,-0.26*(1/(B$122+1)*(B136-B$122))^3-0.34*(1/(B$122+1)*(B136-B$122))^2+0.255*(1/(B$122+1)*(B136-B$122))+1))*G$73+IF(B136&gt;-3.1,(-B136-3.1)/(-B$122-3.1),0)*G$85</f>
        <v>246.310780723313</v>
      </c>
      <c r="D136" s="60" t="n">
        <f aca="false">(C136-C135)/(E136-E135)</f>
        <v>-0.000822952273496545</v>
      </c>
      <c r="E136" s="57" t="n">
        <f aca="false">IF(D136=0,(8314.4621*C135*LN(H136/H135)/(-G$70*9.80665*G$74)),C135/D136*(1/(H136/H135)^(8314.4621*D136/(G$70*9.80665*G$74))-1))+E135</f>
        <v>93529.0861665656</v>
      </c>
      <c r="F136" s="57" t="n">
        <f aca="false">F$38*E136/(F$38-E136)</f>
        <v>94298.1611211867</v>
      </c>
      <c r="G136" s="57" t="n">
        <f aca="false">8314.4621*C136/(G$74*G$70*9.80665)</f>
        <v>12518.5850180318</v>
      </c>
      <c r="H136" s="60" t="n">
        <f aca="false">10^B136*101325</f>
        <v>50.3055920749001</v>
      </c>
      <c r="I136" s="60" t="n">
        <f aca="false">H136/(8314.4621/G$74*C136)</f>
        <v>0.000697844574265993</v>
      </c>
      <c r="J136" s="57" t="n">
        <f aca="false">SQRT(8314.4621/G$74*G$76*C136)</f>
        <v>318.04093561355</v>
      </c>
      <c r="K136" s="57" t="n">
        <f aca="false">IF(F$20&gt;0,SQRT(2*G$69/(F$20+N136)),10000)</f>
        <v>3535.28689785225</v>
      </c>
      <c r="L136" s="60" t="n">
        <f aca="false">I136*K136^2/2</f>
        <v>4360.91917898576</v>
      </c>
      <c r="M136" s="60" t="n">
        <f aca="false">I136*K136^3/2</f>
        <v>15417100.436061</v>
      </c>
      <c r="N136" s="57" t="n">
        <f aca="false">F136*IF(G$100&gt;0,G$100,0.5)</f>
        <v>65057.538299177</v>
      </c>
      <c r="O136" s="57" t="n">
        <f aca="false">C136-P136*(G$87+(G$86-G$87)*COS(RADIANS(38)))/2</f>
        <v>245.909256279274</v>
      </c>
      <c r="P136" s="82" t="n">
        <f aca="false">IF(B136&lt;R$160,0.2,IF(B136&lt;-4,-0.8*((B136+4)/(R$160+4))^3+1.2*((B136+4)/(R$160+4))^2-0.2,IF(B136&lt;-2.5,-0.3555555556*B136^3-3.466666667*B136^2-10.66666667*B136-10.15555556,IF(B136&lt;-1,0.4148148148*B136^3+2.177777778*B136^2+3.111111111*B136+1.048148148,0))))+IF(B136&lt;-1,0,-1.6*(B136/(B$122+1)-B$122/(B$122+1))^3-1.9*(B136/(B$122+1)-B$122/(B$122+1))^2+1*(B136/(B$122+1)-B$122/(B$122+1))+1)</f>
        <v>0.0675960958804112</v>
      </c>
      <c r="Q136" s="9" t="str">
        <f aca="false">IF(L136&gt;L$116,"|",IF(L135&gt;L$116,"V",""))</f>
        <v>|</v>
      </c>
      <c r="R136" s="1" t="n">
        <f aca="false">IF(Q136="V",B136,0)</f>
        <v>0</v>
      </c>
    </row>
    <row r="137" s="1" customFormat="true" ht="15.75" hidden="false" customHeight="false" outlineLevel="0" collapsed="false">
      <c r="B137" s="58" t="n">
        <f aca="false">B136-0.25</f>
        <v>-3.55410034759077</v>
      </c>
      <c r="C137" s="61" t="n">
        <f aca="false">IF(B137&lt;-7.5,(0.07688888889*B137^3+1.880666667*B137^2+14.87*B137+38.351)*(G$84-0.74*G$73)+0.74*G$73,IF(B137&lt;-6,(-0.05792592593*B137^3-1.051333333*B137^2-6.36*B137-12.824)*(G$84-0.74*G$73)+0.74*G$73,0))+IF(B137&lt;-6,0,IF(B137&lt;-4.5,-0.008888888889*B137^3-0.1033333333*B137^2-0.28*B137+0.86,IF(B137&lt;-3.5,-0.015*B137^3-0.14*B137^2-0.23875*B137+1.23125,IF(B137&lt;-3.1,-0.84375*B137^3-8.590625*B137^2-28.9365625*B137-31.22359375,IF(B137&lt;-2.5,0.3425925926*B137^3+2.702777778*B137^2+6.880277778*B137+6.621342593,IF(B137&lt;-1.5,-0.005*B137^3+0.0075*B137^2-0.07875*B137+0.638125,IF(B137&lt;-1,0.26*B137^3+1.11*B137^2+1.44*B137+1.33,0)))))))*G$73+IF(B137&lt;-1,0,IF((1/(B$122+1)*(B137-B$122))&lt;-0.5,0.32*(1/(B$122+1)*(B137-B$122))^3+1.12*(1/(B$122+1)*(B137-B$122))^2+1.28*(1/(B$122+1)*(B137-B$122))+1.22,-0.26*(1/(B$122+1)*(B137-B$122))^3-0.34*(1/(B$122+1)*(B137-B$122))^2+0.255*(1/(B$122+1)*(B137-B$122))+1))*G$73+IF(B137&gt;-3.1,(-B137-3.1)/(-B$122-3.1),0)*G$85</f>
        <v>234.088595638046</v>
      </c>
      <c r="D137" s="60" t="n">
        <f aca="false">(C137-C136)/(E137-E136)</f>
        <v>-0.00174237610330932</v>
      </c>
      <c r="E137" s="57" t="n">
        <f aca="false">IF(D137=0,(8314.4621*C136*LN(H137/H136)/(-G$70*9.80665*G$74)),C136/D137*(1/(H137/H136)^(8314.4621*D137/(G$70*9.80665*G$74))-1))+E136</f>
        <v>100554.769503906</v>
      </c>
      <c r="F137" s="57" t="n">
        <f aca="false">F$38*E137/(F$38-E137)</f>
        <v>101444.275692941</v>
      </c>
      <c r="G137" s="57" t="n">
        <f aca="false">8314.4621*C137/(G$74*G$70*9.80665)</f>
        <v>11897.400420887</v>
      </c>
      <c r="H137" s="60" t="n">
        <f aca="false">10^B137*101325</f>
        <v>28.2889133118844</v>
      </c>
      <c r="I137" s="60" t="n">
        <f aca="false">H137/(8314.4621/G$74*C137)</f>
        <v>0.00041291615138825</v>
      </c>
      <c r="J137" s="57" t="n">
        <f aca="false">SQRT(8314.4621/G$74*G$76*C137)</f>
        <v>310.049788973715</v>
      </c>
      <c r="K137" s="57" t="n">
        <f aca="false">IF(F$20&gt;0,SQRT(2*G$69/(F$20+N137)),10000)</f>
        <v>3528.11736457061</v>
      </c>
      <c r="L137" s="60" t="n">
        <f aca="false">I137*K137^2/2</f>
        <v>2569.91004903644</v>
      </c>
      <c r="M137" s="60" t="n">
        <f aca="false">I137*K137^3/2</f>
        <v>9066944.26938998</v>
      </c>
      <c r="N137" s="57" t="n">
        <f aca="false">F137*IF(G$100&gt;0,G$100,0.5)</f>
        <v>69987.7364802924</v>
      </c>
      <c r="O137" s="57" t="n">
        <f aca="false">C137-P137*(G$87+(G$86-G$87)*COS(RADIANS(38)))/2</f>
        <v>234.519018856467</v>
      </c>
      <c r="P137" s="82" t="n">
        <f aca="false">IF(B137&lt;R$160,0.2,IF(B137&lt;-4,-0.8*((B137+4)/(R$160+4))^3+1.2*((B137+4)/(R$160+4))^2-0.2,IF(B137&lt;-2.5,-0.3555555556*B137^3-3.466666667*B137^2-10.66666667*B137-10.15555556,IF(B137&lt;-1,0.4148148148*B137^3+2.177777778*B137^2+3.111111111*B137+1.048148148,0))))+IF(B137&lt;-1,0,-1.6*(B137/(B$122+1)-B$122/(B$122+1))^3-1.9*(B137/(B$122+1)-B$122/(B$122+1))^2+1*(B137/(B$122+1)-B$122/(B$122+1))+1)</f>
        <v>-0.0724611653748504</v>
      </c>
      <c r="Q137" s="9" t="str">
        <f aca="false">IF(L137&gt;L$116,"|",IF(L136&gt;L$116,"V",""))</f>
        <v>|</v>
      </c>
      <c r="R137" s="1" t="n">
        <f aca="false">IF(Q137="V",B137,0)</f>
        <v>0</v>
      </c>
    </row>
    <row r="138" s="1" customFormat="true" ht="15.75" hidden="false" customHeight="false" outlineLevel="0" collapsed="false">
      <c r="B138" s="58" t="n">
        <f aca="false">B137-0.25</f>
        <v>-3.80410034759077</v>
      </c>
      <c r="C138" s="61" t="n">
        <f aca="false">IF(B138&lt;-7.5,(0.07688888889*B138^3+1.880666667*B138^2+14.87*B138+38.351)*(G$84-0.74*G$73)+0.74*G$73,IF(B138&lt;-6,(-0.05792592593*B138^3-1.051333333*B138^2-6.36*B138-12.824)*(G$84-0.74*G$73)+0.74*G$73,0))+IF(B138&lt;-6,0,IF(B138&lt;-4.5,-0.008888888889*B138^3-0.1033333333*B138^2-0.28*B138+0.86,IF(B138&lt;-3.5,-0.015*B138^3-0.14*B138^2-0.23875*B138+1.23125,IF(B138&lt;-3.1,-0.84375*B138^3-8.590625*B138^2-28.9365625*B138-31.22359375,IF(B138&lt;-2.5,0.3425925926*B138^3+2.702777778*B138^2+6.880277778*B138+6.621342593,IF(B138&lt;-1.5,-0.005*B138^3+0.0075*B138^2-0.07875*B138+0.638125,IF(B138&lt;-1,0.26*B138^3+1.11*B138^2+1.44*B138+1.33,0)))))))*G$73+IF(B138&lt;-1,0,IF((1/(B$122+1)*(B138-B$122))&lt;-0.5,0.32*(1/(B$122+1)*(B138-B$122))^3+1.12*(1/(B$122+1)*(B138-B$122))^2+1.28*(1/(B$122+1)*(B138-B$122))+1.22,-0.26*(1/(B$122+1)*(B138-B$122))^3-0.34*(1/(B$122+1)*(B138-B$122))^2+0.255*(1/(B$122+1)*(B138-B$122))+1))*G$73+IF(B138&gt;-3.1,(-B138-3.1)/(-B$122-3.1),0)*G$85</f>
        <v>223.269702025931</v>
      </c>
      <c r="D138" s="60" t="n">
        <f aca="false">(C138-C137)/(E138-E137)</f>
        <v>-0.00162099591526952</v>
      </c>
      <c r="E138" s="57" t="n">
        <f aca="false">IF(D138=0,(8314.4621*C137*LN(H138/H137)/(-G$70*9.80665*G$74)),C137/D138*(1/(H138/H137)^(8314.4621*D138/(G$70*9.80665*G$74))-1))+E137</f>
        <v>107243.600411141</v>
      </c>
      <c r="F138" s="57" t="n">
        <f aca="false">F$38*E138/(F$38-E138)</f>
        <v>108255.976834735</v>
      </c>
      <c r="G138" s="57" t="n">
        <f aca="false">8314.4621*C138/(G$74*G$70*9.80665)</f>
        <v>11347.5371989583</v>
      </c>
      <c r="H138" s="60" t="n">
        <f aca="false">10^B138*101325</f>
        <v>15.908025</v>
      </c>
      <c r="I138" s="60" t="n">
        <f aca="false">H138/(8314.4621/G$74*C138)</f>
        <v>0.000243451432444399</v>
      </c>
      <c r="J138" s="57" t="n">
        <f aca="false">SQRT(8314.4621/G$74*G$76*C138)</f>
        <v>302.800235351958</v>
      </c>
      <c r="K138" s="57" t="n">
        <f aca="false">IF(F$20&gt;0,SQRT(2*G$69/(F$20+N138)),10000)</f>
        <v>3521.32378818297</v>
      </c>
      <c r="L138" s="60" t="n">
        <f aca="false">I138*K138^2/2</f>
        <v>1509.36494660901</v>
      </c>
      <c r="M138" s="60" t="n">
        <f aca="false">I138*K138^3/2</f>
        <v>5314962.69154381</v>
      </c>
      <c r="N138" s="57" t="n">
        <f aca="false">F138*IF(G$100&gt;0,G$100,0.5)</f>
        <v>74687.2184494614</v>
      </c>
      <c r="O138" s="57" t="n">
        <f aca="false">C138-P138*(G$87+(G$86-G$87)*COS(RADIANS(38)))/2</f>
        <v>224.291223251298</v>
      </c>
      <c r="P138" s="82" t="n">
        <f aca="false">IF(B138&lt;R$160,0.2,IF(B138&lt;-4,-0.8*((B138+4)/(R$160+4))^3+1.2*((B138+4)/(R$160+4))^2-0.2,IF(B138&lt;-2.5,-0.3555555556*B138^3-3.466666667*B138^2-10.66666667*B138-10.15555556,IF(B138&lt;-1,0.4148148148*B138^3+2.177777778*B138^2+3.111111111*B138+1.048148148,0))))+IF(B138&lt;-1,0,-1.6*(B138/(B$122+1)-B$122/(B$122+1))^3-1.9*(B138/(B$122+1)-B$122/(B$122+1))^2+1*(B138/(B$122+1)-B$122/(B$122+1))+1)</f>
        <v>-0.171971713600435</v>
      </c>
      <c r="Q138" s="9" t="str">
        <f aca="false">IF(L138&gt;L$116,"|",IF(L137&gt;L$116,"V",""))</f>
        <v>|</v>
      </c>
      <c r="R138" s="1" t="n">
        <f aca="false">IF(Q138="V",B138,0)</f>
        <v>0</v>
      </c>
    </row>
    <row r="139" s="1" customFormat="true" ht="15.75" hidden="false" customHeight="false" outlineLevel="0" collapsed="false">
      <c r="B139" s="58" t="n">
        <f aca="false">B138-0.25</f>
        <v>-4.05410034759077</v>
      </c>
      <c r="C139" s="61" t="n">
        <f aca="false">IF(B139&lt;-7.5,(0.07688888889*B139^3+1.880666667*B139^2+14.87*B139+38.351)*(G$84-0.74*G$73)+0.74*G$73,IF(B139&lt;-6,(-0.05792592593*B139^3-1.051333333*B139^2-6.36*B139-12.824)*(G$84-0.74*G$73)+0.74*G$73,0))+IF(B139&lt;-6,0,IF(B139&lt;-4.5,-0.008888888889*B139^3-0.1033333333*B139^2-0.28*B139+0.86,IF(B139&lt;-3.5,-0.015*B139^3-0.14*B139^2-0.23875*B139+1.23125,IF(B139&lt;-3.1,-0.84375*B139^3-8.590625*B139^2-28.9365625*B139-31.22359375,IF(B139&lt;-2.5,0.3425925926*B139^3+2.702777778*B139^2+6.880277778*B139+6.621342593,IF(B139&lt;-1.5,-0.005*B139^3+0.0075*B139^2-0.07875*B139+0.638125,IF(B139&lt;-1,0.26*B139^3+1.11*B139^2+1.44*B139+1.33,0)))))))*G$73+IF(B139&lt;-1,0,IF((1/(B$122+1)*(B139-B$122))&lt;-0.5,0.32*(1/(B$122+1)*(B139-B$122))^3+1.12*(1/(B$122+1)*(B139-B$122))^2+1.28*(1/(B$122+1)*(B139-B$122))+1.22,-0.26*(1/(B$122+1)*(B139-B$122))^3-0.34*(1/(B$122+1)*(B139-B$122))^2+0.255*(1/(B$122+1)*(B139-B$122))+1))*G$73+IF(B139&gt;-3.1,(-B139-3.1)/(-B$122-3.1),0)*G$85</f>
        <v>213.377408774817</v>
      </c>
      <c r="D139" s="60" t="n">
        <f aca="false">(C139-C138)/(E139-E138)</f>
        <v>-0.00154977829644974</v>
      </c>
      <c r="E139" s="57" t="n">
        <f aca="false">IF(D139=0,(8314.4621*C138*LN(H139/H138)/(-G$70*9.80665*G$74)),C138/D139*(1/(H139/H138)^(8314.4621*D139/(G$70*9.80665*G$74))-1))+E138</f>
        <v>113629.891425423</v>
      </c>
      <c r="F139" s="57" t="n">
        <f aca="false">F$38*E139/(F$38-E139)</f>
        <v>114767.069923414</v>
      </c>
      <c r="G139" s="57" t="n">
        <f aca="false">8314.4621*C139/(G$74*G$70*9.80665)</f>
        <v>10844.7678369202</v>
      </c>
      <c r="H139" s="60" t="n">
        <f aca="false">10^B139*101325</f>
        <v>8.94573985966121</v>
      </c>
      <c r="I139" s="60" t="n">
        <f aca="false">H139/(8314.4621/G$74*C139)</f>
        <v>0.000143249689798985</v>
      </c>
      <c r="J139" s="57" t="n">
        <f aca="false">SQRT(8314.4621/G$74*G$76*C139)</f>
        <v>296.01623488214</v>
      </c>
      <c r="K139" s="57" t="n">
        <f aca="false">IF(F$20&gt;0,SQRT(2*G$69/(F$20+N139)),10000)</f>
        <v>3514.86656897661</v>
      </c>
      <c r="L139" s="60" t="n">
        <f aca="false">I139*K139^2/2</f>
        <v>884.873890054753</v>
      </c>
      <c r="M139" s="60" t="n">
        <f aca="false">I139*K139^3/2</f>
        <v>3110213.65391374</v>
      </c>
      <c r="N139" s="57" t="n">
        <f aca="false">F139*IF(G$100&gt;0,G$100,0.5)</f>
        <v>79179.3069796062</v>
      </c>
      <c r="O139" s="57" t="n">
        <f aca="false">C139-P139*(G$87+(G$86-G$87)*COS(RADIANS(38)))/2</f>
        <v>214.556981987322</v>
      </c>
      <c r="P139" s="82" t="n">
        <f aca="false">IF(B139&lt;R$160,0.2,IF(B139&lt;-4,-0.8*((B139+4)/(R$160+4))^3+1.2*((B139+4)/(R$160+4))^2-0.2,IF(B139&lt;-2.5,-0.3555555556*B139^3-3.466666667*B139^2-10.66666667*B139-10.15555556,IF(B139&lt;-1,0.4148148148*B139^3+2.177777778*B139^2+3.111111111*B139+1.048148148,0))))+IF(B139&lt;-1,0,-1.6*(B139/(B$122+1)-B$122/(B$122+1))^3-1.9*(B139/(B$122+1)-B$122/(B$122+1))^2+1*(B139/(B$122+1)-B$122/(B$122+1))+1)</f>
        <v>-0.198579551392655</v>
      </c>
      <c r="Q139" s="9" t="str">
        <f aca="false">IF(L139&gt;L$116,"|",IF(L138&gt;L$116,"V",""))</f>
        <v>|</v>
      </c>
      <c r="R139" s="1" t="n">
        <f aca="false">IF(Q139="V",B139,0)</f>
        <v>0</v>
      </c>
    </row>
    <row r="140" s="1" customFormat="true" ht="15.75" hidden="false" customHeight="false" outlineLevel="0" collapsed="false">
      <c r="B140" s="58" t="n">
        <f aca="false">B139-0.25</f>
        <v>-4.30410034759077</v>
      </c>
      <c r="C140" s="61" t="n">
        <f aca="false">IF(B140&lt;-7.5,(0.07688888889*B140^3+1.880666667*B140^2+14.87*B140+38.351)*(G$84-0.74*G$73)+0.74*G$73,IF(B140&lt;-6,(-0.05792592593*B140^3-1.051333333*B140^2-6.36*B140-12.824)*(G$84-0.74*G$73)+0.74*G$73,0))+IF(B140&lt;-6,0,IF(B140&lt;-4.5,-0.008888888889*B140^3-0.1033333333*B140^2-0.28*B140+0.86,IF(B140&lt;-3.5,-0.015*B140^3-0.14*B140^2-0.23875*B140+1.23125,IF(B140&lt;-3.1,-0.84375*B140^3-8.590625*B140^2-28.9365625*B140-31.22359375,IF(B140&lt;-2.5,0.3425925926*B140^3+2.702777778*B140^2+6.880277778*B140+6.621342593,IF(B140&lt;-1.5,-0.005*B140^3+0.0075*B140^2-0.07875*B140+0.638125,IF(B140&lt;-1,0.26*B140^3+1.11*B140^2+1.44*B140+1.33,0)))))))*G$73+IF(B140&lt;-1,0,IF((1/(B$122+1)*(B140-B$122))&lt;-0.5,0.32*(1/(B$122+1)*(B140-B$122))^3+1.12*(1/(B$122+1)*(B140-B$122))^2+1.28*(1/(B$122+1)*(B140-B$122))+1.22,-0.26*(1/(B$122+1)*(B140-B$122))^3-0.34*(1/(B$122+1)*(B140-B$122))^2+0.255*(1/(B$122+1)*(B140-B$122))+1))*G$73+IF(B140&gt;-3.1,(-B140-3.1)/(-B$122-3.1),0)*G$85</f>
        <v>204.745992491118</v>
      </c>
      <c r="D140" s="60" t="n">
        <f aca="false">(C140-C139)/(E140-E139)</f>
        <v>-0.0014121893866897</v>
      </c>
      <c r="E140" s="57" t="n">
        <f aca="false">IF(D140=0,(8314.4621*C139*LN(H140/H139)/(-G$70*9.80665*G$74)),C139/D140*(1/(H140/H139)^(8314.4621*D140/(G$70*9.80665*G$74))-1))+E139</f>
        <v>119745.436127929</v>
      </c>
      <c r="F140" s="57" t="n">
        <f aca="false">F$38*E140/(F$38-E140)</f>
        <v>121008.994695259</v>
      </c>
      <c r="G140" s="57" t="n">
        <f aca="false">8314.4621*C140/(G$74*G$70*9.80665)</f>
        <v>10406.0817255928</v>
      </c>
      <c r="H140" s="60" t="n">
        <f aca="false">10^B140*101325</f>
        <v>5.03055920749001</v>
      </c>
      <c r="I140" s="60" t="n">
        <f aca="false">H140/(8314.4621/G$74*C140)</f>
        <v>8.39511630091815E-005</v>
      </c>
      <c r="J140" s="57" t="n">
        <f aca="false">SQRT(8314.4621/G$74*G$76*C140)</f>
        <v>289.967294875708</v>
      </c>
      <c r="K140" s="57" t="n">
        <f aca="false">IF(F$20&gt;0,SQRT(2*G$69/(F$20+N140)),10000)</f>
        <v>3508.7095236011</v>
      </c>
      <c r="L140" s="60" t="n">
        <f aca="false">I140*K140^2/2</f>
        <v>516.763168747097</v>
      </c>
      <c r="M140" s="60" t="n">
        <f aca="false">I140*K140^3/2</f>
        <v>1813171.85162922</v>
      </c>
      <c r="N140" s="57" t="n">
        <f aca="false">F140*IF(G$100&gt;0,G$100,0.5)</f>
        <v>83485.6927571935</v>
      </c>
      <c r="O140" s="57" t="n">
        <f aca="false">C140-P140*(G$87+(G$86-G$87)*COS(RADIANS(38)))/2</f>
        <v>205.696679319894</v>
      </c>
      <c r="P140" s="82" t="n">
        <f aca="false">IF(B140&lt;R$160,0.2,IF(B140&lt;-4,-0.8*((B140+4)/(R$160+4))^3+1.2*((B140+4)/(R$160+4))^2-0.2,IF(B140&lt;-2.5,-0.3555555556*B140^3-3.466666667*B140^2-10.66666667*B140-10.15555556,IF(B140&lt;-1,0.4148148148*B140^3+2.177777778*B140^2+3.111111111*B140+1.048148148,0))))+IF(B140&lt;-1,0,-1.6*(B140/(B$122+1)-B$122/(B$122+1))^3-1.9*(B140/(B$122+1)-B$122/(B$122+1))^2+1*(B140/(B$122+1)-B$122/(B$122+1))+1)</f>
        <v>-0.16004683895162</v>
      </c>
      <c r="Q140" s="9" t="str">
        <f aca="false">IF(L140&gt;L$116,"|",IF(L139&gt;L$116,"V",""))</f>
        <v>|</v>
      </c>
      <c r="R140" s="1" t="n">
        <f aca="false">IF(Q140="V",B140,0)</f>
        <v>0</v>
      </c>
    </row>
    <row r="141" s="1" customFormat="true" ht="15.75" hidden="false" customHeight="false" outlineLevel="0" collapsed="false">
      <c r="B141" s="58" t="n">
        <f aca="false">B140-0.25</f>
        <v>-4.55410034759077</v>
      </c>
      <c r="C141" s="61" t="n">
        <f aca="false">IF(B141&lt;-7.5,(0.07688888889*B141^3+1.880666667*B141^2+14.87*B141+38.351)*(G$84-0.74*G$73)+0.74*G$73,IF(B141&lt;-6,(-0.05792592593*B141^3-1.051333333*B141^2-6.36*B141-12.824)*(G$84-0.74*G$73)+0.74*G$73,0))+IF(B141&lt;-6,0,IF(B141&lt;-4.5,-0.008888888889*B141^3-0.1033333333*B141^2-0.28*B141+0.86,IF(B141&lt;-3.5,-0.015*B141^3-0.14*B141^2-0.23875*B141+1.23125,IF(B141&lt;-3.1,-0.84375*B141^3-8.590625*B141^2-28.9365625*B141-31.22359375,IF(B141&lt;-2.5,0.3425925926*B141^3+2.702777778*B141^2+6.880277778*B141+6.621342593,IF(B141&lt;-1.5,-0.005*B141^3+0.0075*B141^2-0.07875*B141+0.638125,IF(B141&lt;-1,0.26*B141^3+1.11*B141^2+1.44*B141+1.33,0)))))))*G$73+IF(B141&lt;-1,0,IF((1/(B$122+1)*(B141-B$122))&lt;-0.5,0.32*(1/(B$122+1)*(B141-B$122))^3+1.12*(1/(B$122+1)*(B141-B$122))^2+1.28*(1/(B$122+1)*(B141-B$122))+1.22,-0.26*(1/(B$122+1)*(B141-B$122))^3-0.34*(1/(B$122+1)*(B141-B$122))^2+0.255*(1/(B$122+1)*(B141-B$122))+1))*G$73+IF(B141&gt;-3.1,(-B141-3.1)/(-B$122-3.1),0)*G$85</f>
        <v>197.677612096287</v>
      </c>
      <c r="D141" s="60" t="n">
        <f aca="false">(C141-C140)/(E141-E140)</f>
        <v>-0.00120150611816775</v>
      </c>
      <c r="E141" s="57" t="n">
        <f aca="false">IF(D141=0,(8314.4621*C140*LN(H141/H140)/(-G$70*9.80665*G$74)),C140/D141*(1/(H141/H140)^(8314.4621*D141/(G$70*9.80665*G$74))-1))+E140</f>
        <v>125631.596210515</v>
      </c>
      <c r="F141" s="57" t="n">
        <f aca="false">F$38*E141/(F$38-E141)</f>
        <v>127023.15165722</v>
      </c>
      <c r="G141" s="57" t="n">
        <f aca="false">8314.4621*C141/(G$74*G$70*9.80665)</f>
        <v>10046.8358953753</v>
      </c>
      <c r="H141" s="60" t="n">
        <f aca="false">10^B141*101325</f>
        <v>2.82889133118845</v>
      </c>
      <c r="I141" s="60" t="n">
        <f aca="false">H141/(8314.4621/G$74*C141)</f>
        <v>4.8897273176115E-005</v>
      </c>
      <c r="J141" s="57" t="n">
        <f aca="false">SQRT(8314.4621/G$74*G$76*C141)</f>
        <v>284.918110211153</v>
      </c>
      <c r="K141" s="57" t="n">
        <f aca="false">IF(F$20&gt;0,SQRT(2*G$69/(F$20+N141)),10000)</f>
        <v>3502.80765188239</v>
      </c>
      <c r="L141" s="60" t="n">
        <f aca="false">I141*K141^2/2</f>
        <v>299.976493753852</v>
      </c>
      <c r="M141" s="60" t="n">
        <f aca="false">I141*K141^3/2</f>
        <v>1050759.95770584</v>
      </c>
      <c r="N141" s="57" t="n">
        <f aca="false">F141*IF(G$100&gt;0,G$100,0.5)</f>
        <v>87634.9385350325</v>
      </c>
      <c r="O141" s="57" t="n">
        <f aca="false">C141-P141*(G$87+(G$86-G$87)*COS(RADIANS(38)))/2</f>
        <v>198.174874707637</v>
      </c>
      <c r="P141" s="82" t="n">
        <f aca="false">IF(B141&lt;R$160,0.2,IF(B141&lt;-4,-0.8*((B141+4)/(R$160+4))^3+1.2*((B141+4)/(R$160+4))^2-0.2,IF(B141&lt;-2.5,-0.3555555556*B141^3-3.466666667*B141^2-10.66666667*B141-10.15555556,IF(B141&lt;-1,0.4148148148*B141^3+2.177777778*B141^2+3.111111111*B141+1.048148148,0))))+IF(B141&lt;-1,0,-1.6*(B141/(B$122+1)-B$122/(B$122+1))^3-1.9*(B141/(B$122+1)-B$122/(B$122+1))^2+1*(B141/(B$122+1)-B$122/(B$122+1))+1)</f>
        <v>-0.0837134865724491</v>
      </c>
      <c r="Q141" s="9" t="str">
        <f aca="false">IF(L141&gt;L$116,"|",IF(L140&gt;L$116,"V",""))</f>
        <v>|</v>
      </c>
      <c r="R141" s="1" t="n">
        <f aca="false">IF(Q141="V",B141,0)</f>
        <v>0</v>
      </c>
    </row>
    <row r="142" s="1" customFormat="true" ht="15.75" hidden="false" customHeight="false" outlineLevel="0" collapsed="false">
      <c r="B142" s="58" t="n">
        <f aca="false">B141-0.25</f>
        <v>-4.80410034759077</v>
      </c>
      <c r="C142" s="61" t="n">
        <f aca="false">IF(B142&lt;-7.5,(0.07688888889*B142^3+1.880666667*B142^2+14.87*B142+38.351)*(G$84-0.74*G$73)+0.74*G$73,IF(B142&lt;-6,(-0.05792592593*B142^3-1.051333333*B142^2-6.36*B142-12.824)*(G$84-0.74*G$73)+0.74*G$73,0))+IF(B142&lt;-6,0,IF(B142&lt;-4.5,-0.008888888889*B142^3-0.1033333333*B142^2-0.28*B142+0.86,IF(B142&lt;-3.5,-0.015*B142^3-0.14*B142^2-0.23875*B142+1.23125,IF(B142&lt;-3.1,-0.84375*B142^3-8.590625*B142^2-28.9365625*B142-31.22359375,IF(B142&lt;-2.5,0.3425925926*B142^3+2.702777778*B142^2+6.880277778*B142+6.621342593,IF(B142&lt;-1.5,-0.005*B142^3+0.0075*B142^2-0.07875*B142+0.638125,IF(B142&lt;-1,0.26*B142^3+1.11*B142^2+1.44*B142+1.33,0)))))))*G$73+IF(B142&lt;-1,0,IF((1/(B$122+1)*(B142-B$122))&lt;-0.5,0.32*(1/(B$122+1)*(B142-B$122))^3+1.12*(1/(B$122+1)*(B142-B$122))^2+1.28*(1/(B$122+1)*(B142-B$122))+1.22,-0.26*(1/(B$122+1)*(B142-B$122))^3-0.34*(1/(B$122+1)*(B142-B$122))^2+0.255*(1/(B$122+1)*(B142-B$122))+1))*G$73+IF(B142&gt;-3.1,(-B142-3.1)/(-B$122-3.1),0)*G$85</f>
        <v>191.554513623304</v>
      </c>
      <c r="D142" s="60" t="n">
        <f aca="false">(C142-C141)/(E142-E141)</f>
        <v>-0.00107612468776989</v>
      </c>
      <c r="E142" s="57" t="n">
        <f aca="false">IF(D142=0,(8314.4621*C141*LN(H142/H141)/(-G$70*9.80665*G$74)),C141/D142*(1/(H142/H141)^(8314.4621*D142/(G$70*9.80665*G$74))-1))+E141</f>
        <v>131324.925142376</v>
      </c>
      <c r="F142" s="57" t="n">
        <f aca="false">F$38*E142/(F$38-E142)</f>
        <v>132846.226094457</v>
      </c>
      <c r="G142" s="57" t="n">
        <f aca="false">8314.4621*C142/(G$74*G$70*9.80665)</f>
        <v>9735.63340321181</v>
      </c>
      <c r="H142" s="60" t="n">
        <f aca="false">10^B142*101325</f>
        <v>1.5908025</v>
      </c>
      <c r="I142" s="60" t="n">
        <f aca="false">H142/(8314.4621/G$74*C142)</f>
        <v>2.83759060287861E-005</v>
      </c>
      <c r="J142" s="57" t="n">
        <f aca="false">SQRT(8314.4621/G$74*G$76*C142)</f>
        <v>280.47070546989</v>
      </c>
      <c r="K142" s="57" t="n">
        <f aca="false">IF(F$20&gt;0,SQRT(2*G$69/(F$20+N142)),10000)</f>
        <v>3497.12158016931</v>
      </c>
      <c r="L142" s="60" t="n">
        <f aca="false">I142*K142^2/2</f>
        <v>173.516669780578</v>
      </c>
      <c r="M142" s="60" t="n">
        <f aca="false">I142*K142^3/2</f>
        <v>606808.890408771</v>
      </c>
      <c r="N142" s="57" t="n">
        <f aca="false">F142*IF(G$100&gt;0,G$100,0.5)</f>
        <v>91652.353972568</v>
      </c>
      <c r="O142" s="57" t="n">
        <f aca="false">C142-P142*(G$87+(G$86-G$87)*COS(RADIANS(38)))/2</f>
        <v>191.492504275615</v>
      </c>
      <c r="P142" s="82" t="n">
        <f aca="false">IF(B142&lt;R$160,0.2,IF(B142&lt;-4,-0.8*((B142+4)/(R$160+4))^3+1.2*((B142+4)/(R$160+4))^2-0.2,IF(B142&lt;-2.5,-0.3555555556*B142^3-3.466666667*B142^2-10.66666667*B142-10.15555556,IF(B142&lt;-1,0.4148148148*B142^3+2.177777778*B142^2+3.111111111*B142+1.048148148,0))))+IF(B142&lt;-1,0,-1.6*(B142/(B$122+1)-B$122/(B$122+1))^3-1.9*(B142/(B$122+1)-B$122/(B$122+1))^2+1*(B142/(B$122+1)-B$122/(B$122+1))+1)</f>
        <v>0.0104391896285779</v>
      </c>
      <c r="Q142" s="9" t="str">
        <f aca="false">IF(L142&gt;L$116,"|",IF(L141&gt;L$116,"V",""))</f>
        <v>|</v>
      </c>
      <c r="R142" s="1" t="n">
        <f aca="false">IF(Q142="V",B142,0)</f>
        <v>0</v>
      </c>
    </row>
    <row r="143" s="1" customFormat="true" ht="15.75" hidden="false" customHeight="false" outlineLevel="0" collapsed="false">
      <c r="B143" s="58" t="n">
        <f aca="false">B142-0.25</f>
        <v>-5.05410034759077</v>
      </c>
      <c r="C143" s="61" t="n">
        <f aca="false">IF(B143&lt;-7.5,(0.07688888889*B143^3+1.880666667*B143^2+14.87*B143+38.351)*(G$84-0.74*G$73)+0.74*G$73,IF(B143&lt;-6,(-0.05792592593*B143^3-1.051333333*B143^2-6.36*B143-12.824)*(G$84-0.74*G$73)+0.74*G$73,0))+IF(B143&lt;-6,0,IF(B143&lt;-4.5,-0.008888888889*B143^3-0.1033333333*B143^2-0.28*B143+0.86,IF(B143&lt;-3.5,-0.015*B143^3-0.14*B143^2-0.23875*B143+1.23125,IF(B143&lt;-3.1,-0.84375*B143^3-8.590625*B143^2-28.9365625*B143-31.22359375,IF(B143&lt;-2.5,0.3425925926*B143^3+2.702777778*B143^2+6.880277778*B143+6.621342593,IF(B143&lt;-1.5,-0.005*B143^3+0.0075*B143^2-0.07875*B143+0.638125,IF(B143&lt;-1,0.26*B143^3+1.11*B143^2+1.44*B143+1.33,0)))))))*G$73+IF(B143&lt;-1,0,IF((1/(B$122+1)*(B143-B$122))&lt;-0.5,0.32*(1/(B$122+1)*(B143-B$122))^3+1.12*(1/(B$122+1)*(B143-B$122))^2+1.28*(1/(B$122+1)*(B143-B$122))+1.22,-0.26*(1/(B$122+1)*(B143-B$122))^3-0.34*(1/(B$122+1)*(B143-B$122))^2+0.255*(1/(B$122+1)*(B143-B$122))+1))*G$73+IF(B143&gt;-3.1,(-B143-3.1)/(-B$122-3.1),0)*G$85</f>
        <v>186.167596511261</v>
      </c>
      <c r="D143" s="60" t="n">
        <f aca="false">(C143-C142)/(E143-E142)</f>
        <v>-0.000975656657251338</v>
      </c>
      <c r="E143" s="57" t="n">
        <f aca="false">IF(D143=0,(8314.4621*C142*LN(H143/H142)/(-G$70*9.80665*G$74)),C142/D143*(1/(H143/H142)^(8314.4621*D143/(G$70*9.80665*G$74))-1))+E142</f>
        <v>136849.97580042</v>
      </c>
      <c r="F143" s="57" t="n">
        <f aca="false">F$38*E143/(F$38-E143)</f>
        <v>138502.782162851</v>
      </c>
      <c r="G143" s="57" t="n">
        <f aca="false">8314.4621*C143/(G$74*G$70*9.80665)</f>
        <v>9461.84684927307</v>
      </c>
      <c r="H143" s="60" t="n">
        <f aca="false">10^B143*101325</f>
        <v>0.894573985966121</v>
      </c>
      <c r="I143" s="60" t="n">
        <f aca="false">H143/(8314.4621/G$74*C143)</f>
        <v>1.64186723092033E-005</v>
      </c>
      <c r="J143" s="57" t="n">
        <f aca="false">SQRT(8314.4621/G$74*G$76*C143)</f>
        <v>276.498868205481</v>
      </c>
      <c r="K143" s="57" t="n">
        <f aca="false">IF(F$20&gt;0,SQRT(2*G$69/(F$20+N143)),10000)</f>
        <v>3491.62453928416</v>
      </c>
      <c r="L143" s="60" t="n">
        <f aca="false">I143*K143^2/2</f>
        <v>100.08364495793</v>
      </c>
      <c r="M143" s="60" t="n">
        <f aca="false">I143*K143^3/2</f>
        <v>349454.510716111</v>
      </c>
      <c r="N143" s="57" t="n">
        <f aca="false">F143*IF(G$100&gt;0,G$100,0.5)</f>
        <v>95554.8862031599</v>
      </c>
      <c r="O143" s="57" t="n">
        <f aca="false">C143-P143*(G$87+(G$86-G$87)*COS(RADIANS(38)))/2</f>
        <v>185.559157555009</v>
      </c>
      <c r="P143" s="82" t="n">
        <f aca="false">IF(B143&lt;R$160,0.2,IF(B143&lt;-4,-0.8*((B143+4)/(R$160+4))^3+1.2*((B143+4)/(R$160+4))^2-0.2,IF(B143&lt;-2.5,-0.3555555556*B143^3-3.466666667*B143^2-10.66666667*B143-10.15555556,IF(B143&lt;-1,0.4148148148*B143^3+2.177777778*B143^2+3.111111111*B143+1.048148148,0))))+IF(B143&lt;-1,0,-1.6*(B143/(B$122+1)-B$122/(B$122+1))^3-1.9*(B143/(B$122+1)-B$122/(B$122+1))^2+1*(B143/(B$122+1)-B$122/(B$122+1))+1)</f>
        <v>0.102429873535182</v>
      </c>
      <c r="Q143" s="9" t="str">
        <f aca="false">IF(L143&gt;L$116,"|",IF(L142&gt;L$116,"V",""))</f>
        <v>|</v>
      </c>
      <c r="R143" s="1" t="n">
        <f aca="false">IF(Q143="V",B143,0)</f>
        <v>0</v>
      </c>
    </row>
    <row r="144" s="1" customFormat="true" ht="15.75" hidden="false" customHeight="false" outlineLevel="0" collapsed="false">
      <c r="B144" s="58" t="n">
        <f aca="false">B143-0.25</f>
        <v>-5.30410034759077</v>
      </c>
      <c r="C144" s="61" t="n">
        <f aca="false">IF(B144&lt;-7.5,(0.07688888889*B144^3+1.880666667*B144^2+14.87*B144+38.351)*(G$84-0.74*G$73)+0.74*G$73,IF(B144&lt;-6,(-0.05792592593*B144^3-1.051333333*B144^2-6.36*B144-12.824)*(G$84-0.74*G$73)+0.74*G$73,0))+IF(B144&lt;-6,0,IF(B144&lt;-4.5,-0.008888888889*B144^3-0.1033333333*B144^2-0.28*B144+0.86,IF(B144&lt;-3.5,-0.015*B144^3-0.14*B144^2-0.23875*B144+1.23125,IF(B144&lt;-3.1,-0.84375*B144^3-8.590625*B144^2-28.9365625*B144-31.22359375,IF(B144&lt;-2.5,0.3425925926*B144^3+2.702777778*B144^2+6.880277778*B144+6.621342593,IF(B144&lt;-1.5,-0.005*B144^3+0.0075*B144^2-0.07875*B144+0.638125,IF(B144&lt;-1,0.26*B144^3+1.11*B144^2+1.44*B144+1.33,0)))))))*G$73+IF(B144&lt;-1,0,IF((1/(B$122+1)*(B144-B$122))&lt;-0.5,0.32*(1/(B$122+1)*(B144-B$122))^3+1.12*(1/(B$122+1)*(B144-B$122))^2+1.28*(1/(B$122+1)*(B144-B$122))+1.22,-0.26*(1/(B$122+1)*(B144-B$122))^3-0.34*(1/(B$122+1)*(B144-B$122))^2+0.255*(1/(B$122+1)*(B144-B$122))+1))*G$73+IF(B144&gt;-3.1,(-B144-3.1)/(-B$122-3.1),0)*G$85</f>
        <v>181.714950600998</v>
      </c>
      <c r="D144" s="60" t="n">
        <f aca="false">(C144-C143)/(E144-E143)</f>
        <v>-0.000828016351072145</v>
      </c>
      <c r="E144" s="57" t="n">
        <f aca="false">IF(D144=0,(8314.4621*C143*LN(H144/H143)/(-G$70*9.80665*G$74)),C143/D144*(1/(H144/H143)^(8314.4621*D144/(G$70*9.80665*G$74))-1))+E143</f>
        <v>142231.208928089</v>
      </c>
      <c r="F144" s="57" t="n">
        <f aca="false">F$38*E144/(F$38-E144)</f>
        <v>144017.402944523</v>
      </c>
      <c r="G144" s="57" t="n">
        <f aca="false">8314.4621*C144/(G$74*G$70*9.80665)</f>
        <v>9235.54402071181</v>
      </c>
      <c r="H144" s="60" t="n">
        <f aca="false">10^B144*101325</f>
        <v>0.503055920749001</v>
      </c>
      <c r="I144" s="60" t="n">
        <f aca="false">H144/(8314.4621/G$74*C144)</f>
        <v>9.45913593474243E-006</v>
      </c>
      <c r="J144" s="57" t="n">
        <f aca="false">SQRT(8314.4621/G$74*G$76*C144)</f>
        <v>273.172289257466</v>
      </c>
      <c r="K144" s="57" t="n">
        <f aca="false">IF(F$20&gt;0,SQRT(2*G$69/(F$20+N144)),10000)</f>
        <v>3486.29030903667</v>
      </c>
      <c r="L144" s="60" t="n">
        <f aca="false">I144*K144^2/2</f>
        <v>57.4842101426478</v>
      </c>
      <c r="M144" s="60" t="n">
        <f aca="false">I144*K144^3/2</f>
        <v>200406.64474294</v>
      </c>
      <c r="N144" s="57" t="n">
        <f aca="false">F144*IF(G$100&gt;0,G$100,0.5)</f>
        <v>99359.4954176283</v>
      </c>
      <c r="O144" s="57" t="n">
        <f aca="false">C144-P144*(G$87+(G$86-G$87)*COS(RADIANS(38)))/2</f>
        <v>180.691614478745</v>
      </c>
      <c r="P144" s="82" t="n">
        <f aca="false">IF(B144&lt;R$160,0.2,IF(B144&lt;-4,-0.8*((B144+4)/(R$160+4))^3+1.2*((B144+4)/(R$160+4))^2-0.2,IF(B144&lt;-2.5,-0.3555555556*B144^3-3.466666667*B144^2-10.66666667*B144-10.15555556,IF(B144&lt;-1,0.4148148148*B144^3+2.177777778*B144^2+3.111111111*B144+1.048148148,0))))+IF(B144&lt;-1,0,-1.6*(B144/(B$122+1)-B$122/(B$122+1))^3-1.9*(B144/(B$122+1)-B$122/(B$122+1))^2+1*(B144/(B$122+1)-B$122/(B$122+1))+1)</f>
        <v>0.172277249031082</v>
      </c>
      <c r="Q144" s="9" t="str">
        <f aca="false">IF(L144&gt;L$116,"|",IF(L143&gt;L$116,"V",""))</f>
        <v>|</v>
      </c>
      <c r="R144" s="1" t="n">
        <f aca="false">IF(Q144="V",B144,0)</f>
        <v>0</v>
      </c>
    </row>
    <row r="145" s="1" customFormat="true" ht="15.75" hidden="false" customHeight="false" outlineLevel="0" collapsed="false">
      <c r="B145" s="58" t="n">
        <f aca="false">B144-0.25</f>
        <v>-5.55410034759077</v>
      </c>
      <c r="C145" s="61" t="n">
        <f aca="false">IF(B145&lt;-7.5,(0.07688888889*B145^3+1.880666667*B145^2+14.87*B145+38.351)*(G$84-0.74*G$73)+0.74*G$73,IF(B145&lt;-6,(-0.05792592593*B145^3-1.051333333*B145^2-6.36*B145-12.824)*(G$84-0.74*G$73)+0.74*G$73,0))+IF(B145&lt;-6,0,IF(B145&lt;-4.5,-0.008888888889*B145^3-0.1033333333*B145^2-0.28*B145+0.86,IF(B145&lt;-3.5,-0.015*B145^3-0.14*B145^2-0.23875*B145+1.23125,IF(B145&lt;-3.1,-0.84375*B145^3-8.590625*B145^2-28.9365625*B145-31.22359375,IF(B145&lt;-2.5,0.3425925926*B145^3+2.702777778*B145^2+6.880277778*B145+6.621342593,IF(B145&lt;-1.5,-0.005*B145^3+0.0075*B145^2-0.07875*B145+0.638125,IF(B145&lt;-1,0.26*B145^3+1.11*B145^2+1.44*B145+1.33,0)))))))*G$73+IF(B145&lt;-1,0,IF((1/(B$122+1)*(B145-B$122))&lt;-0.5,0.32*(1/(B$122+1)*(B145-B$122))^3+1.12*(1/(B$122+1)*(B145-B$122))^2+1.28*(1/(B$122+1)*(B145-B$122))+1.22,-0.26*(1/(B$122+1)*(B145-B$122))^3-0.34*(1/(B$122+1)*(B145-B$122))^2+0.255*(1/(B$122+1)*(B145-B$122))+1))*G$73+IF(B145&gt;-3.1,(-B145-3.1)/(-B$122-3.1),0)*G$85</f>
        <v>178.394665733354</v>
      </c>
      <c r="D145" s="60" t="n">
        <f aca="false">(C145-C144)/(E145-E144)</f>
        <v>-0.000630694584320785</v>
      </c>
      <c r="E145" s="57" t="n">
        <f aca="false">IF(D145=0,(8314.4621*C144*LN(H145/H144)/(-G$70*9.80665*G$74)),C144/D145*(1/(H145/H144)^(8314.4621*D145/(G$70*9.80665*G$74))-1))+E144</f>
        <v>147498.866202947</v>
      </c>
      <c r="F145" s="57" t="n">
        <f aca="false">F$38*E145/(F$38-E145)</f>
        <v>149420.710650253</v>
      </c>
      <c r="G145" s="57" t="n">
        <f aca="false">8314.4621*C145/(G$74*G$70*9.80665)</f>
        <v>9066.79270468078</v>
      </c>
      <c r="H145" s="60" t="n">
        <f aca="false">10^B145*101325</f>
        <v>0.282889133118844</v>
      </c>
      <c r="I145" s="60" t="n">
        <f aca="false">H145/(8314.4621/G$74*C145)</f>
        <v>5.41826526019663E-006</v>
      </c>
      <c r="J145" s="57" t="n">
        <f aca="false">SQRT(8314.4621/G$74*G$76*C145)</f>
        <v>270.665089621851</v>
      </c>
      <c r="K145" s="57" t="n">
        <f aca="false">IF(F$20&gt;0,SQRT(2*G$69/(F$20+N145)),10000)</f>
        <v>3481.08739207597</v>
      </c>
      <c r="L145" s="60" t="n">
        <f aca="false">I145*K145^2/2</f>
        <v>32.8291863967883</v>
      </c>
      <c r="M145" s="60" t="n">
        <f aca="false">I145*K145^3/2</f>
        <v>114281.266857972</v>
      </c>
      <c r="N145" s="57" t="n">
        <f aca="false">F145*IF(G$100&gt;0,G$100,0.5)</f>
        <v>103087.308280872</v>
      </c>
      <c r="O145" s="57" t="n">
        <f aca="false">C145-P145*(G$87+(G$86-G$87)*COS(RADIANS(38)))/2</f>
        <v>177.206654979747</v>
      </c>
      <c r="P145" s="82" t="n">
        <f aca="false">IF(B145&lt;R$160,0.2,IF(B145&lt;-4,-0.8*((B145+4)/(R$160+4))^3+1.2*((B145+4)/(R$160+4))^2-0.2,IF(B145&lt;-2.5,-0.3555555556*B145^3-3.466666667*B145^2-10.66666667*B145-10.15555556,IF(B145&lt;-1,0.4148148148*B145^3+2.177777778*B145^2+3.111111111*B145+1.048148148,0))))+IF(B145&lt;-1,0,-1.6*(B145/(B$122+1)-B$122/(B$122+1))^3-1.9*(B145/(B$122+1)-B$122/(B$122+1))^2+1*(B145/(B$122+1)-B$122/(B$122+1))+1)</f>
        <v>0.2</v>
      </c>
      <c r="Q145" s="9" t="str">
        <f aca="false">IF(L145&gt;L$116,"|",IF(L144&gt;L$116,"V",""))</f>
        <v>V</v>
      </c>
      <c r="R145" s="97" t="n">
        <f aca="false">IF(Q145="V",B145,0)</f>
        <v>-5.55410034759077</v>
      </c>
    </row>
    <row r="146" s="1" customFormat="true" ht="15.75" hidden="false" customHeight="false" outlineLevel="0" collapsed="false">
      <c r="B146" s="58" t="n">
        <f aca="false">B145-0.25</f>
        <v>-5.80410034759077</v>
      </c>
      <c r="C146" s="61" t="n">
        <f aca="false">IF(B146&lt;-7.5,(0.07688888889*B146^3+1.880666667*B146^2+14.87*B146+38.351)*(G$84-0.74*G$73)+0.74*G$73,IF(B146&lt;-6,(-0.05792592593*B146^3-1.051333333*B146^2-6.36*B146-12.824)*(G$84-0.74*G$73)+0.74*G$73,0))+IF(B146&lt;-6,0,IF(B146&lt;-4.5,-0.008888888889*B146^3-0.1033333333*B146^2-0.28*B146+0.86,IF(B146&lt;-3.5,-0.015*B146^3-0.14*B146^2-0.23875*B146+1.23125,IF(B146&lt;-3.1,-0.84375*B146^3-8.590625*B146^2-28.9365625*B146-31.22359375,IF(B146&lt;-2.5,0.3425925926*B146^3+2.702777778*B146^2+6.880277778*B146+6.621342593,IF(B146&lt;-1.5,-0.005*B146^3+0.0075*B146^2-0.07875*B146+0.638125,IF(B146&lt;-1,0.26*B146^3+1.11*B146^2+1.44*B146+1.33,0)))))))*G$73+IF(B146&lt;-1,0,IF((1/(B$122+1)*(B146-B$122))&lt;-0.5,0.32*(1/(B$122+1)*(B146-B$122))^3+1.12*(1/(B$122+1)*(B146-B$122))^2+1.28*(1/(B$122+1)*(B146-B$122))+1.22,-0.26*(1/(B$122+1)*(B146-B$122))^3-0.34*(1/(B$122+1)*(B146-B$122))^2+0.255*(1/(B$122+1)*(B146-B$122))+1))*G$73+IF(B146&gt;-3.1,(-B146-3.1)/(-B$122-3.1),0)*G$85</f>
        <v>176.404831749168</v>
      </c>
      <c r="D146" s="60" t="n">
        <f aca="false">(C146-C145)/(E146-E145)</f>
        <v>-0.00038352031901481</v>
      </c>
      <c r="E146" s="57" t="n">
        <f aca="false">IF(D146=0,(8314.4621*C145*LN(H146/H145)/(-G$70*9.80665*G$74)),C145/D146*(1/(H146/H145)^(8314.4621*D146/(G$70*9.80665*G$74))-1))+E145</f>
        <v>152688.959213789</v>
      </c>
      <c r="F146" s="57" t="n">
        <f aca="false">F$38*E146/(F$38-E146)</f>
        <v>154749.3770364</v>
      </c>
      <c r="G146" s="57" t="n">
        <f aca="false">8314.4621*C146/(G$74*G$70*9.80665)</f>
        <v>8965.66068833275</v>
      </c>
      <c r="H146" s="60" t="n">
        <f aca="false">10^B146*101325</f>
        <v>0.15908025</v>
      </c>
      <c r="I146" s="60" t="n">
        <f aca="false">H146/(8314.4621/G$74*C146)</f>
        <v>3.08128344562214E-006</v>
      </c>
      <c r="J146" s="57" t="n">
        <f aca="false">SQRT(8314.4621/G$74*G$76*C146)</f>
        <v>269.151342370606</v>
      </c>
      <c r="K146" s="57" t="n">
        <f aca="false">IF(F$20&gt;0,SQRT(2*G$69/(F$20+N146)),10000)</f>
        <v>3475.97909506877</v>
      </c>
      <c r="L146" s="60" t="n">
        <f aca="false">I146*K146^2/2</f>
        <v>18.6146968021805</v>
      </c>
      <c r="M146" s="60" t="n">
        <f aca="false">I146*K146^3/2</f>
        <v>64704.2969454229</v>
      </c>
      <c r="N146" s="57" t="n">
        <f aca="false">F146*IF(G$100&gt;0,G$100,0.5)</f>
        <v>106763.625118639</v>
      </c>
      <c r="O146" s="57" t="n">
        <f aca="false">C146-P146*(G$87+(G$86-G$87)*COS(RADIANS(38)))/2</f>
        <v>175.216820995561</v>
      </c>
      <c r="P146" s="82" t="n">
        <f aca="false">IF(B146&lt;R$160,0.2,IF(B146&lt;-4,-0.8*((B146+4)/(R$160+4))^3+1.2*((B146+4)/(R$160+4))^2-0.2,IF(B146&lt;-2.5,-0.3555555556*B146^3-3.466666667*B146^2-10.66666667*B146-10.15555556,IF(B146&lt;-1,0.4148148148*B146^3+2.177777778*B146^2+3.111111111*B146+1.048148148,0))))+IF(B146&lt;-1,0,-1.6*(B146/(B$122+1)-B$122/(B$122+1))^3-1.9*(B146/(B$122+1)-B$122/(B$122+1))^2+1*(B146/(B$122+1)-B$122/(B$122+1))+1)</f>
        <v>0.2</v>
      </c>
      <c r="Q146" s="9" t="str">
        <f aca="false">IF(L146&gt;L$116,"|",IF(L145&gt;L$116,"V",""))</f>
        <v/>
      </c>
      <c r="R146" s="1" t="n">
        <f aca="false">IF(Q146="V",B146,0)</f>
        <v>0</v>
      </c>
    </row>
    <row r="147" s="1" customFormat="true" ht="15.75" hidden="false" customHeight="false" outlineLevel="0" collapsed="false">
      <c r="B147" s="58" t="n">
        <f aca="false">B146-0.25</f>
        <v>-6.05410034759077</v>
      </c>
      <c r="C147" s="61" t="n">
        <f aca="false">IF(B147&lt;-7.5,(0.07688888889*B147^3+1.880666667*B147^2+14.87*B147+38.351)*(G$84-0.74*G$73)+0.74*G$73,IF(B147&lt;-6,(-0.05792592593*B147^3-1.051333333*B147^2-6.36*B147-12.824)*(G$84-0.74*G$73)+0.74*G$73,0))+IF(B147&lt;-6,0,IF(B147&lt;-4.5,-0.008888888889*B147^3-0.1033333333*B147^2-0.28*B147+0.86,IF(B147&lt;-3.5,-0.015*B147^3-0.14*B147^2-0.23875*B147+1.23125,IF(B147&lt;-3.1,-0.84375*B147^3-8.590625*B147^2-28.9365625*B147-31.22359375,IF(B147&lt;-2.5,0.3425925926*B147^3+2.702777778*B147^2+6.880277778*B147+6.621342593,IF(B147&lt;-1.5,-0.005*B147^3+0.0075*B147^2-0.07875*B147+0.638125,IF(B147&lt;-1,0.26*B147^3+1.11*B147^2+1.44*B147+1.33,0)))))))*G$73+IF(B147&lt;-1,0,IF((1/(B$122+1)*(B147-B$122))&lt;-0.5,0.32*(1/(B$122+1)*(B147-B$122))^3+1.12*(1/(B$122+1)*(B147-B$122))^2+1.28*(1/(B$122+1)*(B147-B$122))+1.22,-0.26*(1/(B$122+1)*(B147-B$122))^3-0.34*(1/(B$122+1)*(B147-B$122))^2+0.255*(1/(B$122+1)*(B147-B$122))+1))*G$73+IF(B147&gt;-3.1,(-B147-3.1)/(-B$122-3.1),0)*G$85</f>
        <v>175.891415052085</v>
      </c>
      <c r="D147" s="60" t="n">
        <f aca="false">(C147-C146)/(E147-E146)</f>
        <v>-9.96275410719625E-005</v>
      </c>
      <c r="E147" s="57" t="n">
        <f aca="false">IF(D147=0,(8314.4621*C146*LN(H147/H146)/(-G$70*9.80665*G$74)),C146/D147*(1/(H147/H146)^(8314.4621*D147/(G$70*9.80665*G$74))-1))+E146</f>
        <v>157842.49399759</v>
      </c>
      <c r="F147" s="57" t="n">
        <f aca="false">F$38*E147/(F$38-E147)</f>
        <v>160045.348147354</v>
      </c>
      <c r="G147" s="57" t="n">
        <f aca="false">8314.4621*C147/(G$74*G$70*9.80665)</f>
        <v>8939.56661907104</v>
      </c>
      <c r="H147" s="60" t="n">
        <f aca="false">10^B147*101325</f>
        <v>0.0894573985966121</v>
      </c>
      <c r="I147" s="60" t="n">
        <f aca="false">H147/(8314.4621/G$74*C147)</f>
        <v>1.73779076187729E-006</v>
      </c>
      <c r="J147" s="57" t="n">
        <f aca="false">SQRT(8314.4621/G$74*G$76*C147)</f>
        <v>268.75938177429</v>
      </c>
      <c r="K147" s="57" t="n">
        <f aca="false">IF(F$20&gt;0,SQRT(2*G$69/(F$20+N147)),10000)</f>
        <v>3470.92435819765</v>
      </c>
      <c r="L147" s="60" t="n">
        <f aca="false">I147*K147^2/2</f>
        <v>10.4678571385052</v>
      </c>
      <c r="M147" s="60" t="n">
        <f aca="false">I147*K147^3/2</f>
        <v>36333.1403201708</v>
      </c>
      <c r="N147" s="57" t="n">
        <f aca="false">F147*IF(G$100&gt;0,G$100,0.5)</f>
        <v>110417.385057175</v>
      </c>
      <c r="O147" s="57" t="n">
        <f aca="false">C147-P147*(G$87+(G$86-G$87)*COS(RADIANS(38)))/2</f>
        <v>174.703404298479</v>
      </c>
      <c r="P147" s="82" t="n">
        <f aca="false">IF(B147&lt;R$160,0.2,IF(B147&lt;-4,-0.8*((B147+4)/(R$160+4))^3+1.2*((B147+4)/(R$160+4))^2-0.2,IF(B147&lt;-2.5,-0.3555555556*B147^3-3.466666667*B147^2-10.66666667*B147-10.15555556,IF(B147&lt;-1,0.4148148148*B147^3+2.177777778*B147^2+3.111111111*B147+1.048148148,0))))+IF(B147&lt;-1,0,-1.6*(B147/(B$122+1)-B$122/(B$122+1))^3-1.9*(B147/(B$122+1)-B$122/(B$122+1))^2+1*(B147/(B$122+1)-B$122/(B$122+1))+1)</f>
        <v>0.2</v>
      </c>
      <c r="Q147" s="9" t="str">
        <f aca="false">IF(L147&gt;L$116,"|",IF(L146&gt;L$116,"V",""))</f>
        <v/>
      </c>
      <c r="R147" s="1" t="n">
        <f aca="false">IF(Q147="V",B147,0)</f>
        <v>0</v>
      </c>
    </row>
    <row r="148" s="1" customFormat="true" ht="15.75" hidden="false" customHeight="false" outlineLevel="0" collapsed="false">
      <c r="B148" s="58" t="n">
        <f aca="false">B147-0.25</f>
        <v>-6.30410034759077</v>
      </c>
      <c r="C148" s="61" t="n">
        <f aca="false">IF(B148&lt;-7.5,(0.07688888889*B148^3+1.880666667*B148^2+14.87*B148+38.351)*(G$84-0.74*G$73)+0.74*G$73,IF(B148&lt;-6,(-0.05792592593*B148^3-1.051333333*B148^2-6.36*B148-12.824)*(G$84-0.74*G$73)+0.74*G$73,0))+IF(B148&lt;-6,0,IF(B148&lt;-4.5,-0.008888888889*B148^3-0.1033333333*B148^2-0.28*B148+0.86,IF(B148&lt;-3.5,-0.015*B148^3-0.14*B148^2-0.23875*B148+1.23125,IF(B148&lt;-3.1,-0.84375*B148^3-8.590625*B148^2-28.9365625*B148-31.22359375,IF(B148&lt;-2.5,0.3425925926*B148^3+2.702777778*B148^2+6.880277778*B148+6.621342593,IF(B148&lt;-1.5,-0.005*B148^3+0.0075*B148^2-0.07875*B148+0.638125,IF(B148&lt;-1,0.26*B148^3+1.11*B148^2+1.44*B148+1.33,0)))))))*G$73+IF(B148&lt;-1,0,IF((1/(B$122+1)*(B148-B$122))&lt;-0.5,0.32*(1/(B$122+1)*(B148-B$122))^3+1.12*(1/(B$122+1)*(B148-B$122))^2+1.28*(1/(B$122+1)*(B148-B$122))+1.22,-0.26*(1/(B$122+1)*(B148-B$122))^3-0.34*(1/(B$122+1)*(B148-B$122))^2+0.255*(1/(B$122+1)*(B148-B$122))+1))*G$73+IF(B148&gt;-3.1,(-B148-3.1)/(-B$122-3.1),0)*G$85</f>
        <v>176.536111601755</v>
      </c>
      <c r="D148" s="60" t="n">
        <f aca="false">(C148-C147)/(E148-E147)</f>
        <v>0.000125059183981191</v>
      </c>
      <c r="E148" s="57" t="n">
        <f aca="false">IF(D148=0,(8314.4621*C147*LN(H148/H147)/(-G$70*9.80665*G$74)),C147/D148*(1/(H148/H147)^(8314.4621*D148/(G$70*9.80665*G$74))-1))+E147</f>
        <v>162997.947938797</v>
      </c>
      <c r="F148" s="57" t="n">
        <f aca="false">F$38*E148/(F$38-E148)</f>
        <v>165348.122705649</v>
      </c>
      <c r="G148" s="57" t="n">
        <f aca="false">8314.4621*C148/(G$74*G$70*9.80665)</f>
        <v>8972.33290134326</v>
      </c>
      <c r="H148" s="60" t="n">
        <f aca="false">10^B148*101325</f>
        <v>0.0503055920749001</v>
      </c>
      <c r="I148" s="60" t="n">
        <f aca="false">H148/(8314.4621/G$74*C148)</f>
        <v>9.73662784069591E-007</v>
      </c>
      <c r="J148" s="57" t="n">
        <f aca="false">SQRT(8314.4621/G$74*G$76*C148)</f>
        <v>269.251474483649</v>
      </c>
      <c r="K148" s="57" t="n">
        <f aca="false">IF(F$20&gt;0,SQRT(2*G$69/(F$20+N148)),10000)</f>
        <v>3465.88515781401</v>
      </c>
      <c r="L148" s="60" t="n">
        <f aca="false">I148*K148^2/2</f>
        <v>5.84799390496009</v>
      </c>
      <c r="M148" s="60" t="n">
        <f aca="false">I148*K148^3/2</f>
        <v>20268.475278188</v>
      </c>
      <c r="N148" s="57" t="n">
        <f aca="false">F148*IF(G$100&gt;0,G$100,0.5)</f>
        <v>114075.838783275</v>
      </c>
      <c r="O148" s="57" t="n">
        <f aca="false">C148-P148*(G$87+(G$86-G$87)*COS(RADIANS(38)))/2</f>
        <v>175.348100848148</v>
      </c>
      <c r="P148" s="82" t="n">
        <f aca="false">IF(B148&lt;R$160,0.2,IF(B148&lt;-4,-0.8*((B148+4)/(R$160+4))^3+1.2*((B148+4)/(R$160+4))^2-0.2,IF(B148&lt;-2.5,-0.3555555556*B148^3-3.466666667*B148^2-10.66666667*B148-10.15555556,IF(B148&lt;-1,0.4148148148*B148^3+2.177777778*B148^2+3.111111111*B148+1.048148148,0))))+IF(B148&lt;-1,0,-1.6*(B148/(B$122+1)-B$122/(B$122+1))^3-1.9*(B148/(B$122+1)-B$122/(B$122+1))^2+1*(B148/(B$122+1)-B$122/(B$122+1))+1)</f>
        <v>0.2</v>
      </c>
      <c r="Q148" s="9" t="str">
        <f aca="false">IF(L148&gt;L$116,"|",IF(L147&gt;L$116,"V",""))</f>
        <v/>
      </c>
      <c r="R148" s="1" t="n">
        <f aca="false">IF(Q148="V",B148,0)</f>
        <v>0</v>
      </c>
    </row>
    <row r="149" s="1" customFormat="true" ht="15.75" hidden="false" customHeight="false" outlineLevel="0" collapsed="false">
      <c r="B149" s="58" t="n">
        <f aca="false">B148-0.25</f>
        <v>-6.55410034759077</v>
      </c>
      <c r="C149" s="61" t="n">
        <f aca="false">IF(B149&lt;-7.5,(0.07688888889*B149^3+1.880666667*B149^2+14.87*B149+38.351)*(G$84-0.74*G$73)+0.74*G$73,IF(B149&lt;-6,(-0.05792592593*B149^3-1.051333333*B149^2-6.36*B149-12.824)*(G$84-0.74*G$73)+0.74*G$73,0))+IF(B149&lt;-6,0,IF(B149&lt;-4.5,-0.008888888889*B149^3-0.1033333333*B149^2-0.28*B149+0.86,IF(B149&lt;-3.5,-0.015*B149^3-0.14*B149^2-0.23875*B149+1.23125,IF(B149&lt;-3.1,-0.84375*B149^3-8.590625*B149^2-28.9365625*B149-31.22359375,IF(B149&lt;-2.5,0.3425925926*B149^3+2.702777778*B149^2+6.880277778*B149+6.621342593,IF(B149&lt;-1.5,-0.005*B149^3+0.0075*B149^2-0.07875*B149+0.638125,IF(B149&lt;-1,0.26*B149^3+1.11*B149^2+1.44*B149+1.33,0)))))))*G$73+IF(B149&lt;-1,0,IF((1/(B$122+1)*(B149-B$122))&lt;-0.5,0.32*(1/(B$122+1)*(B149-B$122))^3+1.12*(1/(B$122+1)*(B149-B$122))^2+1.28*(1/(B$122+1)*(B149-B$122))+1.22,-0.26*(1/(B$122+1)*(B149-B$122))^3-0.34*(1/(B$122+1)*(B149-B$122))^2+0.255*(1/(B$122+1)*(B149-B$122))+1))*G$73+IF(B149&gt;-3.1,(-B149-3.1)/(-B$122-3.1),0)*G$85</f>
        <v>181.400454687603</v>
      </c>
      <c r="D149" s="60" t="n">
        <f aca="false">(C149-C148)/(E149-E148)</f>
        <v>0.000929041934536041</v>
      </c>
      <c r="E149" s="57" t="n">
        <f aca="false">IF(D149=0,(8314.4621*C148*LN(H149/H148)/(-G$70*9.80665*G$74)),C148/D149*(1/(H149/H148)^(8314.4621*D149/(G$70*9.80665*G$74))-1))+E148</f>
        <v>168233.671267611</v>
      </c>
      <c r="F149" s="57" t="n">
        <f aca="false">F$38*E149/(F$38-E149)</f>
        <v>170738.412793307</v>
      </c>
      <c r="G149" s="57" t="n">
        <f aca="false">8314.4621*C149/(G$74*G$70*9.80665)</f>
        <v>9219.55997073193</v>
      </c>
      <c r="H149" s="60" t="n">
        <f aca="false">10^B149*101325</f>
        <v>0.0282889133118844</v>
      </c>
      <c r="I149" s="60" t="n">
        <f aca="false">H149/(8314.4621/G$74*C149)</f>
        <v>5.32848510006233E-007</v>
      </c>
      <c r="J149" s="57" t="n">
        <f aca="false">SQRT(8314.4621/G$74*G$76*C149)</f>
        <v>272.935795857918</v>
      </c>
      <c r="K149" s="57" t="n">
        <f aca="false">IF(F$20&gt;0,SQRT(2*G$69/(F$20+N149)),10000)</f>
        <v>3460.78522039717</v>
      </c>
      <c r="L149" s="60" t="n">
        <f aca="false">I149*K149^2/2</f>
        <v>3.19097218807709</v>
      </c>
      <c r="M149" s="60" t="n">
        <f aca="false">I149*K149^3/2</f>
        <v>11043.270299328</v>
      </c>
      <c r="N149" s="57" t="n">
        <f aca="false">F149*IF(G$100&gt;0,G$100,0.5)</f>
        <v>117794.670621054</v>
      </c>
      <c r="O149" s="57" t="n">
        <f aca="false">C149-P149*(G$87+(G$86-G$87)*COS(RADIANS(38)))/2</f>
        <v>180.212443933996</v>
      </c>
      <c r="P149" s="82" t="n">
        <f aca="false">IF(B149&lt;R$160,0.2,IF(B149&lt;-4,-0.8*((B149+4)/(R$160+4))^3+1.2*((B149+4)/(R$160+4))^2-0.2,IF(B149&lt;-2.5,-0.3555555556*B149^3-3.466666667*B149^2-10.66666667*B149-10.15555556,IF(B149&lt;-1,0.4148148148*B149^3+2.177777778*B149^2+3.111111111*B149+1.048148148,0))))+IF(B149&lt;-1,0,-1.6*(B149/(B$122+1)-B$122/(B$122+1))^3-1.9*(B149/(B$122+1)-B$122/(B$122+1))^2+1*(B149/(B$122+1)-B$122/(B$122+1))+1)</f>
        <v>0.2</v>
      </c>
      <c r="Q149" s="9" t="str">
        <f aca="false">IF(L149&gt;L$116,"|",IF(L148&gt;L$116,"V",""))</f>
        <v/>
      </c>
      <c r="R149" s="1" t="n">
        <f aca="false">IF(Q149="V",B149,0)</f>
        <v>0</v>
      </c>
    </row>
    <row r="150" s="1" customFormat="true" ht="15.75" hidden="false" customHeight="false" outlineLevel="0" collapsed="false">
      <c r="B150" s="58" t="n">
        <f aca="false">B149-0.25</f>
        <v>-6.80410034759077</v>
      </c>
      <c r="C150" s="61" t="n">
        <f aca="false">IF(B150&lt;-7.5,(0.07688888889*B150^3+1.880666667*B150^2+14.87*B150+38.351)*(G$84-0.74*G$73)+0.74*G$73,IF(B150&lt;-6,(-0.05792592593*B150^3-1.051333333*B150^2-6.36*B150-12.824)*(G$84-0.74*G$73)+0.74*G$73,0))+IF(B150&lt;-6,0,IF(B150&lt;-4.5,-0.008888888889*B150^3-0.1033333333*B150^2-0.28*B150+0.86,IF(B150&lt;-3.5,-0.015*B150^3-0.14*B150^2-0.23875*B150+1.23125,IF(B150&lt;-3.1,-0.84375*B150^3-8.590625*B150^2-28.9365625*B150-31.22359375,IF(B150&lt;-2.5,0.3425925926*B150^3+2.702777778*B150^2+6.880277778*B150+6.621342593,IF(B150&lt;-1.5,-0.005*B150^3+0.0075*B150^2-0.07875*B150+0.638125,IF(B150&lt;-1,0.26*B150^3+1.11*B150^2+1.44*B150+1.33,0)))))))*G$73+IF(B150&lt;-1,0,IF((1/(B$122+1)*(B150-B$122))&lt;-0.5,0.32*(1/(B$122+1)*(B150-B$122))^3+1.12*(1/(B$122+1)*(B150-B$122))^2+1.28*(1/(B$122+1)*(B150-B$122))+1.22,-0.26*(1/(B$122+1)*(B150-B$122))^3-0.34*(1/(B$122+1)*(B150-B$122))^2+0.255*(1/(B$122+1)*(B150-B$122))+1))*G$73+IF(B150&gt;-3.1,(-B150-3.1)/(-B$122-3.1),0)*G$85</f>
        <v>194.633911289717</v>
      </c>
      <c r="D150" s="60" t="n">
        <f aca="false">(C150-C149)/(E150-E149)</f>
        <v>0.00240625617074258</v>
      </c>
      <c r="E150" s="57" t="n">
        <f aca="false">IF(D150=0,(8314.4621*C149*LN(H150/H149)/(-G$70*9.80665*G$74)),C149/D150*(1/(H150/H149)^(8314.4621*D150/(G$70*9.80665*G$74))-1))+E149</f>
        <v>173732.150904165</v>
      </c>
      <c r="F150" s="57" t="n">
        <f aca="false">F$38*E150/(F$38-E150)</f>
        <v>176404.596340805</v>
      </c>
      <c r="G150" s="57" t="n">
        <f aca="false">8314.4621*C150/(G$74*G$70*9.80665)</f>
        <v>9892.14178412037</v>
      </c>
      <c r="H150" s="60" t="n">
        <f aca="false">10^B150*101325</f>
        <v>0.015908025</v>
      </c>
      <c r="I150" s="60" t="n">
        <f aca="false">H150/(8314.4621/G$74*C150)</f>
        <v>2.79269570340893E-007</v>
      </c>
      <c r="J150" s="57" t="n">
        <f aca="false">SQRT(8314.4621/G$74*G$76*C150)</f>
        <v>282.716116831887</v>
      </c>
      <c r="K150" s="57" t="n">
        <f aca="false">IF(F$20&gt;0,SQRT(2*G$69/(F$20+N150)),10000)</f>
        <v>3455.44844764269</v>
      </c>
      <c r="L150" s="60" t="n">
        <f aca="false">I150*K150^2/2</f>
        <v>1.66725559467291</v>
      </c>
      <c r="M150" s="60" t="n">
        <f aca="false">I150*K150^3/2</f>
        <v>5761.11938945744</v>
      </c>
      <c r="N150" s="57" t="n">
        <f aca="false">F150*IF(G$100&gt;0,G$100,0.5)</f>
        <v>121703.844975767</v>
      </c>
      <c r="O150" s="57" t="n">
        <f aca="false">C150-P150*(G$87+(G$86-G$87)*COS(RADIANS(38)))/2</f>
        <v>193.445900536111</v>
      </c>
      <c r="P150" s="82" t="n">
        <f aca="false">IF(B150&lt;R$160,0.2,IF(B150&lt;-4,-0.8*((B150+4)/(R$160+4))^3+1.2*((B150+4)/(R$160+4))^2-0.2,IF(B150&lt;-2.5,-0.3555555556*B150^3-3.466666667*B150^2-10.66666667*B150-10.15555556,IF(B150&lt;-1,0.4148148148*B150^3+2.177777778*B150^2+3.111111111*B150+1.048148148,0))))+IF(B150&lt;-1,0,-1.6*(B150/(B$122+1)-B$122/(B$122+1))^3-1.9*(B150/(B$122+1)-B$122/(B$122+1))^2+1*(B150/(B$122+1)-B$122/(B$122+1))+1)</f>
        <v>0.2</v>
      </c>
      <c r="Q150" s="9" t="str">
        <f aca="false">IF(L150&gt;L$116,"|",IF(L149&gt;L$116,"V",""))</f>
        <v/>
      </c>
      <c r="R150" s="1" t="n">
        <f aca="false">IF(Q150="V",B150,0)</f>
        <v>0</v>
      </c>
    </row>
    <row r="151" s="1" customFormat="true" ht="15.75" hidden="false" customHeight="false" outlineLevel="0" collapsed="false">
      <c r="B151" s="58" t="n">
        <f aca="false">B150-0.25</f>
        <v>-7.05410034759077</v>
      </c>
      <c r="C151" s="61" t="n">
        <f aca="false">IF(B151&lt;-7.5,(0.07688888889*B151^3+1.880666667*B151^2+14.87*B151+38.351)*(G$84-0.74*G$73)+0.74*G$73,IF(B151&lt;-6,(-0.05792592593*B151^3-1.051333333*B151^2-6.36*B151-12.824)*(G$84-0.74*G$73)+0.74*G$73,0))+IF(B151&lt;-6,0,IF(B151&lt;-4.5,-0.008888888889*B151^3-0.1033333333*B151^2-0.28*B151+0.86,IF(B151&lt;-3.5,-0.015*B151^3-0.14*B151^2-0.23875*B151+1.23125,IF(B151&lt;-3.1,-0.84375*B151^3-8.590625*B151^2-28.9365625*B151-31.22359375,IF(B151&lt;-2.5,0.3425925926*B151^3+2.702777778*B151^2+6.880277778*B151+6.621342593,IF(B151&lt;-1.5,-0.005*B151^3+0.0075*B151^2-0.07875*B151+0.638125,IF(B151&lt;-1,0.26*B151^3+1.11*B151^2+1.44*B151+1.33,0)))))))*G$73+IF(B151&lt;-1,0,IF((1/(B$122+1)*(B151-B$122))&lt;-0.5,0.32*(1/(B$122+1)*(B151-B$122))^3+1.12*(1/(B$122+1)*(B151-B$122))^2+1.28*(1/(B$122+1)*(B151-B$122))+1.22,-0.26*(1/(B$122+1)*(B151-B$122))^3-0.34*(1/(B$122+1)*(B151-B$122))^2+0.255*(1/(B$122+1)*(B151-B$122))+1))*G$73+IF(B151&gt;-3.1,(-B151-3.1)/(-B$122-3.1),0)*G$85</f>
        <v>220.385948388115</v>
      </c>
      <c r="D151" s="60" t="n">
        <f aca="false">(C151-C150)/(E151-E150)</f>
        <v>0.00424530084268513</v>
      </c>
      <c r="E151" s="57" t="n">
        <f aca="false">IF(D151=0,(8314.4621*C150*LN(H151/H150)/(-G$70*9.80665*G$74)),C150/D151*(1/(H151/H150)^(8314.4621*D151/(G$70*9.80665*G$74))-1))+E150</f>
        <v>179795.264848983</v>
      </c>
      <c r="F151" s="57" t="n">
        <f aca="false">F$38*E151/(F$38-E151)</f>
        <v>182659.035028698</v>
      </c>
      <c r="G151" s="57" t="n">
        <f aca="false">8314.4621*C151/(G$74*G$70*9.80665)</f>
        <v>11200.9722983882</v>
      </c>
      <c r="H151" s="60" t="n">
        <f aca="false">10^B151*101325</f>
        <v>0.00894573985966121</v>
      </c>
      <c r="I151" s="60" t="n">
        <f aca="false">H151/(8314.4621/G$74*C151)</f>
        <v>1.38694176469338E-007</v>
      </c>
      <c r="J151" s="57" t="n">
        <f aca="false">SQRT(8314.4621/G$74*G$76*C151)</f>
        <v>300.838394586163</v>
      </c>
      <c r="K151" s="57" t="n">
        <f aca="false">IF(F$20&gt;0,SQRT(2*G$69/(F$20+N151)),10000)</f>
        <v>3449.5861898357</v>
      </c>
      <c r="L151" s="60" t="n">
        <f aca="false">I151*K151^2/2</f>
        <v>0.825204386571019</v>
      </c>
      <c r="M151" s="60" t="n">
        <f aca="false">I151*K151^3/2</f>
        <v>2846.6182676667</v>
      </c>
      <c r="N151" s="57" t="n">
        <f aca="false">F151*IF(G$100&gt;0,G$100,0.5)</f>
        <v>126018.864268185</v>
      </c>
      <c r="O151" s="57" t="n">
        <f aca="false">C151-P151*(G$87+(G$86-G$87)*COS(RADIANS(38)))/2</f>
        <v>219.197937634509</v>
      </c>
      <c r="P151" s="82" t="n">
        <f aca="false">IF(B151&lt;R$160,0.2,IF(B151&lt;-4,-0.8*((B151+4)/(R$160+4))^3+1.2*((B151+4)/(R$160+4))^2-0.2,IF(B151&lt;-2.5,-0.3555555556*B151^3-3.466666667*B151^2-10.66666667*B151-10.15555556,IF(B151&lt;-1,0.4148148148*B151^3+2.177777778*B151^2+3.111111111*B151+1.048148148,0))))+IF(B151&lt;-1,0,-1.6*(B151/(B$122+1)-B$122/(B$122+1))^3-1.9*(B151/(B$122+1)-B$122/(B$122+1))^2+1*(B151/(B$122+1)-B$122/(B$122+1))+1)</f>
        <v>0.2</v>
      </c>
      <c r="Q151" s="9" t="str">
        <f aca="false">IF(L151&gt;L$116,"|",IF(L150&gt;L$116,"V",""))</f>
        <v/>
      </c>
      <c r="R151" s="1" t="n">
        <f aca="false">IF(Q151="V",B151,0)</f>
        <v>0</v>
      </c>
    </row>
    <row r="152" s="1" customFormat="true" ht="15.75" hidden="false" customHeight="false" outlineLevel="0" collapsed="false">
      <c r="B152" s="58" t="n">
        <f aca="false">B151-0.25</f>
        <v>-7.30410034759077</v>
      </c>
      <c r="C152" s="61" t="n">
        <f aca="false">IF(B152&lt;-9,(-0.032*B152^3-1.025*B152^2-10.97*B152-38.234)*(G$84-0.74*G$73)+0.74*G$73,IF(B152&lt;-7.5,(0.07540740741*B152^3+1.843333333*B152^2+14.56*B152+37.501)*(G$84-0.74*G$73)+0.74*G$73,IF(B152&lt;-6,(-0.05792592593*B152^3-1.051333333*B152^2-6.36*B152-12.824)*(G$84-0.74*G$73)+0.74*G$73,0)))+IF(B152&lt;-6,0,IF(B152&lt;-4.5,-0.008888888889*B152^3-0.1033333333*B152^2-0.28*B152+0.86,IF(B152&lt;-3.5,-0.015*B152^3-0.14*B152^2-0.23875*B152+1.23125,IF(B152&lt;-3.1,-0.84375*B152^3-8.590625*B152^2-28.9365625*B152-31.22359375,IF(B152&lt;-2.5,0.3425925926*B152^3+2.702777778*B152^2+6.880277778*B152+6.621342593,IF(B152&lt;-1.5,-0.005*B152^3+0.0075*B152^2-0.07875*B152+0.638125,IF(B152&lt;-1,0.26*B152^3+1.11*B152^2+1.44*B152+1.33,0)))))))*G$73+IF(B152&lt;-1,0,IF((1/(B$122+1)*(B152-B$122))&lt;-0.5,0.32*(1/(B$122+1)*(B152-B$122))^3+1.12*(1/(B$122+1)*(B152-B$122))^2+1.28*(1/(B$122+1)*(B152-B$122))+1.22,-0.26*(1/(B$122+1)*(B152-B$122))^3-0.34*(1/(B$122+1)*(B152-B$122))^2+0.255*(1/(B$122+1)*(B152-B$122))+1))*G$73+IF(B152&gt;-3.1,(-B152-3.1)/(-B$122-3.1),0)*G$85</f>
        <v>262.806032962873</v>
      </c>
      <c r="D152" s="60" t="n">
        <f aca="false">(C152-C151)/(E152-E151)</f>
        <v>0.00601379486535825</v>
      </c>
      <c r="E152" s="57" t="n">
        <f aca="false">IF(D152=0,(8314.4621*C151*LN(H152/H151)/(-G$70*9.80665*G$74)),C151/D152*(1/(H152/H151)^(8314.4621*D152/(G$70*9.80665*G$74))-1))+E151</f>
        <v>186845.073901937</v>
      </c>
      <c r="F152" s="57" t="n">
        <f aca="false">F$38*E152/(F$38-E152)</f>
        <v>189939.757732305</v>
      </c>
      <c r="G152" s="57" t="n">
        <f aca="false">8314.4621*C152/(G$74*G$70*9.80665)</f>
        <v>13356.9454704181</v>
      </c>
      <c r="H152" s="60" t="n">
        <f aca="false">10^B152*101325</f>
        <v>0.00503055920749001</v>
      </c>
      <c r="I152" s="60" t="n">
        <f aca="false">H152/(8314.4621/G$74*C152)</f>
        <v>6.54043744632254E-008</v>
      </c>
      <c r="J152" s="57" t="n">
        <f aca="false">SQRT(8314.4621/G$74*G$76*C152)</f>
        <v>328.517854097006</v>
      </c>
      <c r="K152" s="57" t="n">
        <f aca="false">IF(F$20&gt;0,SQRT(2*G$69/(F$20+N152)),10000)</f>
        <v>3442.79943800371</v>
      </c>
      <c r="L152" s="60" t="n">
        <f aca="false">I152*K152^2/2</f>
        <v>0.387613845263902</v>
      </c>
      <c r="M152" s="60" t="n">
        <f aca="false">I152*K152^3/2</f>
        <v>1334.47969747674</v>
      </c>
      <c r="N152" s="57" t="n">
        <f aca="false">F152*IF(G$100&gt;0,G$100,0.5)</f>
        <v>131041.930365167</v>
      </c>
      <c r="O152" s="57" t="n">
        <f aca="false">C152-P152*(G$87+(G$86-G$87)*COS(RADIANS(38)))/2</f>
        <v>261.618022209266</v>
      </c>
      <c r="P152" s="82" t="n">
        <f aca="false">IF(B152&lt;R$160,0.2,IF(B152&lt;-4,-0.8*((B152+4)/(R$160+4))^3+1.2*((B152+4)/(R$160+4))^2-0.2,IF(B152&lt;-2.5,-0.3555555556*B152^3-3.466666667*B152^2-10.66666667*B152-10.15555556,IF(B152&lt;-1,0.4148148148*B152^3+2.177777778*B152^2+3.111111111*B152+1.048148148,0))))+IF(B152&lt;-1,0,-1.6*(B152/(B$122+1)-B$122/(B$122+1))^3-1.9*(B152/(B$122+1)-B$122/(B$122+1))^2+1*(B152/(B$122+1)-B$122/(B$122+1))+1)</f>
        <v>0.2</v>
      </c>
      <c r="Q152" s="9" t="str">
        <f aca="false">IF(L152&gt;L$116,"|",IF(L151&gt;L$116,"V",""))</f>
        <v/>
      </c>
      <c r="R152" s="1" t="n">
        <f aca="false">IF(Q152="V",B152,0)</f>
        <v>0</v>
      </c>
    </row>
    <row r="153" s="1" customFormat="true" ht="15.75" hidden="false" customHeight="false" outlineLevel="0" collapsed="false">
      <c r="B153" s="58" t="n">
        <f aca="false">B152-0.25</f>
        <v>-7.55410034759077</v>
      </c>
      <c r="C153" s="61" t="n">
        <f aca="false">IF(B153&lt;-9,(-0.032*B153^3-1.025*B153^2-10.97*B153-38.234)*(G$84-0.74*G$73)+0.74*G$73,IF(B153&lt;-7.5,(0.07540740741*B153^3+1.843333333*B153^2+14.56*B153+37.501)*(G$84-0.74*G$73)+0.74*G$73,IF(B153&lt;-6,(-0.05792592593*B153^3-1.051333333*B153^2-6.36*B153-12.824)*(G$84-0.74*G$73)+0.74*G$73,0)))+IF(B153&lt;-6,0,IF(B153&lt;-4.5,-0.008888888889*B153^3-0.1033333333*B153^2-0.28*B153+0.86,IF(B153&lt;-3.5,-0.015*B153^3-0.14*B153^2-0.23875*B153+1.23125,IF(B153&lt;-3.1,-0.84375*B153^3-8.590625*B153^2-28.9365625*B153-31.22359375,IF(B153&lt;-2.5,0.3425925926*B153^3+2.702777778*B153^2+6.880277778*B153+6.621342593,IF(B153&lt;-1.5,-0.005*B153^3+0.0075*B153^2-0.07875*B153+0.638125,IF(B153&lt;-1,0.26*B153^3+1.11*B153^2+1.44*B153+1.33,0)))))))*G$73+IF(B153&lt;-1,0,IF((1/(B$122+1)*(B153-B$122))&lt;-0.5,0.32*(1/(B$122+1)*(B153-B$122))^3+1.12*(1/(B$122+1)*(B153-B$122))^2+1.28*(1/(B$122+1)*(B153-B$122))+1.22,-0.26*(1/(B$122+1)*(B153-B$122))^3-0.34*(1/(B$122+1)*(B153-B$122))^2+0.255*(1/(B$122+1)*(B153-B$122))+1))*G$73+IF(B153&gt;-3.1,(-B153-3.1)/(-B$122-3.1),0)*G$85</f>
        <v>325.791902026163</v>
      </c>
      <c r="D153" s="60" t="n">
        <f aca="false">(C153-C152)/(E153-E152)</f>
        <v>0.00734110543401783</v>
      </c>
      <c r="E153" s="57" t="n">
        <f aca="false">IF(D153=0,(8314.4621*C152*LN(H153/H152)/(-G$70*9.80665*G$74)),C152/D153*(1/(H153/H152)^(8314.4621*D153/(G$70*9.80665*G$74))-1))+E152</f>
        <v>195422.078288009</v>
      </c>
      <c r="F153" s="57" t="n">
        <f aca="false">F$38*E153/(F$38-E153)</f>
        <v>198809.978100333</v>
      </c>
      <c r="G153" s="57" t="n">
        <f aca="false">8314.4621*C153/(G$74*G$70*9.80665)</f>
        <v>16558.1612454156</v>
      </c>
      <c r="H153" s="60" t="n">
        <f aca="false">10^B153*101325</f>
        <v>0.00282889133118844</v>
      </c>
      <c r="I153" s="60" t="n">
        <f aca="false">H153/(8314.4621/G$74*C153)</f>
        <v>2.96689271260585E-008</v>
      </c>
      <c r="J153" s="57" t="n">
        <f aca="false">SQRT(8314.4621/G$74*G$76*C153)</f>
        <v>365.772840193293</v>
      </c>
      <c r="K153" s="57" t="n">
        <f aca="false">IF(F$20&gt;0,SQRT(2*G$69/(F$20+N153)),10000)</f>
        <v>3434.58490888197</v>
      </c>
      <c r="L153" s="60" t="n">
        <f aca="false">I153*K153^2/2</f>
        <v>0.174995108564886</v>
      </c>
      <c r="M153" s="60" t="n">
        <f aca="false">I153*K153^3/2</f>
        <v>601.02788010496</v>
      </c>
      <c r="N153" s="57" t="n">
        <f aca="false">F153*IF(G$100&gt;0,G$100,0.5)</f>
        <v>137161.611750825</v>
      </c>
      <c r="O153" s="57" t="n">
        <f aca="false">C153-P153*(G$87+(G$86-G$87)*COS(RADIANS(38)))/2</f>
        <v>324.603891272556</v>
      </c>
      <c r="P153" s="82" t="n">
        <f aca="false">IF(B153&lt;R$160,0.2,IF(B153&lt;-4,-0.8*((B153+4)/(R$160+4))^3+1.2*((B153+4)/(R$160+4))^2-0.2,IF(B153&lt;-2.5,-0.3555555556*B153^3-3.466666667*B153^2-10.66666667*B153-10.15555556,IF(B153&lt;-1,0.4148148148*B153^3+2.177777778*B153^2+3.111111111*B153+1.048148148,0))))+IF(B153&lt;-1,0,-1.6*(B153/(B$122+1)-B$122/(B$122+1))^3-1.9*(B153/(B$122+1)-B$122/(B$122+1))^2+1*(B153/(B$122+1)-B$122/(B$122+1))+1)</f>
        <v>0.2</v>
      </c>
      <c r="Q153" s="9" t="str">
        <f aca="false">IF(L153&gt;L$116,"|",IF(L152&gt;L$116,"V",""))</f>
        <v/>
      </c>
      <c r="R153" s="1" t="n">
        <f aca="false">IF(Q153="V",B153,0)</f>
        <v>0</v>
      </c>
    </row>
    <row r="154" s="1" customFormat="true" ht="15.75" hidden="false" customHeight="false" outlineLevel="0" collapsed="false">
      <c r="B154" s="58" t="n">
        <f aca="false">B153-0.25</f>
        <v>-7.80410034759077</v>
      </c>
      <c r="C154" s="61" t="n">
        <f aca="false">IF(B154&lt;-9,(-0.032*B154^3-1.025*B154^2-10.97*B154-38.234)*(G$84-0.74*G$73)+0.74*G$73,IF(B154&lt;-7.5,(0.07540740741*B154^3+1.843333333*B154^2+14.56*B154+37.501)*(G$84-0.74*G$73)+0.74*G$73,IF(B154&lt;-6,(-0.05792592593*B154^3-1.051333333*B154^2-6.36*B154-12.824)*(G$84-0.74*G$73)+0.74*G$73,0)))+IF(B154&lt;-6,0,IF(B154&lt;-4.5,-0.008888888889*B154^3-0.1033333333*B154^2-0.28*B154+0.86,IF(B154&lt;-3.5,-0.015*B154^3-0.14*B154^2-0.23875*B154+1.23125,IF(B154&lt;-3.1,-0.84375*B154^3-8.590625*B154^2-28.9365625*B154-31.22359375,IF(B154&lt;-2.5,0.3425925926*B154^3+2.702777778*B154^2+6.880277778*B154+6.621342593,IF(B154&lt;-1.5,-0.005*B154^3+0.0075*B154^2-0.07875*B154+0.638125,IF(B154&lt;-1,0.26*B154^3+1.11*B154^2+1.44*B154+1.33,0)))))))*G$73+IF(B154&lt;-1,0,IF((1/(B$122+1)*(B154-B$122))&lt;-0.5,0.32*(1/(B$122+1)*(B154-B$122))^3+1.12*(1/(B$122+1)*(B154-B$122))^2+1.28*(1/(B$122+1)*(B154-B$122))+1.22,-0.26*(1/(B$122+1)*(B154-B$122))^3-0.34*(1/(B$122+1)*(B154-B$122))^2+0.255*(1/(B$122+1)*(B154-B$122))+1))*G$73+IF(B154&gt;-3.1,(-B154-3.1)/(-B$122-3.1),0)*G$85</f>
        <v>403.940099080496</v>
      </c>
      <c r="D154" s="60" t="n">
        <f aca="false">(C154-C153)/(E154-E153)</f>
        <v>0.0073539396728357</v>
      </c>
      <c r="E154" s="57" t="n">
        <f aca="false">IF(D154=0,(8314.4621*C153*LN(H154/H153)/(-G$70*9.80665*G$74)),C153/D154*(1/(H154/H153)^(8314.4621*D154/(G$70*9.80665*G$74))-1))+E153</f>
        <v>206056.773366125</v>
      </c>
      <c r="F154" s="57" t="n">
        <f aca="false">F$38*E154/(F$38-E154)</f>
        <v>209826.996136163</v>
      </c>
      <c r="G154" s="57" t="n">
        <f aca="false">8314.4621*C154/(G$74*G$70*9.80665)</f>
        <v>20529.992465948</v>
      </c>
      <c r="H154" s="60" t="n">
        <f aca="false">10^B154*101325</f>
        <v>0.0015908025</v>
      </c>
      <c r="I154" s="60" t="n">
        <f aca="false">H154/(8314.4621/G$74*C154)</f>
        <v>1.34562844598439E-008</v>
      </c>
      <c r="J154" s="57" t="n">
        <f aca="false">SQRT(8314.4621/G$74*G$76*C154)</f>
        <v>407.286294355122</v>
      </c>
      <c r="K154" s="57" t="n">
        <f aca="false">IF(F$20&gt;0,SQRT(2*G$69/(F$20+N154)),10000)</f>
        <v>3424.46367589333</v>
      </c>
      <c r="L154" s="60" t="n">
        <f aca="false">I154*K154^2/2</f>
        <v>0.0789005973968187</v>
      </c>
      <c r="M154" s="60" t="n">
        <f aca="false">I154*K154^3/2</f>
        <v>270.19222979169</v>
      </c>
      <c r="N154" s="57" t="n">
        <f aca="false">F154*IF(G$100&gt;0,G$100,0.5)</f>
        <v>144762.397007789</v>
      </c>
      <c r="O154" s="57" t="n">
        <f aca="false">C154-P154*(G$87+(G$86-G$87)*COS(RADIANS(38)))/2</f>
        <v>402.752088326889</v>
      </c>
      <c r="P154" s="82" t="n">
        <f aca="false">IF(B154&lt;R$160,0.2,IF(B154&lt;-4,-0.8*((B154+4)/(R$160+4))^3+1.2*((B154+4)/(R$160+4))^2-0.2,IF(B154&lt;-2.5,-0.3555555556*B154^3-3.466666667*B154^2-10.66666667*B154-10.15555556,IF(B154&lt;-1,0.4148148148*B154^3+2.177777778*B154^2+3.111111111*B154+1.048148148,0))))+IF(B154&lt;-1,0,-1.6*(B154/(B$122+1)-B$122/(B$122+1))^3-1.9*(B154/(B$122+1)-B$122/(B$122+1))^2+1*(B154/(B$122+1)-B$122/(B$122+1))+1)</f>
        <v>0.2</v>
      </c>
      <c r="Q154" s="9" t="str">
        <f aca="false">IF(L154&gt;L$116,"|",IF(L153&gt;L$116,"V",""))</f>
        <v/>
      </c>
      <c r="R154" s="1" t="n">
        <f aca="false">IF(Q154="V",B154,0)</f>
        <v>0</v>
      </c>
    </row>
    <row r="155" s="1" customFormat="true" ht="15.75" hidden="false" customHeight="false" outlineLevel="0" collapsed="false">
      <c r="B155" s="58" t="n">
        <f aca="false">B154-0.25</f>
        <v>-8.05410034759077</v>
      </c>
      <c r="C155" s="61" t="n">
        <f aca="false">IF(B155&lt;-9,(-0.032*B155^3-1.025*B155^2-10.97*B155-38.234)*(G$84-0.74*G$73)+0.74*G$73,IF(B155&lt;-7.5,(0.07540740741*B155^3+1.843333333*B155^2+14.56*B155+37.501)*(G$84-0.74*G$73)+0.74*G$73,IF(B155&lt;-6,(-0.05792592593*B155^3-1.051333333*B155^2-6.36*B155-12.824)*(G$84-0.74*G$73)+0.74*G$73,0)))+IF(B155&lt;-6,0,IF(B155&lt;-4.5,-0.008888888889*B155^3-0.1033333333*B155^2-0.28*B155+0.86,IF(B155&lt;-3.5,-0.015*B155^3-0.14*B155^2-0.23875*B155+1.23125,IF(B155&lt;-3.1,-0.84375*B155^3-8.590625*B155^2-28.9365625*B155-31.22359375,IF(B155&lt;-2.5,0.3425925926*B155^3+2.702777778*B155^2+6.880277778*B155+6.621342593,IF(B155&lt;-1.5,-0.005*B155^3+0.0075*B155^2-0.07875*B155+0.638125,IF(B155&lt;-1,0.26*B155^3+1.11*B155^2+1.44*B155+1.33,0)))))))*G$73+IF(B155&lt;-1,0,IF((1/(B$122+1)*(B155-B$122))&lt;-0.5,0.32*(1/(B$122+1)*(B155-B$122))^3+1.12*(1/(B$122+1)*(B155-B$122))^2+1.28*(1/(B$122+1)*(B155-B$122))+1.22,-0.26*(1/(B$122+1)*(B155-B$122))^3-0.34*(1/(B$122+1)*(B155-B$122))^2+0.255*(1/(B$122+1)*(B155-B$122))+1))*G$73+IF(B155&gt;-3.1,(-B155-3.1)/(-B$122-3.1),0)*G$85</f>
        <v>489.526047900089</v>
      </c>
      <c r="D155" s="60" t="n">
        <f aca="false">(C155-C154)/(E155-E154)</f>
        <v>0.0065606978567766</v>
      </c>
      <c r="E155" s="57" t="n">
        <f aca="false">IF(D155=0,(8314.4621*C154*LN(H155/H154)/(-G$70*9.80665*G$74)),C154/D155*(1/(H155/H154)^(8314.4621*D155/(G$70*9.80665*G$74))-1))+E154</f>
        <v>219085.182213202</v>
      </c>
      <c r="F155" s="57" t="n">
        <f aca="false">F$38*E155/(F$38-E155)</f>
        <v>223352.175361583</v>
      </c>
      <c r="G155" s="57" t="n">
        <f aca="false">8314.4621*C155/(G$74*G$70*9.80665)</f>
        <v>24879.8425760435</v>
      </c>
      <c r="H155" s="60" t="n">
        <f aca="false">10^B155*101325</f>
        <v>0.000894573985966123</v>
      </c>
      <c r="I155" s="60" t="n">
        <f aca="false">H155/(8314.4621/G$74*C155)</f>
        <v>6.24404926933374E-009</v>
      </c>
      <c r="J155" s="57" t="n">
        <f aca="false">SQRT(8314.4621/G$74*G$76*C155)</f>
        <v>448.362430642287</v>
      </c>
      <c r="K155" s="57" t="n">
        <f aca="false">IF(F$20&gt;0,SQRT(2*G$69/(F$20+N155)),10000)</f>
        <v>3412.15971897572</v>
      </c>
      <c r="L155" s="60" t="n">
        <f aca="false">I155*K155^2/2</f>
        <v>0.0363488769626568</v>
      </c>
      <c r="M155" s="60" t="n">
        <f aca="false">I155*K155^3/2</f>
        <v>124.029325200175</v>
      </c>
      <c r="N155" s="57" t="n">
        <f aca="false">F155*IF(G$100&gt;0,G$100,0.5)</f>
        <v>154093.595569871</v>
      </c>
      <c r="O155" s="57" t="n">
        <f aca="false">C155-P155*(G$87+(G$86-G$87)*COS(RADIANS(38)))/2</f>
        <v>488.338037146482</v>
      </c>
      <c r="P155" s="82" t="n">
        <f aca="false">IF(B155&lt;R$160,0.2,IF(B155&lt;-4,-0.8*((B155+4)/(R$160+4))^3+1.2*((B155+4)/(R$160+4))^2-0.2,IF(B155&lt;-2.5,-0.3555555556*B155^3-3.466666667*B155^2-10.66666667*B155-10.15555556,IF(B155&lt;-1,0.4148148148*B155^3+2.177777778*B155^2+3.111111111*B155+1.048148148,0))))+IF(B155&lt;-1,0,-1.6*(B155/(B$122+1)-B$122/(B$122+1))^3-1.9*(B155/(B$122+1)-B$122/(B$122+1))^2+1*(B155/(B$122+1)-B$122/(B$122+1))+1)</f>
        <v>0.2</v>
      </c>
      <c r="Q155" s="9" t="str">
        <f aca="false">IF(L155&gt;L$116,"|",IF(L154&gt;L$116,"V",""))</f>
        <v/>
      </c>
      <c r="R155" s="1" t="n">
        <f aca="false">IF(Q155="V",B155,0)</f>
        <v>0</v>
      </c>
    </row>
    <row r="156" s="1" customFormat="true" ht="15.75" hidden="false" customHeight="false" outlineLevel="0" collapsed="false">
      <c r="B156" s="58" t="n">
        <f aca="false">B155-0.25</f>
        <v>-8.30410034759077</v>
      </c>
      <c r="C156" s="61" t="n">
        <f aca="false">IF(B156&lt;-9,(-0.032*B156^3-1.025*B156^2-10.97*B156-38.234)*(G$84-0.74*G$73)+0.74*G$73,IF(B156&lt;-7.5,(0.07540740741*B156^3+1.843333333*B156^2+14.56*B156+37.501)*(G$84-0.74*G$73)+0.74*G$73,IF(B156&lt;-6,(-0.05792592593*B156^3-1.051333333*B156^2-6.36*B156-12.824)*(G$84-0.74*G$73)+0.74*G$73,0)))+IF(B156&lt;-6,0,IF(B156&lt;-4.5,-0.008888888889*B156^3-0.1033333333*B156^2-0.28*B156+0.86,IF(B156&lt;-3.5,-0.015*B156^3-0.14*B156^2-0.23875*B156+1.23125,IF(B156&lt;-3.1,-0.84375*B156^3-8.590625*B156^2-28.9365625*B156-31.22359375,IF(B156&lt;-2.5,0.3425925926*B156^3+2.702777778*B156^2+6.880277778*B156+6.621342593,IF(B156&lt;-1.5,-0.005*B156^3+0.0075*B156^2-0.07875*B156+0.638125,IF(B156&lt;-1,0.26*B156^3+1.11*B156^2+1.44*B156+1.33,0)))))))*G$73+IF(B156&lt;-1,0,IF((1/(B$122+1)*(B156-B$122))&lt;-0.5,0.32*(1/(B$122+1)*(B156-B$122))^3+1.12*(1/(B$122+1)*(B156-B$122))^2+1.28*(1/(B$122+1)*(B156-B$122))+1.22,-0.26*(1/(B$122+1)*(B156-B$122))^3-0.34*(1/(B$122+1)*(B156-B$122))^2+0.255*(1/(B$122+1)*(B156-B$122))+1))*G$73+IF(B156&gt;-3.1,(-B156-3.1)/(-B$122-3.1),0)*G$85</f>
        <v>577.148012697797</v>
      </c>
      <c r="D156" s="60" t="n">
        <f aca="false">(C156-C155)/(E156-E155)</f>
        <v>0.0056208507419472</v>
      </c>
      <c r="E156" s="57" t="n">
        <f aca="false">IF(D156=0,(8314.4621*C155*LN(H156/H155)/(-G$70*9.80665*G$74)),C155/D156*(1/(H156/H155)^(8314.4621*D156/(G$70*9.80665*G$74))-1))+E155</f>
        <v>234652.080552538</v>
      </c>
      <c r="F156" s="57" t="n">
        <f aca="false">F$38*E156/(F$38-E156)</f>
        <v>239553.774383303</v>
      </c>
      <c r="G156" s="57" t="n">
        <f aca="false">8314.4621*C156/(G$74*G$70*9.80665)</f>
        <v>29333.1718722519</v>
      </c>
      <c r="H156" s="60" t="n">
        <f aca="false">10^B156*101325</f>
        <v>0.000503055920749002</v>
      </c>
      <c r="I156" s="60" t="n">
        <f aca="false">H156/(8314.4621/G$74*C156)</f>
        <v>2.97820729049252E-009</v>
      </c>
      <c r="J156" s="57" t="n">
        <f aca="false">SQRT(8314.4621/G$74*G$76*C156)</f>
        <v>486.838498478481</v>
      </c>
      <c r="K156" s="57" t="n">
        <f aca="false">IF(F$20&gt;0,SQRT(2*G$69/(F$20+N156)),10000)</f>
        <v>3397.59413958042</v>
      </c>
      <c r="L156" s="60" t="n">
        <f aca="false">I156*K156^2/2</f>
        <v>0.0171894795171361</v>
      </c>
      <c r="M156" s="60" t="n">
        <f aca="false">I156*K156^3/2</f>
        <v>58.4035738485647</v>
      </c>
      <c r="N156" s="57" t="n">
        <f aca="false">F156*IF(G$100&gt;0,G$100,0.5)</f>
        <v>165271.291256947</v>
      </c>
      <c r="O156" s="57" t="n">
        <f aca="false">C156-P156*(G$87+(G$86-G$87)*COS(RADIANS(38)))/2</f>
        <v>575.960001944191</v>
      </c>
      <c r="P156" s="82" t="n">
        <f aca="false">IF(B156&lt;R$160,0.2,IF(B156&lt;-4,-0.8*((B156+4)/(R$160+4))^3+1.2*((B156+4)/(R$160+4))^2-0.2,IF(B156&lt;-2.5,-0.3555555556*B156^3-3.466666667*B156^2-10.66666667*B156-10.15555556,IF(B156&lt;-1,0.4148148148*B156^3+2.177777778*B156^2+3.111111111*B156+1.048148148,0))))+IF(B156&lt;-1,0,-1.6*(B156/(B$122+1)-B$122/(B$122+1))^3-1.9*(B156/(B$122+1)-B$122/(B$122+1))^2+1*(B156/(B$122+1)-B$122/(B$122+1))+1)</f>
        <v>0.2</v>
      </c>
      <c r="Q156" s="9" t="str">
        <f aca="false">IF(L156&gt;L$116,"|",IF(L155&gt;L$116,"V",""))</f>
        <v/>
      </c>
      <c r="R156" s="1" t="n">
        <f aca="false">IF(Q156="V",B156,0)</f>
        <v>0</v>
      </c>
    </row>
    <row r="157" s="1" customFormat="true" ht="15.75" hidden="false" customHeight="false" outlineLevel="0" collapsed="false">
      <c r="B157" s="58" t="n">
        <f aca="false">B156-0.25</f>
        <v>-8.55410034759077</v>
      </c>
      <c r="C157" s="61" t="n">
        <f aca="false">IF(B157&lt;-9,(-0.032*B157^3-1.025*B157^2-10.97*B157-38.234)*(G$84-0.74*G$73)+0.74*G$73,IF(B157&lt;-7.5,(0.07540740741*B157^3+1.843333333*B157^2+14.56*B157+37.501)*(G$84-0.74*G$73)+0.74*G$73,IF(B157&lt;-6,(-0.05792592593*B157^3-1.051333333*B157^2-6.36*B157-12.824)*(G$84-0.74*G$73)+0.74*G$73,0)))+IF(B157&lt;-6,0,IF(B157&lt;-4.5,-0.008888888889*B157^3-0.1033333333*B157^2-0.28*B157+0.86,IF(B157&lt;-3.5,-0.015*B157^3-0.14*B157^2-0.23875*B157+1.23125,IF(B157&lt;-3.1,-0.84375*B157^3-8.590625*B157^2-28.9365625*B157-31.22359375,IF(B157&lt;-2.5,0.3425925926*B157^3+2.702777778*B157^2+6.880277778*B157+6.621342593,IF(B157&lt;-1.5,-0.005*B157^3+0.0075*B157^2-0.07875*B157+0.638125,IF(B157&lt;-1,0.26*B157^3+1.11*B157^2+1.44*B157+1.33,0)))))))*G$73+IF(B157&lt;-1,0,IF((1/(B$122+1)*(B157-B$122))&lt;-0.5,0.32*(1/(B$122+1)*(B157-B$122))^3+1.12*(1/(B$122+1)*(B157-B$122))^2+1.28*(1/(B$122+1)*(B157-B$122))+1.22,-0.26*(1/(B$122+1)*(B157-B$122))^3-0.34*(1/(B$122+1)*(B157-B$122))^2+0.255*(1/(B$122+1)*(B157-B$122))+1))*G$73+IF(B157&gt;-3.1,(-B157-3.1)/(-B$122-3.1),0)*G$85</f>
        <v>661.404257686478</v>
      </c>
      <c r="D157" s="60" t="n">
        <f aca="false">(C157-C156)/(E157-E156)</f>
        <v>0.00465275867509079</v>
      </c>
      <c r="E157" s="57" t="n">
        <f aca="false">IF(D157=0,(8314.4621*C156*LN(H157/H156)/(-G$70*9.80665*G$74)),C156/D157*(1/(H157/H156)^(8314.4621*D157/(G$70*9.80665*G$74))-1))+E156</f>
        <v>252740.855823499</v>
      </c>
      <c r="F157" s="57" t="n">
        <f aca="false">F$38*E157/(F$38-E157)</f>
        <v>258436.569819278</v>
      </c>
      <c r="G157" s="57" t="n">
        <f aca="false">8314.4621*C157/(G$74*G$70*9.80665)</f>
        <v>33615.4406511234</v>
      </c>
      <c r="H157" s="60" t="n">
        <f aca="false">10^B157*101325</f>
        <v>0.000282889133118845</v>
      </c>
      <c r="I157" s="60" t="n">
        <f aca="false">H157/(8314.4621/G$74*C157)</f>
        <v>1.46142031702132E-009</v>
      </c>
      <c r="J157" s="57" t="n">
        <f aca="false">SQRT(8314.4621/G$74*G$76*C157)</f>
        <v>521.164475755413</v>
      </c>
      <c r="K157" s="57" t="n">
        <f aca="false">IF(F$20&gt;0,SQRT(2*G$69/(F$20+N157)),10000)</f>
        <v>3380.85123100535</v>
      </c>
      <c r="L157" s="60" t="n">
        <f aca="false">I157*K157^2/2</f>
        <v>0.00835203899766955</v>
      </c>
      <c r="M157" s="60" t="n">
        <f aca="false">I157*K157^3/2</f>
        <v>28.2373103633007</v>
      </c>
      <c r="N157" s="57" t="n">
        <f aca="false">F157*IF(G$100&gt;0,G$100,0.5)</f>
        <v>178298.7795204</v>
      </c>
      <c r="O157" s="57" t="n">
        <f aca="false">C157-P157*(G$87+(G$86-G$87)*COS(RADIANS(38)))/2</f>
        <v>660.216246932871</v>
      </c>
      <c r="P157" s="82" t="n">
        <f aca="false">IF(B157&lt;R$160,0.2,IF(B157&lt;-4,-0.8*((B157+4)/(R$160+4))^3+1.2*((B157+4)/(R$160+4))^2-0.2,IF(B157&lt;-2.5,-0.3555555556*B157^3-3.466666667*B157^2-10.66666667*B157-10.15555556,IF(B157&lt;-1,0.4148148148*B157^3+2.177777778*B157^2+3.111111111*B157+1.048148148,0))))+IF(B157&lt;-1,0,-1.6*(B157/(B$122+1)-B$122/(B$122+1))^3-1.9*(B157/(B$122+1)-B$122/(B$122+1))^2+1*(B157/(B$122+1)-B$122/(B$122+1))+1)</f>
        <v>0.2</v>
      </c>
      <c r="Q157" s="9" t="str">
        <f aca="false">IF(L157&gt;L$116,"|",IF(L156&gt;L$116,"V",""))</f>
        <v/>
      </c>
      <c r="R157" s="1" t="n">
        <f aca="false">IF(Q157="V",B157,0)</f>
        <v>0</v>
      </c>
    </row>
    <row r="158" s="1" customFormat="true" ht="15.75" hidden="false" customHeight="false" outlineLevel="0" collapsed="false">
      <c r="B158" s="58" t="n">
        <f aca="false">B157-0.25</f>
        <v>-8.80410034759077</v>
      </c>
      <c r="C158" s="62" t="n">
        <f aca="false">IF(B158&lt;-9,(-0.032*B158^3-1.025*B158^2-10.97*B158-38.234)*(G$84-0.74*G$73)+0.74*G$73,IF(B158&lt;-7.5,(0.07540740741*B158^3+1.843333333*B158^2+14.56*B158+37.501)*(G$84-0.74*G$73)+0.74*G$73,IF(B158&lt;-6,(-0.05792592593*B158^3-1.051333333*B158^2-6.36*B158-12.824)*(G$84-0.74*G$73)+0.74*G$73,0)))+IF(B158&lt;-6,0,IF(B158&lt;-4.5,-0.008888888889*B158^3-0.1033333333*B158^2-0.28*B158+0.86,IF(B158&lt;-3.5,-0.015*B158^3-0.14*B158^2-0.23875*B158+1.23125,IF(B158&lt;-3.1,-0.84375*B158^3-8.590625*B158^2-28.9365625*B158-31.22359375,IF(B158&lt;-2.5,0.3425925926*B158^3+2.702777778*B158^2+6.880277778*B158+6.621342593,IF(B158&lt;-1.5,-0.005*B158^3+0.0075*B158^2-0.07875*B158+0.638125,IF(B158&lt;-1,0.26*B158^3+1.11*B158^2+1.44*B158+1.33,0)))))))*G$73+IF(B158&lt;-1,0,IF((1/(B$122+1)*(B158-B$122))&lt;-0.5,0.32*(1/(B$122+1)*(B158-B$122))^3+1.12*(1/(B$122+1)*(B158-B$122))^2+1.28*(1/(B$122+1)*(B158-B$122))+1.22,-0.26*(1/(B$122+1)*(B158-B$122))^3-0.34*(1/(B$122+1)*(B158-B$122))^2+0.255*(1/(B$122+1)*(B158-B$122))+1))*G$73+IF(B158&gt;-3.1,(-B158-3.1)/(-B$122-3.1),0)*G$85</f>
        <v>736.89304707903</v>
      </c>
      <c r="D158" s="60" t="n">
        <f aca="false">(C158-C157)/(E158-E157)</f>
        <v>0.00369152010853433</v>
      </c>
      <c r="E158" s="57" t="n">
        <f aca="false">IF(D158=0,(8314.4621*C157*LN(H158/H157)/(-G$70*9.80665*G$74)),C157/D158*(1/(H158/H157)^(8314.4621*D158/(G$70*9.80665*G$74))-1))+E157</f>
        <v>273175.070399493</v>
      </c>
      <c r="F158" s="57" t="n">
        <f aca="false">F$38*E158/(F$38-E158)</f>
        <v>279841.164134142</v>
      </c>
      <c r="G158" s="57" t="n">
        <f aca="false">8314.4621*C158/(G$74*G$70*9.80665)</f>
        <v>37452.1092092103</v>
      </c>
      <c r="H158" s="60" t="n">
        <f aca="false">10^B158*101325</f>
        <v>0.00015908025</v>
      </c>
      <c r="I158" s="60" t="n">
        <f aca="false">H158/(8314.4621/G$74*C158)</f>
        <v>7.37628465828333E-010</v>
      </c>
      <c r="J158" s="57" t="n">
        <f aca="false">SQRT(8314.4621/G$74*G$76*C158)</f>
        <v>550.102402130085</v>
      </c>
      <c r="K158" s="57" t="n">
        <f aca="false">IF(F$20&gt;0,SQRT(2*G$69/(F$20+N158)),10000)</f>
        <v>3362.16837714983</v>
      </c>
      <c r="L158" s="60" t="n">
        <f aca="false">I158*K158^2/2</f>
        <v>0.00416910721791902</v>
      </c>
      <c r="M158" s="60" t="n">
        <f aca="false">I158*K158^3/2</f>
        <v>14.0173542740623</v>
      </c>
      <c r="N158" s="57" t="n">
        <f aca="false">F158*IF(G$100&gt;0,G$100,0.5)</f>
        <v>193066.089909708</v>
      </c>
      <c r="O158" s="57" t="n">
        <f aca="false">C158-P158*(G$87+(G$86-G$87)*COS(RADIANS(38)))/2</f>
        <v>735.705036325423</v>
      </c>
      <c r="P158" s="82" t="n">
        <f aca="false">IF(B158&lt;R$160,0.2,IF(B158&lt;-4,-0.8*((B158+4)/(R$160+4))^3+1.2*((B158+4)/(R$160+4))^2-0.2,IF(B158&lt;-2.5,-0.3555555556*B158^3-3.466666667*B158^2-10.66666667*B158-10.15555556,IF(B158&lt;-1,0.4148148148*B158^3+2.177777778*B158^2+3.111111111*B158+1.048148148,0))))+IF(B158&lt;-1,0,-1.6*(B158/(B$122+1)-B$122/(B$122+1))^3-1.9*(B158/(B$122+1)-B$122/(B$122+1))^2+1*(B158/(B$122+1)-B$122/(B$122+1))+1)</f>
        <v>0.2</v>
      </c>
      <c r="Q158" s="9" t="str">
        <f aca="false">IF(L158&gt;L$116,"|",IF(L157&gt;L$116,"V",""))</f>
        <v/>
      </c>
      <c r="R158" s="1" t="n">
        <f aca="false">IF(Q158="V",B158,0)</f>
        <v>0</v>
      </c>
    </row>
    <row r="160" customFormat="false" ht="15.75" hidden="false" customHeight="false" outlineLevel="0" collapsed="false">
      <c r="R160" s="1" t="n">
        <f aca="false">SUM(R122:R159)</f>
        <v>-5.55410034759077</v>
      </c>
    </row>
  </sheetData>
  <mergeCells count="39">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H40"/>
    <mergeCell ref="B41:H41"/>
    <mergeCell ref="B47:D47"/>
    <mergeCell ref="B48:D48"/>
    <mergeCell ref="B49:D49"/>
    <mergeCell ref="B50:D50"/>
    <mergeCell ref="B51:D51"/>
    <mergeCell ref="B52:D52"/>
    <mergeCell ref="I52:J52"/>
    <mergeCell ref="B53:D53"/>
    <mergeCell ref="I53:J53"/>
    <mergeCell ref="B54:D54"/>
    <mergeCell ref="I54:J54"/>
    <mergeCell ref="B60:H60"/>
    <mergeCell ref="B61:H61"/>
    <mergeCell ref="B62:H62"/>
    <mergeCell ref="B64:H64"/>
    <mergeCell ref="B81:H81"/>
    <mergeCell ref="B93:H93"/>
    <mergeCell ref="B94:H94"/>
    <mergeCell ref="B103:Q103"/>
    <mergeCell ref="B104:Q104"/>
    <mergeCell ref="B105:Q105"/>
  </mergeCells>
  <dataValidations count="3">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3" type="decimal">
      <formula1>0.2</formula1>
      <formula2>10</formula2>
    </dataValidation>
    <dataValidation allowBlank="true" errorStyle="stop" operator="between" showDropDown="false" showErrorMessage="true" showInputMessage="true" sqref="I52:J54"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5" zeroHeight="false" outlineLevelRow="0" outlineLevelCol="0"/>
  <cols>
    <col collapsed="false" customWidth="true" hidden="false" outlineLevel="0" max="1" min="1" style="63" width="27.71"/>
    <col collapsed="false" customWidth="true" hidden="false" outlineLevel="0" max="5" min="2" style="63" width="14.69"/>
    <col collapsed="false" customWidth="false" hidden="false" outlineLevel="0" max="1024" min="6" style="63" width="9.13"/>
  </cols>
  <sheetData>
    <row r="1" customFormat="false" ht="78.75" hidden="false" customHeight="true" outlineLevel="0" collapsed="false">
      <c r="A1" s="64" t="s">
        <v>289</v>
      </c>
      <c r="B1" s="64"/>
      <c r="C1" s="64"/>
      <c r="D1" s="64"/>
      <c r="E1" s="64"/>
    </row>
    <row r="2" customFormat="false" ht="15" hidden="false" customHeight="false" outlineLevel="0" collapsed="false">
      <c r="A2" s="65"/>
      <c r="B2" s="65"/>
      <c r="C2" s="65"/>
      <c r="D2" s="65"/>
      <c r="E2" s="65"/>
    </row>
    <row r="3" customFormat="false" ht="15" hidden="false" customHeight="false" outlineLevel="0" collapsed="false">
      <c r="A3" s="65" t="s">
        <v>290</v>
      </c>
      <c r="B3" s="65"/>
      <c r="C3" s="65"/>
      <c r="D3" s="65"/>
      <c r="E3" s="65"/>
    </row>
    <row r="4" customFormat="false" ht="15" hidden="false" customHeight="false" outlineLevel="0" collapsed="false">
      <c r="A4" s="65" t="s">
        <v>209</v>
      </c>
      <c r="B4" s="69"/>
      <c r="D4" s="65"/>
      <c r="E4" s="69"/>
    </row>
    <row r="5" customFormat="false" ht="15" hidden="false" customHeight="false" outlineLevel="0" collapsed="false">
      <c r="A5" s="66" t="s">
        <v>291</v>
      </c>
      <c r="B5" s="69" t="n">
        <f aca="false">Earthlike!G24</f>
        <v>0.3</v>
      </c>
      <c r="D5" s="65"/>
      <c r="E5" s="69"/>
    </row>
    <row r="6" customFormat="false" ht="15" hidden="false" customHeight="false" outlineLevel="0" collapsed="false">
      <c r="A6" s="65" t="s">
        <v>212</v>
      </c>
      <c r="B6" s="69"/>
      <c r="D6" s="65"/>
      <c r="E6" s="69"/>
    </row>
    <row r="7" customFormat="false" ht="15" hidden="false" customHeight="false" outlineLevel="0" collapsed="false">
      <c r="A7" s="65" t="s">
        <v>213</v>
      </c>
      <c r="B7" s="65"/>
      <c r="D7" s="65"/>
      <c r="E7" s="69"/>
    </row>
    <row r="8" customFormat="false" ht="15" hidden="false" customHeight="false" outlineLevel="0" collapsed="false">
      <c r="A8" s="65" t="s">
        <v>209</v>
      </c>
      <c r="B8" s="69"/>
      <c r="D8" s="65"/>
      <c r="E8" s="69"/>
    </row>
    <row r="9" customFormat="false" ht="15" hidden="false" customHeight="false" outlineLevel="0" collapsed="false">
      <c r="A9" s="66" t="s">
        <v>214</v>
      </c>
      <c r="B9" s="69" t="s">
        <v>215</v>
      </c>
      <c r="D9" s="69"/>
      <c r="E9" s="69"/>
    </row>
    <row r="10" customFormat="false" ht="15" hidden="false" customHeight="false" outlineLevel="0" collapsed="false">
      <c r="A10" s="66" t="s">
        <v>216</v>
      </c>
      <c r="B10" s="69" t="str">
        <f aca="false">IF(Earthlike!F48&gt;0,"True","False")</f>
        <v>False</v>
      </c>
      <c r="D10" s="69"/>
      <c r="E10" s="69"/>
    </row>
    <row r="11" customFormat="false" ht="15" hidden="false" customHeight="false" outlineLevel="0" collapsed="false">
      <c r="A11" s="66" t="s">
        <v>218</v>
      </c>
      <c r="B11" s="69" t="n">
        <f aca="false">MAX(B18:B54)</f>
        <v>103000</v>
      </c>
      <c r="D11" s="69"/>
      <c r="E11" s="69"/>
    </row>
    <row r="12" customFormat="false" ht="15" hidden="false" customHeight="false" outlineLevel="0" collapsed="false">
      <c r="A12" s="66" t="s">
        <v>219</v>
      </c>
      <c r="B12" s="83" t="n">
        <f aca="false">ROUND(Earthlike!G76,2)</f>
        <v>1.4</v>
      </c>
      <c r="D12" s="69"/>
      <c r="E12" s="69"/>
    </row>
    <row r="13" customFormat="false" ht="15" hidden="false" customHeight="false" outlineLevel="0" collapsed="false">
      <c r="A13" s="66" t="s">
        <v>220</v>
      </c>
      <c r="B13" s="69" t="n">
        <f aca="false">ROUND(Earthlike!G74/1000,5)</f>
        <v>0.02841</v>
      </c>
      <c r="D13" s="69"/>
      <c r="E13" s="69"/>
    </row>
    <row r="14" customFormat="false" ht="15" hidden="false" customHeight="false" outlineLevel="0" collapsed="false">
      <c r="A14" s="66" t="s">
        <v>221</v>
      </c>
      <c r="B14" s="68" t="n">
        <f aca="false">ROUND(Earthlike!C$122,0)</f>
        <v>279</v>
      </c>
      <c r="D14" s="69"/>
      <c r="E14" s="69"/>
    </row>
    <row r="15" customFormat="false" ht="15" hidden="false" customHeight="false" outlineLevel="0" collapsed="false">
      <c r="A15" s="66" t="s">
        <v>222</v>
      </c>
      <c r="B15" s="71" t="n">
        <f aca="false">C130</f>
        <v>159.08025</v>
      </c>
      <c r="D15" s="69"/>
      <c r="E15" s="69"/>
    </row>
    <row r="16" customFormat="false" ht="15" hidden="false" customHeight="false" outlineLevel="0" collapsed="false">
      <c r="A16" s="66" t="s">
        <v>223</v>
      </c>
      <c r="B16" s="69"/>
      <c r="D16" s="69"/>
      <c r="E16" s="69"/>
    </row>
    <row r="17" customFormat="false" ht="15" hidden="false" customHeight="false" outlineLevel="0" collapsed="false">
      <c r="A17" s="66" t="s">
        <v>209</v>
      </c>
      <c r="B17" s="65"/>
      <c r="C17" s="69"/>
      <c r="D17" s="69"/>
      <c r="E17" s="69"/>
    </row>
    <row r="18" customFormat="false" ht="15" hidden="false" customHeight="false" outlineLevel="0" collapsed="false">
      <c r="A18" s="69" t="str">
        <f aca="false">IF(B18="","Unused","key =")</f>
        <v>key =</v>
      </c>
      <c r="B18" s="69" t="n">
        <f aca="false">IF(Earthlike!Q122="|",ROUND(Earthlike!N122,0),IF(Earthlike!Q122="V",ROUND(Earthlike!N122,-3),""))</f>
        <v>0</v>
      </c>
      <c r="C18" s="69" t="n">
        <f aca="false">IF(B18="","",ROUND(Earthlike!O122,0))</f>
        <v>273</v>
      </c>
      <c r="D18" s="71" t="n">
        <v>0</v>
      </c>
      <c r="E18" s="71" t="n">
        <f aca="false">(C19-C18)/(B19-B18)</f>
        <v>-0.0031278748850046</v>
      </c>
    </row>
    <row r="19" customFormat="false" ht="15" hidden="false" customHeight="false" outlineLevel="0" collapsed="false">
      <c r="A19" s="69" t="str">
        <f aca="false">IF(B19="","Unused","key =")</f>
        <v>key =</v>
      </c>
      <c r="B19" s="69" t="n">
        <f aca="false">IF(Earthlike!Q123="|",ROUND(Earthlike!N123,0),IF(Earthlike!Q123="V",ROUND(Earthlike!N123,-3),""))</f>
        <v>5435</v>
      </c>
      <c r="C19" s="69" t="n">
        <f aca="false">IF(B19="","",ROUND(Earthlike!O123,0))</f>
        <v>256</v>
      </c>
      <c r="D19" s="71" t="n">
        <f aca="false">IF(C19="","",(C19-C18)/(B19-B18))</f>
        <v>-0.0031278748850046</v>
      </c>
      <c r="E19" s="71" t="n">
        <f aca="false">IF(C19="","",IF(C20="",0,(C20-C19)/(B20-B19)))</f>
        <v>-0.00417993630573248</v>
      </c>
    </row>
    <row r="20" customFormat="false" ht="15" hidden="false" customHeight="false" outlineLevel="0" collapsed="false">
      <c r="A20" s="69" t="str">
        <f aca="false">IF(B20="","Unused","key =")</f>
        <v>key =</v>
      </c>
      <c r="B20" s="69" t="n">
        <f aca="false">IF(Earthlike!Q124="|",ROUND(Earthlike!N124,0),IF(Earthlike!Q124="V",ROUND(Earthlike!N124,-3),""))</f>
        <v>10459</v>
      </c>
      <c r="C20" s="69" t="n">
        <f aca="false">IF(B20="","",ROUND(Earthlike!O124,0))</f>
        <v>235</v>
      </c>
      <c r="D20" s="71" t="n">
        <f aca="false">IF(C20="","",(C20-C19)/(B20-B19))</f>
        <v>-0.00417993630573248</v>
      </c>
      <c r="E20" s="71" t="n">
        <f aca="false">IF(C20="","",IF(C21="",0,(C21-C20)/(B21-B20)))</f>
        <v>-0.00391815411406182</v>
      </c>
    </row>
    <row r="21" customFormat="false" ht="15" hidden="false" customHeight="false" outlineLevel="0" collapsed="false">
      <c r="A21" s="69" t="str">
        <f aca="false">IF(B21="","Unused","key =")</f>
        <v>key =</v>
      </c>
      <c r="B21" s="69" t="n">
        <f aca="false">IF(Earthlike!Q125="|",ROUND(Earthlike!N125,0),IF(Earthlike!Q125="V",ROUND(Earthlike!N125,-3),""))</f>
        <v>15053</v>
      </c>
      <c r="C21" s="69" t="n">
        <f aca="false">IF(B21="","",ROUND(Earthlike!O125,0))</f>
        <v>217</v>
      </c>
      <c r="D21" s="71" t="n">
        <f aca="false">IF(C21="","",(C21-C20)/(B21-B20))</f>
        <v>-0.00391815411406182</v>
      </c>
      <c r="E21" s="71" t="n">
        <f aca="false">IF(C21="","",IF(C22="",0,(C22-C21)/(B22-B21)))</f>
        <v>-0.00233644859813084</v>
      </c>
    </row>
    <row r="22" customFormat="false" ht="15" hidden="false" customHeight="false" outlineLevel="0" collapsed="false">
      <c r="A22" s="69" t="str">
        <f aca="false">IF(B22="","Unused","key =")</f>
        <v>key =</v>
      </c>
      <c r="B22" s="69" t="n">
        <f aca="false">IF(Earthlike!Q126="|",ROUND(Earthlike!N126,0),IF(Earthlike!Q126="V",ROUND(Earthlike!N126,-3),""))</f>
        <v>19333</v>
      </c>
      <c r="C22" s="69" t="n">
        <f aca="false">IF(B22="","",ROUND(Earthlike!O126,0))</f>
        <v>207</v>
      </c>
      <c r="D22" s="71" t="n">
        <f aca="false">IF(C22="","",(C22-C21)/(B22-B21))</f>
        <v>-0.00233644859813084</v>
      </c>
      <c r="E22" s="71" t="n">
        <f aca="false">IF(C22="","",IF(C23="",0,(C23-C22)/(B23-B22)))</f>
        <v>-0.000968054211035818</v>
      </c>
    </row>
    <row r="23" customFormat="false" ht="15" hidden="false" customHeight="false" outlineLevel="0" collapsed="false">
      <c r="A23" s="69" t="str">
        <f aca="false">IF(B23="","Unused","key =")</f>
        <v>key =</v>
      </c>
      <c r="B23" s="69" t="n">
        <f aca="false">IF(Earthlike!Q127="|",ROUND(Earthlike!N127,0),IF(Earthlike!Q127="V",ROUND(Earthlike!N127,-3),""))</f>
        <v>23465</v>
      </c>
      <c r="C23" s="69" t="n">
        <f aca="false">IF(B23="","",ROUND(Earthlike!O127,0))</f>
        <v>203</v>
      </c>
      <c r="D23" s="71" t="n">
        <f aca="false">IF(C23="","",(C23-C22)/(B23-B22))</f>
        <v>-0.000968054211035818</v>
      </c>
      <c r="E23" s="71" t="n">
        <f aca="false">IF(C23="","",IF(C24="",0,(C24-C23)/(B24-B23)))</f>
        <v>0.000486026731470231</v>
      </c>
    </row>
    <row r="24" customFormat="false" ht="15" hidden="false" customHeight="false" outlineLevel="0" collapsed="false">
      <c r="A24" s="69" t="str">
        <f aca="false">IF(B24="","Unused","key =")</f>
        <v>key =</v>
      </c>
      <c r="B24" s="69" t="n">
        <f aca="false">IF(Earthlike!Q128="|",ROUND(Earthlike!N128,0),IF(Earthlike!Q128="V",ROUND(Earthlike!N128,-3),""))</f>
        <v>27580</v>
      </c>
      <c r="C24" s="69" t="n">
        <f aca="false">IF(B24="","",ROUND(Earthlike!O128,0))</f>
        <v>205</v>
      </c>
      <c r="D24" s="71" t="n">
        <f aca="false">IF(C24="","",(C24-C23)/(B24-B23))</f>
        <v>0.000486026731470231</v>
      </c>
      <c r="E24" s="71" t="n">
        <f aca="false">IF(C24="","",IF(C25="",0,(C25-C24)/(B25-B24)))</f>
        <v>0.000953970903887431</v>
      </c>
    </row>
    <row r="25" customFormat="false" ht="15" hidden="false" customHeight="false" outlineLevel="0" collapsed="false">
      <c r="A25" s="69" t="str">
        <f aca="false">IF(B25="","Unused","key =")</f>
        <v>key =</v>
      </c>
      <c r="B25" s="69" t="n">
        <f aca="false">IF(Earthlike!Q129="|",ROUND(Earthlike!N129,0),IF(Earthlike!Q129="V",ROUND(Earthlike!N129,-3),""))</f>
        <v>31773</v>
      </c>
      <c r="C25" s="69" t="n">
        <f aca="false">IF(B25="","",ROUND(Earthlike!O129,0))</f>
        <v>209</v>
      </c>
      <c r="D25" s="71" t="n">
        <f aca="false">IF(C25="","",(C25-C24)/(B25-B24))</f>
        <v>0.000953970903887431</v>
      </c>
      <c r="E25" s="71" t="n">
        <f aca="false">IF(C25="","",IF(C26="",0,(C26-C25)/(B26-B25)))</f>
        <v>0.00116144018583043</v>
      </c>
    </row>
    <row r="26" customFormat="false" ht="15" hidden="false" customHeight="false" outlineLevel="0" collapsed="false">
      <c r="A26" s="69" t="str">
        <f aca="false">IF(B26="","Unused","key =")</f>
        <v>key =</v>
      </c>
      <c r="B26" s="69" t="n">
        <f aca="false">IF(Earthlike!Q130="|",ROUND(Earthlike!N130,0),IF(Earthlike!Q130="V",ROUND(Earthlike!N130,-3),""))</f>
        <v>36078</v>
      </c>
      <c r="C26" s="69" t="n">
        <f aca="false">IF(B26="","",ROUND(Earthlike!O130,0))</f>
        <v>214</v>
      </c>
      <c r="D26" s="71" t="n">
        <f aca="false">IF(C26="","",(C26-C25)/(B26-B25))</f>
        <v>0.00116144018583043</v>
      </c>
      <c r="E26" s="71" t="n">
        <f aca="false">IF(C26="","",IF(C27="",0,(C27-C26)/(B27-B26)))</f>
        <v>0.00112739571589628</v>
      </c>
    </row>
    <row r="27" customFormat="false" ht="15" hidden="false" customHeight="false" outlineLevel="0" collapsed="false">
      <c r="A27" s="69" t="str">
        <f aca="false">IF(B27="","Unused","key =")</f>
        <v>key =</v>
      </c>
      <c r="B27" s="69" t="n">
        <f aca="false">IF(Earthlike!Q131="|",ROUND(Earthlike!N131,0),IF(Earthlike!Q131="V",ROUND(Earthlike!N131,-3),""))</f>
        <v>40513</v>
      </c>
      <c r="C27" s="69" t="n">
        <f aca="false">IF(B27="","",ROUND(Earthlike!O131,0))</f>
        <v>219</v>
      </c>
      <c r="D27" s="71" t="n">
        <f aca="false">IF(C27="","",(C27-C26)/(B27-B26))</f>
        <v>0.00112739571589628</v>
      </c>
      <c r="E27" s="71" t="n">
        <f aca="false">IF(C27="","",IF(C28="",0,(C28-C27)/(B28-B27)))</f>
        <v>0.00174443959877889</v>
      </c>
    </row>
    <row r="28" customFormat="false" ht="15" hidden="false" customHeight="false" outlineLevel="0" collapsed="false">
      <c r="A28" s="69" t="str">
        <f aca="false">IF(B28="","Unused","key =")</f>
        <v>key =</v>
      </c>
      <c r="B28" s="69" t="n">
        <f aca="false">IF(Earthlike!Q132="|",ROUND(Earthlike!N132,0),IF(Earthlike!Q132="V",ROUND(Earthlike!N132,-3),""))</f>
        <v>45099</v>
      </c>
      <c r="C28" s="69" t="n">
        <f aca="false">IF(B28="","",ROUND(Earthlike!O132,0))</f>
        <v>227</v>
      </c>
      <c r="D28" s="71" t="n">
        <f aca="false">IF(C28="","",(C28-C27)/(B28-B27))</f>
        <v>0.00174443959877889</v>
      </c>
      <c r="E28" s="71" t="n">
        <f aca="false">IF(C28="","",IF(C29="",0,(C29-C28)/(B29-B28)))</f>
        <v>0.00167926112510495</v>
      </c>
    </row>
    <row r="29" customFormat="false" ht="15" hidden="false" customHeight="false" outlineLevel="0" collapsed="false">
      <c r="A29" s="69" t="str">
        <f aca="false">IF(B29="","Unused","key =")</f>
        <v>key =</v>
      </c>
      <c r="B29" s="69" t="n">
        <f aca="false">IF(Earthlike!Q133="|",ROUND(Earthlike!N133,0),IF(Earthlike!Q133="V",ROUND(Earthlike!N133,-3),""))</f>
        <v>49863</v>
      </c>
      <c r="C29" s="69" t="n">
        <f aca="false">IF(B29="","",ROUND(Earthlike!O133,0))</f>
        <v>235</v>
      </c>
      <c r="D29" s="71" t="n">
        <f aca="false">IF(C29="","",(C29-C28)/(B29-B28))</f>
        <v>0.00167926112510495</v>
      </c>
      <c r="E29" s="71" t="n">
        <f aca="false">IF(C29="","",IF(C30="",0,(C30-C29)/(B30-B29)))</f>
        <v>0.00221640137013903</v>
      </c>
    </row>
    <row r="30" customFormat="false" ht="15" hidden="false" customHeight="false" outlineLevel="0" collapsed="false">
      <c r="A30" s="69" t="str">
        <f aca="false">IF(B30="","Unused","key =")</f>
        <v>key =</v>
      </c>
      <c r="B30" s="69" t="n">
        <f aca="false">IF(Earthlike!Q134="|",ROUND(Earthlike!N134,0),IF(Earthlike!Q134="V",ROUND(Earthlike!N134,-3),""))</f>
        <v>54826</v>
      </c>
      <c r="C30" s="69" t="n">
        <f aca="false">IF(B30="","",ROUND(Earthlike!O134,0))</f>
        <v>246</v>
      </c>
      <c r="D30" s="71" t="n">
        <f aca="false">IF(C30="","",(C30-C29)/(B30-B29))</f>
        <v>0.00221640137013903</v>
      </c>
      <c r="E30" s="71" t="n">
        <f aca="false">IF(C30="","",IF(C31="",0,(C31-C30)/(B31-B30)))</f>
        <v>0.0009765625</v>
      </c>
    </row>
    <row r="31" customFormat="false" ht="15" hidden="false" customHeight="false" outlineLevel="0" collapsed="false">
      <c r="A31" s="69" t="str">
        <f aca="false">IF(B31="","Unused","key =")</f>
        <v>key =</v>
      </c>
      <c r="B31" s="69" t="n">
        <f aca="false">IF(Earthlike!Q135="|",ROUND(Earthlike!N135,0),IF(Earthlike!Q135="V",ROUND(Earthlike!N135,-3),""))</f>
        <v>59946</v>
      </c>
      <c r="C31" s="69" t="n">
        <f aca="false">IF(B31="","",ROUND(Earthlike!O135,0))</f>
        <v>251</v>
      </c>
      <c r="D31" s="71" t="n">
        <f aca="false">IF(C31="","",(C31-C30)/(B31-B30))</f>
        <v>0.0009765625</v>
      </c>
      <c r="E31" s="71" t="n">
        <f aca="false">IF(C31="","",IF(C32="",0,(C32-C31)/(B32-B31)))</f>
        <v>-0.000978090766823161</v>
      </c>
    </row>
    <row r="32" customFormat="false" ht="15" hidden="false" customHeight="false" outlineLevel="0" collapsed="false">
      <c r="A32" s="69" t="str">
        <f aca="false">IF(B32="","Unused","key =")</f>
        <v>key =</v>
      </c>
      <c r="B32" s="69" t="n">
        <f aca="false">IF(Earthlike!Q136="|",ROUND(Earthlike!N136,0),IF(Earthlike!Q136="V",ROUND(Earthlike!N136,-3),""))</f>
        <v>65058</v>
      </c>
      <c r="C32" s="69" t="n">
        <f aca="false">IF(B32="","",ROUND(Earthlike!O136,0))</f>
        <v>246</v>
      </c>
      <c r="D32" s="71" t="n">
        <f aca="false">IF(C32="","",(C32-C31)/(B32-B31))</f>
        <v>-0.000978090766823161</v>
      </c>
      <c r="E32" s="71" t="n">
        <f aca="false">IF(C32="","",IF(C33="",0,(C33-C32)/(B33-B32)))</f>
        <v>-0.00223123732251521</v>
      </c>
    </row>
    <row r="33" customFormat="false" ht="15" hidden="false" customHeight="false" outlineLevel="0" collapsed="false">
      <c r="A33" s="69" t="str">
        <f aca="false">IF(B33="","Unused","key =")</f>
        <v>key =</v>
      </c>
      <c r="B33" s="69" t="n">
        <f aca="false">IF(Earthlike!Q137="|",ROUND(Earthlike!N137,0),IF(Earthlike!Q137="V",ROUND(Earthlike!N137,-3),""))</f>
        <v>69988</v>
      </c>
      <c r="C33" s="69" t="n">
        <f aca="false">IF(B33="","",ROUND(Earthlike!O137,0))</f>
        <v>235</v>
      </c>
      <c r="D33" s="71" t="n">
        <f aca="false">IF(C33="","",(C33-C32)/(B33-B32))</f>
        <v>-0.00223123732251521</v>
      </c>
      <c r="E33" s="71" t="n">
        <f aca="false">IF(C33="","",IF(C34="",0,(C34-C33)/(B34-B33)))</f>
        <v>-0.00234092360076612</v>
      </c>
    </row>
    <row r="34" customFormat="false" ht="15" hidden="false" customHeight="false" outlineLevel="0" collapsed="false">
      <c r="A34" s="69" t="str">
        <f aca="false">IF(B34="","Unused","key =")</f>
        <v>key =</v>
      </c>
      <c r="B34" s="69" t="n">
        <f aca="false">IF(Earthlike!Q138="|",ROUND(Earthlike!N138,0),IF(Earthlike!Q138="V",ROUND(Earthlike!N138,-3),""))</f>
        <v>74687</v>
      </c>
      <c r="C34" s="69" t="n">
        <f aca="false">IF(B34="","",ROUND(Earthlike!O138,0))</f>
        <v>224</v>
      </c>
      <c r="D34" s="71" t="n">
        <f aca="false">IF(C34="","",(C34-C33)/(B34-B33))</f>
        <v>-0.00234092360076612</v>
      </c>
      <c r="E34" s="71" t="n">
        <f aca="false">IF(C34="","",IF(C35="",0,(C35-C34)/(B35-B34)))</f>
        <v>-0.00200356188780053</v>
      </c>
    </row>
    <row r="35" customFormat="false" ht="15" hidden="false" customHeight="false" outlineLevel="0" collapsed="false">
      <c r="A35" s="69" t="str">
        <f aca="false">IF(B35="","Unused","key =")</f>
        <v>key =</v>
      </c>
      <c r="B35" s="69" t="n">
        <f aca="false">IF(Earthlike!Q139="|",ROUND(Earthlike!N139,0),IF(Earthlike!Q139="V",ROUND(Earthlike!N139,-3),""))</f>
        <v>79179</v>
      </c>
      <c r="C35" s="69" t="n">
        <f aca="false">IF(B35="","",ROUND(Earthlike!O139,0))</f>
        <v>215</v>
      </c>
      <c r="D35" s="71" t="n">
        <f aca="false">IF(C35="","",(C35-C34)/(B35-B34))</f>
        <v>-0.00200356188780053</v>
      </c>
      <c r="E35" s="71" t="n">
        <f aca="false">IF(C35="","",IF(C36="",0,(C36-C35)/(B36-B35)))</f>
        <v>-0.00208962154631994</v>
      </c>
    </row>
    <row r="36" customFormat="false" ht="15" hidden="false" customHeight="false" outlineLevel="0" collapsed="false">
      <c r="A36" s="69" t="str">
        <f aca="false">IF(B36="","Unused","key =")</f>
        <v>key =</v>
      </c>
      <c r="B36" s="69" t="n">
        <f aca="false">IF(Earthlike!Q140="|",ROUND(Earthlike!N140,0),IF(Earthlike!Q140="V",ROUND(Earthlike!N140,-3),""))</f>
        <v>83486</v>
      </c>
      <c r="C36" s="69" t="n">
        <f aca="false">IF(B36="","",ROUND(Earthlike!O140,0))</f>
        <v>206</v>
      </c>
      <c r="D36" s="71" t="n">
        <f aca="false">IF(C36="","",(C36-C35)/(B36-B35))</f>
        <v>-0.00208962154631994</v>
      </c>
      <c r="E36" s="71" t="n">
        <f aca="false">IF(C36="","",IF(C37="",0,(C37-C36)/(B37-B36)))</f>
        <v>-0.00192817546396722</v>
      </c>
    </row>
    <row r="37" customFormat="false" ht="15" hidden="false" customHeight="false" outlineLevel="0" collapsed="false">
      <c r="A37" s="69" t="str">
        <f aca="false">IF(B37="","Unused","key =")</f>
        <v>key =</v>
      </c>
      <c r="B37" s="69" t="n">
        <f aca="false">IF(Earthlike!Q141="|",ROUND(Earthlike!N141,0),IF(Earthlike!Q141="V",ROUND(Earthlike!N141,-3),""))</f>
        <v>87635</v>
      </c>
      <c r="C37" s="69" t="n">
        <f aca="false">IF(B37="","",ROUND(Earthlike!O141,0))</f>
        <v>198</v>
      </c>
      <c r="D37" s="71" t="n">
        <f aca="false">IF(C37="","",(C37-C36)/(B37-B36))</f>
        <v>-0.00192817546396722</v>
      </c>
      <c r="E37" s="71" t="n">
        <f aca="false">IF(C37="","",IF(C38="",0,(C38-C37)/(B38-B37)))</f>
        <v>-0.00174259397560368</v>
      </c>
    </row>
    <row r="38" customFormat="false" ht="15" hidden="false" customHeight="false" outlineLevel="0" collapsed="false">
      <c r="A38" s="69" t="str">
        <f aca="false">IF(B38="","Unused","key =")</f>
        <v>key =</v>
      </c>
      <c r="B38" s="69" t="n">
        <f aca="false">IF(Earthlike!Q142="|",ROUND(Earthlike!N142,0),IF(Earthlike!Q142="V",ROUND(Earthlike!N142,-3),""))</f>
        <v>91652</v>
      </c>
      <c r="C38" s="69" t="n">
        <f aca="false">IF(B38="","",ROUND(Earthlike!O142,0))</f>
        <v>191</v>
      </c>
      <c r="D38" s="71" t="n">
        <f aca="false">IF(C38="","",(C38-C37)/(B38-B37))</f>
        <v>-0.00174259397560368</v>
      </c>
      <c r="E38" s="71" t="n">
        <f aca="false">IF(C38="","",IF(C39="",0,(C39-C38)/(B39-B38)))</f>
        <v>-0.00128106584678452</v>
      </c>
    </row>
    <row r="39" customFormat="false" ht="15" hidden="false" customHeight="false" outlineLevel="0" collapsed="false">
      <c r="A39" s="69" t="str">
        <f aca="false">IF(B39="","Unused","key =")</f>
        <v>key =</v>
      </c>
      <c r="B39" s="69" t="n">
        <f aca="false">IF(Earthlike!Q143="|",ROUND(Earthlike!N143,0),IF(Earthlike!Q143="V",ROUND(Earthlike!N143,-3),""))</f>
        <v>95555</v>
      </c>
      <c r="C39" s="69" t="n">
        <f aca="false">IF(B39="","",ROUND(Earthlike!O143,0))</f>
        <v>186</v>
      </c>
      <c r="D39" s="71" t="n">
        <f aca="false">IF(C39="","",(C39-C38)/(B39-B38))</f>
        <v>-0.00128106584678452</v>
      </c>
      <c r="E39" s="71" t="n">
        <f aca="false">IF(C39="","",IF(C40="",0,(C40-C39)/(B40-B39)))</f>
        <v>-0.00131440588853838</v>
      </c>
    </row>
    <row r="40" customFormat="false" ht="15" hidden="false" customHeight="false" outlineLevel="0" collapsed="false">
      <c r="A40" s="69" t="str">
        <f aca="false">IF(B40="","Unused","key =")</f>
        <v>key =</v>
      </c>
      <c r="B40" s="69" t="n">
        <f aca="false">IF(Earthlike!Q144="|",ROUND(Earthlike!N144,0),IF(Earthlike!Q144="V",ROUND(Earthlike!N144,-3),""))</f>
        <v>99359</v>
      </c>
      <c r="C40" s="69" t="n">
        <f aca="false">IF(B40="","",ROUND(Earthlike!O144,0))</f>
        <v>181</v>
      </c>
      <c r="D40" s="71" t="n">
        <f aca="false">IF(C40="","",(C40-C39)/(B40-B39))</f>
        <v>-0.00131440588853838</v>
      </c>
      <c r="E40" s="71" t="n">
        <f aca="false">IF(C40="","",IF(C41="",0,(C41-C40)/(B41-B40)))</f>
        <v>-0.00109859928591046</v>
      </c>
    </row>
    <row r="41" customFormat="false" ht="15" hidden="false" customHeight="false" outlineLevel="0" collapsed="false">
      <c r="A41" s="69" t="str">
        <f aca="false">IF(B41="","Unused","key =")</f>
        <v>key =</v>
      </c>
      <c r="B41" s="69" t="n">
        <f aca="false">IF(Earthlike!Q145="|",ROUND(Earthlike!N145,0),IF(Earthlike!Q145="V",ROUND(Earthlike!N145,-3),""))</f>
        <v>103000</v>
      </c>
      <c r="C41" s="69" t="n">
        <f aca="false">IF(B41="","",ROUND(Earthlike!O145,0))</f>
        <v>177</v>
      </c>
      <c r="D41" s="71" t="n">
        <f aca="false">IF(C41="","",(C41-C40)/(B41-B40))</f>
        <v>-0.00109859928591046</v>
      </c>
      <c r="E41" s="71" t="n">
        <f aca="false">IF(C41="","",IF(C42="",0,(C42-C41)/(B42-B41)))</f>
        <v>0</v>
      </c>
    </row>
    <row r="42" customFormat="false" ht="15" hidden="false" customHeight="false" outlineLevel="0" collapsed="false">
      <c r="A42" s="69" t="str">
        <f aca="false">IF(B42="","Unused","key =")</f>
        <v>Unused</v>
      </c>
      <c r="B42" s="69" t="str">
        <f aca="false">IF(Earthlike!Q146="|",ROUND(Earthlike!N146,0),IF(Earthlike!Q146="V",ROUND(Earthlike!N146,-3),""))</f>
        <v/>
      </c>
      <c r="C42" s="69" t="str">
        <f aca="false">IF(B42="","",ROUND(Earthlike!O146,0))</f>
        <v/>
      </c>
      <c r="D42" s="71" t="str">
        <f aca="false">IF(C42="","",(C42-C41)/(B42-B41))</f>
        <v/>
      </c>
      <c r="E42" s="71" t="str">
        <f aca="false">IF(C42="","",IF(C43="",0,(C43-C42)/(B43-B42)))</f>
        <v/>
      </c>
    </row>
    <row r="43" customFormat="false" ht="15" hidden="false" customHeight="false" outlineLevel="0" collapsed="false">
      <c r="A43" s="69" t="str">
        <f aca="false">IF(B43="","Unused","key =")</f>
        <v>Unused</v>
      </c>
      <c r="B43" s="69" t="str">
        <f aca="false">IF(Earthlike!Q147="|",ROUND(Earthlike!N147,0),IF(Earthlike!Q147="V",ROUND(Earthlike!N147,-3),""))</f>
        <v/>
      </c>
      <c r="C43" s="69" t="str">
        <f aca="false">IF(B43="","",ROUND(Earthlike!O147,0))</f>
        <v/>
      </c>
      <c r="D43" s="71" t="str">
        <f aca="false">IF(C43="","",(C43-C42)/(B43-B42))</f>
        <v/>
      </c>
      <c r="E43" s="71" t="str">
        <f aca="false">IF(C43="","",IF(C44="",0,(C44-C43)/(B44-B43)))</f>
        <v/>
      </c>
    </row>
    <row r="44" customFormat="false" ht="15" hidden="false" customHeight="false" outlineLevel="0" collapsed="false">
      <c r="A44" s="69" t="str">
        <f aca="false">IF(B44="","Unused","key =")</f>
        <v>Unused</v>
      </c>
      <c r="B44" s="69" t="str">
        <f aca="false">IF(Earthlike!Q148="|",ROUND(Earthlike!N148,0),IF(Earthlike!Q148="V",ROUND(Earthlike!N148,-3),""))</f>
        <v/>
      </c>
      <c r="C44" s="69" t="str">
        <f aca="false">IF(B44="","",ROUND(Earthlike!O148,0))</f>
        <v/>
      </c>
      <c r="D44" s="71" t="str">
        <f aca="false">IF(C44="","",(C44-C43)/(B44-B43))</f>
        <v/>
      </c>
      <c r="E44" s="71" t="str">
        <f aca="false">IF(C44="","",IF(C45="",0,(C45-C44)/(B45-B44)))</f>
        <v/>
      </c>
    </row>
    <row r="45" customFormat="false" ht="15" hidden="false" customHeight="false" outlineLevel="0" collapsed="false">
      <c r="A45" s="69" t="str">
        <f aca="false">IF(B45="","Unused","key =")</f>
        <v>Unused</v>
      </c>
      <c r="B45" s="69" t="str">
        <f aca="false">IF(Earthlike!Q149="|",ROUND(Earthlike!N149,0),IF(Earthlike!Q149="V",ROUND(Earthlike!N149,-3),""))</f>
        <v/>
      </c>
      <c r="C45" s="69" t="str">
        <f aca="false">IF(B45="","",ROUND(Earthlike!O149,0))</f>
        <v/>
      </c>
      <c r="D45" s="71" t="str">
        <f aca="false">IF(C45="","",(C45-C44)/(B45-B44))</f>
        <v/>
      </c>
      <c r="E45" s="71" t="str">
        <f aca="false">IF(C45="","",IF(C46="",0,(C46-C45)/(B46-B45)))</f>
        <v/>
      </c>
    </row>
    <row r="46" customFormat="false" ht="15" hidden="false" customHeight="false" outlineLevel="0" collapsed="false">
      <c r="A46" s="69" t="str">
        <f aca="false">IF(B46="","Unused","key =")</f>
        <v>Unused</v>
      </c>
      <c r="B46" s="69" t="str">
        <f aca="false">IF(Earthlike!Q150="|",ROUND(Earthlike!N150,0),IF(Earthlike!Q150="V",ROUND(Earthlike!N150,-3),""))</f>
        <v/>
      </c>
      <c r="C46" s="69" t="str">
        <f aca="false">IF(B46="","",ROUND(Earthlike!O150,0))</f>
        <v/>
      </c>
      <c r="D46" s="71" t="str">
        <f aca="false">IF(C46="","",(C46-C45)/(B46-B45))</f>
        <v/>
      </c>
      <c r="E46" s="71" t="str">
        <f aca="false">IF(C46="","",IF(C47="",0,(C47-C46)/(B47-B46)))</f>
        <v/>
      </c>
    </row>
    <row r="47" customFormat="false" ht="15" hidden="false" customHeight="false" outlineLevel="0" collapsed="false">
      <c r="A47" s="69" t="str">
        <f aca="false">IF(B47="","Unused","key =")</f>
        <v>Unused</v>
      </c>
      <c r="B47" s="69" t="str">
        <f aca="false">IF(Earthlike!Q151="|",ROUND(Earthlike!N151,0),IF(Earthlike!Q151="V",ROUND(Earthlike!N151,-3),""))</f>
        <v/>
      </c>
      <c r="C47" s="69" t="str">
        <f aca="false">IF(B47="","",ROUND(Earthlike!O151,0))</f>
        <v/>
      </c>
      <c r="D47" s="71" t="str">
        <f aca="false">IF(C47="","",(C47-C46)/(B47-B46))</f>
        <v/>
      </c>
      <c r="E47" s="71" t="str">
        <f aca="false">IF(C47="","",IF(C48="",0,(C48-C47)/(B48-B47)))</f>
        <v/>
      </c>
    </row>
    <row r="48" customFormat="false" ht="15" hidden="false" customHeight="false" outlineLevel="0" collapsed="false">
      <c r="A48" s="69" t="str">
        <f aca="false">IF(B48="","Unused","key =")</f>
        <v>Unused</v>
      </c>
      <c r="B48" s="69" t="str">
        <f aca="false">IF(Earthlike!Q152="|",ROUND(Earthlike!N152,0),IF(Earthlike!Q152="V",ROUND(Earthlike!N152,-3),""))</f>
        <v/>
      </c>
      <c r="C48" s="69" t="str">
        <f aca="false">IF(B48="","",ROUND(Earthlike!O152,0))</f>
        <v/>
      </c>
      <c r="D48" s="71" t="str">
        <f aca="false">IF(C48="","",(C48-C47)/(B48-B47))</f>
        <v/>
      </c>
      <c r="E48" s="71" t="str">
        <f aca="false">IF(C48="","",IF(C49="",0,(C49-C48)/(B49-B48)))</f>
        <v/>
      </c>
    </row>
    <row r="49" customFormat="false" ht="15" hidden="false" customHeight="false" outlineLevel="0" collapsed="false">
      <c r="A49" s="69" t="str">
        <f aca="false">IF(B49="","Unused","key =")</f>
        <v>Unused</v>
      </c>
      <c r="B49" s="69" t="str">
        <f aca="false">IF(Earthlike!Q153="|",ROUND(Earthlike!N153,0),IF(Earthlike!Q153="V",ROUND(Earthlike!N153,-3),""))</f>
        <v/>
      </c>
      <c r="C49" s="69" t="str">
        <f aca="false">IF(B49="","",ROUND(Earthlike!O153,0))</f>
        <v/>
      </c>
      <c r="D49" s="71" t="str">
        <f aca="false">IF(C49="","",(C49-C48)/(B49-B48))</f>
        <v/>
      </c>
      <c r="E49" s="71" t="str">
        <f aca="false">IF(C49="","",IF(C50="",0,(C50-C49)/(B50-B49)))</f>
        <v/>
      </c>
    </row>
    <row r="50" customFormat="false" ht="15" hidden="false" customHeight="false" outlineLevel="0" collapsed="false">
      <c r="A50" s="69" t="str">
        <f aca="false">IF(B50="","Unused","key =")</f>
        <v>Unused</v>
      </c>
      <c r="B50" s="69" t="str">
        <f aca="false">IF(Earthlike!Q154="|",ROUND(Earthlike!N154,0),IF(Earthlike!Q154="V",ROUND(Earthlike!N154,-3),""))</f>
        <v/>
      </c>
      <c r="C50" s="69" t="str">
        <f aca="false">IF(B50="","",ROUND(Earthlike!O154,0))</f>
        <v/>
      </c>
      <c r="D50" s="71" t="str">
        <f aca="false">IF(C50="","",(C50-C49)/(B50-B49))</f>
        <v/>
      </c>
      <c r="E50" s="71" t="str">
        <f aca="false">IF(C50="","",IF(C51="",0,(C51-C50)/(B51-B50)))</f>
        <v/>
      </c>
    </row>
    <row r="51" customFormat="false" ht="15" hidden="false" customHeight="false" outlineLevel="0" collapsed="false">
      <c r="A51" s="69" t="str">
        <f aca="false">IF(B51="","Unused","key =")</f>
        <v>Unused</v>
      </c>
      <c r="B51" s="69" t="str">
        <f aca="false">IF(Earthlike!Q155="|",ROUND(Earthlike!N155,0),IF(Earthlike!Q155="V",ROUND(Earthlike!N155,-3),""))</f>
        <v/>
      </c>
      <c r="C51" s="69" t="str">
        <f aca="false">IF(B51="","",ROUND(Earthlike!O155,0))</f>
        <v/>
      </c>
      <c r="D51" s="71" t="str">
        <f aca="false">IF(C51="","",(C51-C50)/(B51-B50))</f>
        <v/>
      </c>
      <c r="E51" s="71" t="str">
        <f aca="false">IF(C51="","",IF(C52="",0,(C52-C51)/(B52-B51)))</f>
        <v/>
      </c>
    </row>
    <row r="52" customFormat="false" ht="15" hidden="false" customHeight="false" outlineLevel="0" collapsed="false">
      <c r="A52" s="69" t="str">
        <f aca="false">IF(B52="","Unused","key =")</f>
        <v>Unused</v>
      </c>
      <c r="B52" s="69" t="str">
        <f aca="false">IF(Earthlike!Q156="|",ROUND(Earthlike!N156,0),IF(Earthlike!Q156="V",ROUND(Earthlike!N156,-3),""))</f>
        <v/>
      </c>
      <c r="C52" s="69" t="str">
        <f aca="false">IF(B52="","",ROUND(Earthlike!O156,0))</f>
        <v/>
      </c>
      <c r="D52" s="71" t="str">
        <f aca="false">IF(C52="","",(C52-C51)/(B52-B51))</f>
        <v/>
      </c>
      <c r="E52" s="71" t="str">
        <f aca="false">IF(C52="","",IF(C53="",0,(C53-C52)/(B53-B52)))</f>
        <v/>
      </c>
    </row>
    <row r="53" customFormat="false" ht="15" hidden="false" customHeight="false" outlineLevel="0" collapsed="false">
      <c r="A53" s="69" t="str">
        <f aca="false">IF(B53="","Unused","key =")</f>
        <v>Unused</v>
      </c>
      <c r="B53" s="69" t="str">
        <f aca="false">IF(Earthlike!Q157="|",ROUND(Earthlike!N157,0),IF(Earthlike!Q157="V",ROUND(Earthlike!N157,-3),""))</f>
        <v/>
      </c>
      <c r="C53" s="69" t="str">
        <f aca="false">IF(B53="","",ROUND(Earthlike!O157,0))</f>
        <v/>
      </c>
      <c r="D53" s="71" t="str">
        <f aca="false">IF(C53="","",(C53-C52)/(B53-B52))</f>
        <v/>
      </c>
      <c r="E53" s="71" t="str">
        <f aca="false">IF(C53="","",IF(C54="",0,(C54-C53)/(B54-B53)))</f>
        <v/>
      </c>
    </row>
    <row r="54" customFormat="false" ht="15" hidden="false" customHeight="false" outlineLevel="0" collapsed="false">
      <c r="A54" s="69" t="str">
        <f aca="false">IF(B54="","Unused","key =")</f>
        <v>Unused</v>
      </c>
      <c r="B54" s="69" t="str">
        <f aca="false">IF(Earthlike!Q158="|",ROUND(Earthlike!N158,0),IF(Earthlike!Q158="V",ROUND(Earthlike!N158,-3),""))</f>
        <v/>
      </c>
      <c r="C54" s="69" t="str">
        <f aca="false">IF(B54="","",ROUND(Earthlike!O158,0))</f>
        <v/>
      </c>
      <c r="D54" s="71" t="str">
        <f aca="false">IF(C54="","",(C54-C53)/(B54-B53))</f>
        <v/>
      </c>
      <c r="E54" s="71" t="str">
        <f aca="false">IF(C54="","",IF(C55="",0,(C55-C54)/(B55-B54)))</f>
        <v/>
      </c>
    </row>
    <row r="55" customFormat="false" ht="15" hidden="false" customHeight="false" outlineLevel="0" collapsed="false">
      <c r="A55" s="66" t="s">
        <v>212</v>
      </c>
      <c r="B55" s="69"/>
      <c r="C55" s="69"/>
      <c r="D55" s="71"/>
      <c r="E55" s="71"/>
    </row>
    <row r="56" customFormat="false" ht="15" hidden="false" customHeight="false" outlineLevel="0" collapsed="false">
      <c r="A56" s="66" t="s">
        <v>226</v>
      </c>
      <c r="B56" s="69"/>
      <c r="C56" s="69"/>
      <c r="D56" s="71"/>
      <c r="E56" s="71"/>
    </row>
    <row r="57" customFormat="false" ht="15" hidden="false" customHeight="false" outlineLevel="0" collapsed="false">
      <c r="A57" s="66" t="s">
        <v>209</v>
      </c>
      <c r="B57" s="69"/>
      <c r="C57" s="69"/>
      <c r="D57" s="71"/>
      <c r="E57" s="71"/>
    </row>
    <row r="58" customFormat="false" ht="15" hidden="false" customHeight="false" outlineLevel="0" collapsed="false">
      <c r="A58" s="69" t="str">
        <f aca="false">IF(B58="","Unused","key =")</f>
        <v>key =</v>
      </c>
      <c r="B58" s="69" t="n">
        <f aca="false">IF(Earthlike!Q122="|",ROUND(Earthlike!N122,0),IF(Earthlike!Q122="V",ROUND(Earthlike!N122,-3),""))</f>
        <v>0</v>
      </c>
      <c r="C58" s="70" t="n">
        <f aca="false">IF(B58="","",ROUND(Earthlike!P122,3))</f>
        <v>1</v>
      </c>
      <c r="D58" s="71" t="n">
        <v>0</v>
      </c>
      <c r="E58" s="71" t="n">
        <f aca="false">(C59-C58)/(B59-B58)</f>
        <v>-5.09659613615455E-005</v>
      </c>
    </row>
    <row r="59" customFormat="false" ht="15" hidden="false" customHeight="false" outlineLevel="0" collapsed="false">
      <c r="A59" s="69" t="str">
        <f aca="false">IF(B59="","Unused","key =")</f>
        <v>key =</v>
      </c>
      <c r="B59" s="69" t="n">
        <f aca="false">IF(Earthlike!Q123="|",ROUND(Earthlike!N123,0),IF(Earthlike!Q123="V",ROUND(Earthlike!N123,-3),""))</f>
        <v>5435</v>
      </c>
      <c r="C59" s="70" t="n">
        <f aca="false">IF(B59="","",ROUND(Earthlike!P123,3))</f>
        <v>0.723</v>
      </c>
      <c r="D59" s="71" t="n">
        <f aca="false">IF(C59="","",(C59-C58)/(B59-B58))</f>
        <v>-5.09659613615455E-005</v>
      </c>
      <c r="E59" s="71" t="n">
        <f aca="false">IF(C59="","",IF(C60="",0,(C60-C59)/(B60-B59)))</f>
        <v>-7.0859872611465E-005</v>
      </c>
    </row>
    <row r="60" customFormat="false" ht="15" hidden="false" customHeight="false" outlineLevel="0" collapsed="false">
      <c r="A60" s="69" t="str">
        <f aca="false">IF(B60="","Unused","key =")</f>
        <v>key =</v>
      </c>
      <c r="B60" s="69" t="n">
        <f aca="false">IF(Earthlike!Q124="|",ROUND(Earthlike!N124,0),IF(Earthlike!Q124="V",ROUND(Earthlike!N124,-3),""))</f>
        <v>10459</v>
      </c>
      <c r="C60" s="70" t="n">
        <f aca="false">IF(B60="","",ROUND(Earthlike!P124,3))</f>
        <v>0.367</v>
      </c>
      <c r="D60" s="71" t="n">
        <f aca="false">IF(C60="","",(C60-C59)/(B60-B59))</f>
        <v>-7.0859872611465E-005</v>
      </c>
      <c r="E60" s="71" t="n">
        <f aca="false">IF(C60="","",IF(C61="",0,(C61-C60)/(B61-B60)))</f>
        <v>-7.55333043099695E-005</v>
      </c>
    </row>
    <row r="61" customFormat="false" ht="15" hidden="false" customHeight="false" outlineLevel="0" collapsed="false">
      <c r="A61" s="69" t="str">
        <f aca="false">IF(B61="","Unused","key =")</f>
        <v>key =</v>
      </c>
      <c r="B61" s="69" t="n">
        <f aca="false">IF(Earthlike!Q125="|",ROUND(Earthlike!N125,0),IF(Earthlike!Q125="V",ROUND(Earthlike!N125,-3),""))</f>
        <v>15053</v>
      </c>
      <c r="C61" s="70" t="n">
        <f aca="false">IF(B61="","",ROUND(Earthlike!P125,3))</f>
        <v>0.02</v>
      </c>
      <c r="D61" s="71" t="n">
        <f aca="false">IF(C61="","",(C61-C60)/(B61-B60))</f>
        <v>-7.55333043099695E-005</v>
      </c>
      <c r="E61" s="71" t="n">
        <f aca="false">IF(C61="","",IF(C62="",0,(C62-C61)/(B62-B61)))</f>
        <v>-5.81775700934579E-005</v>
      </c>
    </row>
    <row r="62" customFormat="false" ht="15" hidden="false" customHeight="false" outlineLevel="0" collapsed="false">
      <c r="A62" s="69" t="str">
        <f aca="false">IF(B62="","Unused","key =")</f>
        <v>key =</v>
      </c>
      <c r="B62" s="69" t="n">
        <f aca="false">IF(Earthlike!Q126="|",ROUND(Earthlike!N126,0),IF(Earthlike!Q126="V",ROUND(Earthlike!N126,-3),""))</f>
        <v>19333</v>
      </c>
      <c r="C62" s="70" t="n">
        <f aca="false">IF(B62="","",ROUND(Earthlike!P126,3))</f>
        <v>-0.229</v>
      </c>
      <c r="D62" s="71" t="n">
        <f aca="false">IF(C62="","",(C62-C61)/(B62-B61))</f>
        <v>-5.81775700934579E-005</v>
      </c>
      <c r="E62" s="71" t="n">
        <f aca="false">IF(C62="","",IF(C63="",0,(C63-C62)/(B63-B62)))</f>
        <v>-1.64569215876089E-005</v>
      </c>
    </row>
    <row r="63" customFormat="false" ht="15" hidden="false" customHeight="false" outlineLevel="0" collapsed="false">
      <c r="A63" s="69" t="str">
        <f aca="false">IF(B63="","Unused","key =")</f>
        <v>key =</v>
      </c>
      <c r="B63" s="69" t="n">
        <f aca="false">IF(Earthlike!Q127="|",ROUND(Earthlike!N127,0),IF(Earthlike!Q127="V",ROUND(Earthlike!N127,-3),""))</f>
        <v>23465</v>
      </c>
      <c r="C63" s="70" t="n">
        <f aca="false">IF(B63="","",ROUND(Earthlike!P127,3))</f>
        <v>-0.297</v>
      </c>
      <c r="D63" s="71" t="n">
        <f aca="false">IF(C63="","",(C63-C62)/(B63-B62))</f>
        <v>-1.64569215876089E-005</v>
      </c>
      <c r="E63" s="71" t="n">
        <f aca="false">IF(C63="","",IF(C64="",0,(C64-C63)/(B64-B63)))</f>
        <v>1.74969623329283E-005</v>
      </c>
    </row>
    <row r="64" customFormat="false" ht="15" hidden="false" customHeight="false" outlineLevel="0" collapsed="false">
      <c r="A64" s="69" t="str">
        <f aca="false">IF(B64="","Unused","key =")</f>
        <v>key =</v>
      </c>
      <c r="B64" s="69" t="n">
        <f aca="false">IF(Earthlike!Q128="|",ROUND(Earthlike!N128,0),IF(Earthlike!Q128="V",ROUND(Earthlike!N128,-3),""))</f>
        <v>27580</v>
      </c>
      <c r="C64" s="70" t="n">
        <f aca="false">IF(B64="","",ROUND(Earthlike!P128,3))</f>
        <v>-0.225</v>
      </c>
      <c r="D64" s="71" t="n">
        <f aca="false">IF(C64="","",(C64-C63)/(B64-B63))</f>
        <v>1.74969623329283E-005</v>
      </c>
      <c r="E64" s="71" t="n">
        <f aca="false">IF(C64="","",IF(C65="",0,(C65-C64)/(B65-B64)))</f>
        <v>3.3627474362032E-005</v>
      </c>
    </row>
    <row r="65" customFormat="false" ht="15" hidden="false" customHeight="false" outlineLevel="0" collapsed="false">
      <c r="A65" s="69" t="str">
        <f aca="false">IF(B65="","Unused","key =")</f>
        <v>key =</v>
      </c>
      <c r="B65" s="69" t="n">
        <f aca="false">IF(Earthlike!Q129="|",ROUND(Earthlike!N129,0),IF(Earthlike!Q129="V",ROUND(Earthlike!N129,-3),""))</f>
        <v>31773</v>
      </c>
      <c r="C65" s="70" t="n">
        <f aca="false">IF(B65="","",ROUND(Earthlike!P129,3))</f>
        <v>-0.084</v>
      </c>
      <c r="D65" s="71" t="n">
        <f aca="false">IF(C65="","",(C65-C64)/(B65-B64))</f>
        <v>3.3627474362032E-005</v>
      </c>
      <c r="E65" s="71" t="n">
        <f aca="false">IF(C65="","",IF(C66="",0,(C66-C65)/(B66-B65)))</f>
        <v>3.99535423925668E-005</v>
      </c>
    </row>
    <row r="66" customFormat="false" ht="15" hidden="false" customHeight="false" outlineLevel="0" collapsed="false">
      <c r="A66" s="69" t="str">
        <f aca="false">IF(B66="","Unused","key =")</f>
        <v>key =</v>
      </c>
      <c r="B66" s="69" t="n">
        <f aca="false">IF(Earthlike!Q130="|",ROUND(Earthlike!N130,0),IF(Earthlike!Q130="V",ROUND(Earthlike!N130,-3),""))</f>
        <v>36078</v>
      </c>
      <c r="C66" s="70" t="n">
        <f aca="false">IF(B66="","",ROUND(Earthlike!P130,3))</f>
        <v>0.088</v>
      </c>
      <c r="D66" s="71" t="n">
        <f aca="false">IF(C66="","",(C66-C65)/(B66-B65))</f>
        <v>3.99535423925668E-005</v>
      </c>
      <c r="E66" s="71" t="n">
        <f aca="false">IF(C66="","",IF(C67="",0,(C67-C66)/(B67-B66)))</f>
        <v>3.67531003382187E-005</v>
      </c>
    </row>
    <row r="67" customFormat="false" ht="15" hidden="false" customHeight="false" outlineLevel="0" collapsed="false">
      <c r="A67" s="69" t="str">
        <f aca="false">IF(B67="","Unused","key =")</f>
        <v>key =</v>
      </c>
      <c r="B67" s="69" t="n">
        <f aca="false">IF(Earthlike!Q131="|",ROUND(Earthlike!N131,0),IF(Earthlike!Q131="V",ROUND(Earthlike!N131,-3),""))</f>
        <v>40513</v>
      </c>
      <c r="C67" s="70" t="n">
        <f aca="false">IF(B67="","",ROUND(Earthlike!P131,3))</f>
        <v>0.251</v>
      </c>
      <c r="D67" s="71" t="n">
        <f aca="false">IF(C67="","",(C67-C66)/(B67-B66))</f>
        <v>3.67531003382187E-005</v>
      </c>
      <c r="E67" s="71" t="n">
        <f aca="false">IF(C67="","",IF(C68="",0,(C68-C67)/(B68-B67)))</f>
        <v>2.52943741822939E-005</v>
      </c>
    </row>
    <row r="68" customFormat="false" ht="15" hidden="false" customHeight="false" outlineLevel="0" collapsed="false">
      <c r="A68" s="69" t="str">
        <f aca="false">IF(B68="","Unused","key =")</f>
        <v>key =</v>
      </c>
      <c r="B68" s="69" t="n">
        <f aca="false">IF(Earthlike!Q132="|",ROUND(Earthlike!N132,0),IF(Earthlike!Q132="V",ROUND(Earthlike!N132,-3),""))</f>
        <v>45099</v>
      </c>
      <c r="C68" s="70" t="n">
        <f aca="false">IF(B68="","",ROUND(Earthlike!P132,3))</f>
        <v>0.367</v>
      </c>
      <c r="D68" s="71" t="n">
        <f aca="false">IF(C68="","",(C68-C67)/(B68-B67))</f>
        <v>2.52943741822939E-005</v>
      </c>
      <c r="E68" s="71" t="n">
        <f aca="false">IF(C68="","",IF(C69="",0,(C69-C68)/(B69-B68)))</f>
        <v>6.5071368597817E-006</v>
      </c>
    </row>
    <row r="69" customFormat="false" ht="15" hidden="false" customHeight="false" outlineLevel="0" collapsed="false">
      <c r="A69" s="69" t="str">
        <f aca="false">IF(B69="","Unused","key =")</f>
        <v>key =</v>
      </c>
      <c r="B69" s="69" t="n">
        <f aca="false">IF(Earthlike!Q133="|",ROUND(Earthlike!N133,0),IF(Earthlike!Q133="V",ROUND(Earthlike!N133,-3),""))</f>
        <v>49863</v>
      </c>
      <c r="C69" s="70" t="n">
        <f aca="false">IF(B69="","",ROUND(Earthlike!P133,3))</f>
        <v>0.398</v>
      </c>
      <c r="D69" s="71" t="n">
        <f aca="false">IF(C69="","",(C69-C68)/(B69-B68))</f>
        <v>6.5071368597817E-006</v>
      </c>
      <c r="E69" s="71" t="n">
        <f aca="false">IF(C69="","",IF(C70="",0,(C70-C69)/(B70-B69)))</f>
        <v>-1.24924440862382E-005</v>
      </c>
    </row>
    <row r="70" customFormat="false" ht="15" hidden="false" customHeight="false" outlineLevel="0" collapsed="false">
      <c r="A70" s="69" t="str">
        <f aca="false">IF(B70="","Unused","key =")</f>
        <v>key =</v>
      </c>
      <c r="B70" s="69" t="n">
        <f aca="false">IF(Earthlike!Q134="|",ROUND(Earthlike!N134,0),IF(Earthlike!Q134="V",ROUND(Earthlike!N134,-3),""))</f>
        <v>54826</v>
      </c>
      <c r="C70" s="70" t="n">
        <f aca="false">IF(B70="","",ROUND(Earthlike!P134,3))</f>
        <v>0.336</v>
      </c>
      <c r="D70" s="71" t="n">
        <f aca="false">IF(C70="","",(C70-C69)/(B70-B69))</f>
        <v>-1.24924440862382E-005</v>
      </c>
      <c r="E70" s="71" t="n">
        <f aca="false">IF(C70="","",IF(C71="",0,(C71-C70)/(B71-B70)))</f>
        <v>-2.36328125E-005</v>
      </c>
    </row>
    <row r="71" customFormat="false" ht="15" hidden="false" customHeight="false" outlineLevel="0" collapsed="false">
      <c r="A71" s="69" t="str">
        <f aca="false">IF(B71="","Unused","key =")</f>
        <v>key =</v>
      </c>
      <c r="B71" s="69" t="n">
        <f aca="false">IF(Earthlike!Q135="|",ROUND(Earthlike!N135,0),IF(Earthlike!Q135="V",ROUND(Earthlike!N135,-3),""))</f>
        <v>59946</v>
      </c>
      <c r="C71" s="70" t="n">
        <f aca="false">IF(B71="","",ROUND(Earthlike!P135,3))</f>
        <v>0.215</v>
      </c>
      <c r="D71" s="71" t="n">
        <f aca="false">IF(C71="","",(C71-C70)/(B71-B70))</f>
        <v>-2.36328125E-005</v>
      </c>
      <c r="E71" s="71" t="n">
        <f aca="false">IF(C71="","",IF(C72="",0,(C72-C71)/(B72-B71)))</f>
        <v>-2.87558685446009E-005</v>
      </c>
    </row>
    <row r="72" customFormat="false" ht="15" hidden="false" customHeight="false" outlineLevel="0" collapsed="false">
      <c r="A72" s="69" t="str">
        <f aca="false">IF(B72="","Unused","key =")</f>
        <v>key =</v>
      </c>
      <c r="B72" s="69" t="n">
        <f aca="false">IF(Earthlike!Q136="|",ROUND(Earthlike!N136,0),IF(Earthlike!Q136="V",ROUND(Earthlike!N136,-3),""))</f>
        <v>65058</v>
      </c>
      <c r="C72" s="70" t="n">
        <f aca="false">IF(B72="","",ROUND(Earthlike!P136,3))</f>
        <v>0.068</v>
      </c>
      <c r="D72" s="71" t="n">
        <f aca="false">IF(C72="","",(C72-C71)/(B72-B71))</f>
        <v>-2.87558685446009E-005</v>
      </c>
      <c r="E72" s="71" t="n">
        <f aca="false">IF(C72="","",IF(C73="",0,(C73-C72)/(B73-B72)))</f>
        <v>-2.83975659229209E-005</v>
      </c>
    </row>
    <row r="73" customFormat="false" ht="15" hidden="false" customHeight="false" outlineLevel="0" collapsed="false">
      <c r="A73" s="69" t="str">
        <f aca="false">IF(B73="","Unused","key =")</f>
        <v>key =</v>
      </c>
      <c r="B73" s="69" t="n">
        <f aca="false">IF(Earthlike!Q137="|",ROUND(Earthlike!N137,0),IF(Earthlike!Q137="V",ROUND(Earthlike!N137,-3),""))</f>
        <v>69988</v>
      </c>
      <c r="C73" s="70" t="n">
        <f aca="false">IF(B73="","",ROUND(Earthlike!P137,3))</f>
        <v>-0.072</v>
      </c>
      <c r="D73" s="71" t="n">
        <f aca="false">IF(C73="","",(C73-C72)/(B73-B72))</f>
        <v>-2.83975659229209E-005</v>
      </c>
      <c r="E73" s="71" t="n">
        <f aca="false">IF(C73="","",IF(C74="",0,(C74-C73)/(B74-B73)))</f>
        <v>-2.12811236433284E-005</v>
      </c>
    </row>
    <row r="74" customFormat="false" ht="15" hidden="false" customHeight="false" outlineLevel="0" collapsed="false">
      <c r="A74" s="69" t="str">
        <f aca="false">IF(B74="","Unused","key =")</f>
        <v>key =</v>
      </c>
      <c r="B74" s="69" t="n">
        <f aca="false">IF(Earthlike!Q138="|",ROUND(Earthlike!N138,0),IF(Earthlike!Q138="V",ROUND(Earthlike!N138,-3),""))</f>
        <v>74687</v>
      </c>
      <c r="C74" s="70" t="n">
        <f aca="false">IF(B74="","",ROUND(Earthlike!P138,3))</f>
        <v>-0.172</v>
      </c>
      <c r="D74" s="71" t="n">
        <f aca="false">IF(C74="","",(C74-C73)/(B74-B73))</f>
        <v>-2.12811236433284E-005</v>
      </c>
      <c r="E74" s="71" t="n">
        <f aca="false">IF(C74="","",IF(C75="",0,(C75-C74)/(B75-B74)))</f>
        <v>-6.01068566340161E-006</v>
      </c>
    </row>
    <row r="75" customFormat="false" ht="15" hidden="false" customHeight="false" outlineLevel="0" collapsed="false">
      <c r="A75" s="69" t="str">
        <f aca="false">IF(B75="","Unused","key =")</f>
        <v>key =</v>
      </c>
      <c r="B75" s="69" t="n">
        <f aca="false">IF(Earthlike!Q139="|",ROUND(Earthlike!N139,0),IF(Earthlike!Q139="V",ROUND(Earthlike!N139,-3),""))</f>
        <v>79179</v>
      </c>
      <c r="C75" s="70" t="n">
        <f aca="false">IF(B75="","",ROUND(Earthlike!P139,3))</f>
        <v>-0.199</v>
      </c>
      <c r="D75" s="71" t="n">
        <f aca="false">IF(C75="","",(C75-C74)/(B75-B74))</f>
        <v>-6.01068566340161E-006</v>
      </c>
      <c r="E75" s="71" t="n">
        <f aca="false">IF(C75="","",IF(C76="",0,(C76-C75)/(B76-B75)))</f>
        <v>9.05502670071976E-006</v>
      </c>
    </row>
    <row r="76" customFormat="false" ht="15" hidden="false" customHeight="false" outlineLevel="0" collapsed="false">
      <c r="A76" s="69" t="str">
        <f aca="false">IF(B76="","Unused","key =")</f>
        <v>key =</v>
      </c>
      <c r="B76" s="69" t="n">
        <f aca="false">IF(Earthlike!Q140="|",ROUND(Earthlike!N140,0),IF(Earthlike!Q140="V",ROUND(Earthlike!N140,-3),""))</f>
        <v>83486</v>
      </c>
      <c r="C76" s="70" t="n">
        <f aca="false">IF(B76="","",ROUND(Earthlike!P140,3))</f>
        <v>-0.16</v>
      </c>
      <c r="D76" s="71" t="n">
        <f aca="false">IF(C76="","",(C76-C75)/(B76-B75))</f>
        <v>9.05502670071976E-006</v>
      </c>
      <c r="E76" s="71" t="n">
        <f aca="false">IF(C76="","",IF(C77="",0,(C77-C76)/(B77-B76)))</f>
        <v>1.83176669076886E-005</v>
      </c>
    </row>
    <row r="77" customFormat="false" ht="15" hidden="false" customHeight="false" outlineLevel="0" collapsed="false">
      <c r="A77" s="69" t="str">
        <f aca="false">IF(B77="","Unused","key =")</f>
        <v>key =</v>
      </c>
      <c r="B77" s="69" t="n">
        <f aca="false">IF(Earthlike!Q141="|",ROUND(Earthlike!N141,0),IF(Earthlike!Q141="V",ROUND(Earthlike!N141,-3),""))</f>
        <v>87635</v>
      </c>
      <c r="C77" s="70" t="n">
        <f aca="false">IF(B77="","",ROUND(Earthlike!P141,3))</f>
        <v>-0.084</v>
      </c>
      <c r="D77" s="71" t="n">
        <f aca="false">IF(C77="","",(C77-C76)/(B77-B76))</f>
        <v>1.83176669076886E-005</v>
      </c>
      <c r="E77" s="71" t="n">
        <f aca="false">IF(C77="","",IF(C78="",0,(C78-C77)/(B78-B77)))</f>
        <v>2.34005476723923E-005</v>
      </c>
    </row>
    <row r="78" customFormat="false" ht="15" hidden="false" customHeight="false" outlineLevel="0" collapsed="false">
      <c r="A78" s="69" t="str">
        <f aca="false">IF(B78="","Unused","key =")</f>
        <v>key =</v>
      </c>
      <c r="B78" s="69" t="n">
        <f aca="false">IF(Earthlike!Q142="|",ROUND(Earthlike!N142,0),IF(Earthlike!Q142="V",ROUND(Earthlike!N142,-3),""))</f>
        <v>91652</v>
      </c>
      <c r="C78" s="70" t="n">
        <f aca="false">IF(B78="","",ROUND(Earthlike!P142,3))</f>
        <v>0.01</v>
      </c>
      <c r="D78" s="71" t="n">
        <f aca="false">IF(C78="","",(C78-C77)/(B78-B77))</f>
        <v>2.34005476723923E-005</v>
      </c>
      <c r="E78" s="71" t="n">
        <f aca="false">IF(C78="","",IF(C79="",0,(C79-C78)/(B79-B78)))</f>
        <v>2.35716115808353E-005</v>
      </c>
    </row>
    <row r="79" customFormat="false" ht="15" hidden="false" customHeight="false" outlineLevel="0" collapsed="false">
      <c r="A79" s="69" t="str">
        <f aca="false">IF(B79="","Unused","key =")</f>
        <v>key =</v>
      </c>
      <c r="B79" s="69" t="n">
        <f aca="false">IF(Earthlike!Q143="|",ROUND(Earthlike!N143,0),IF(Earthlike!Q143="V",ROUND(Earthlike!N143,-3),""))</f>
        <v>95555</v>
      </c>
      <c r="C79" s="70" t="n">
        <f aca="false">IF(B79="","",ROUND(Earthlike!P143,3))</f>
        <v>0.102</v>
      </c>
      <c r="D79" s="71" t="n">
        <f aca="false">IF(C79="","",(C79-C78)/(B79-B78))</f>
        <v>2.35716115808353E-005</v>
      </c>
      <c r="E79" s="71" t="n">
        <f aca="false">IF(C79="","",IF(C80="",0,(C80-C79)/(B80-B79)))</f>
        <v>1.84016824395373E-005</v>
      </c>
    </row>
    <row r="80" customFormat="false" ht="15" hidden="false" customHeight="false" outlineLevel="0" collapsed="false">
      <c r="A80" s="69" t="str">
        <f aca="false">IF(B80="","Unused","key =")</f>
        <v>key =</v>
      </c>
      <c r="B80" s="69" t="n">
        <f aca="false">IF(Earthlike!Q144="|",ROUND(Earthlike!N144,0),IF(Earthlike!Q144="V",ROUND(Earthlike!N144,-3),""))</f>
        <v>99359</v>
      </c>
      <c r="C80" s="70" t="n">
        <f aca="false">IF(B80="","",ROUND(Earthlike!P144,3))</f>
        <v>0.172</v>
      </c>
      <c r="D80" s="71" t="n">
        <f aca="false">IF(C80="","",(C80-C79)/(B80-B79))</f>
        <v>1.84016824395373E-005</v>
      </c>
      <c r="E80" s="71" t="n">
        <f aca="false">IF(C80="","",IF(C81="",0,(C81-C80)/(B81-B80)))</f>
        <v>7.69019500137326E-006</v>
      </c>
    </row>
    <row r="81" customFormat="false" ht="15" hidden="false" customHeight="false" outlineLevel="0" collapsed="false">
      <c r="A81" s="69" t="str">
        <f aca="false">IF(B81="","Unused","key =")</f>
        <v>key =</v>
      </c>
      <c r="B81" s="69" t="n">
        <f aca="false">IF(Earthlike!Q145="|",ROUND(Earthlike!N145,0),IF(Earthlike!Q145="V",ROUND(Earthlike!N145,-3),""))</f>
        <v>103000</v>
      </c>
      <c r="C81" s="70" t="n">
        <f aca="false">IF(B81="","",ROUND(Earthlike!P145,3))</f>
        <v>0.2</v>
      </c>
      <c r="D81" s="71" t="n">
        <f aca="false">IF(C81="","",(C81-C80)/(B81-B80))</f>
        <v>7.69019500137326E-006</v>
      </c>
      <c r="E81" s="71" t="n">
        <f aca="false">IF(C81="","",IF(C82="",0,(C82-C81)/(B82-B81)))</f>
        <v>0</v>
      </c>
    </row>
    <row r="82" customFormat="false" ht="15" hidden="false" customHeight="false" outlineLevel="0" collapsed="false">
      <c r="A82" s="69" t="str">
        <f aca="false">IF(B82="","Unused","key =")</f>
        <v>Unused</v>
      </c>
      <c r="B82" s="69" t="str">
        <f aca="false">IF(Earthlike!Q146="|",ROUND(Earthlike!N146,0),IF(Earthlike!Q146="V",ROUND(Earthlike!N146,-3),""))</f>
        <v/>
      </c>
      <c r="C82" s="70" t="str">
        <f aca="false">IF(B82="","",ROUND(Earthlike!P146,3))</f>
        <v/>
      </c>
      <c r="D82" s="71" t="str">
        <f aca="false">IF(C82="","",(C82-C81)/(B82-B81))</f>
        <v/>
      </c>
      <c r="E82" s="71" t="str">
        <f aca="false">IF(C82="","",IF(C83="",0,(C83-C82)/(B83-B82)))</f>
        <v/>
      </c>
    </row>
    <row r="83" customFormat="false" ht="15" hidden="false" customHeight="false" outlineLevel="0" collapsed="false">
      <c r="A83" s="69" t="str">
        <f aca="false">IF(B83="","Unused","key =")</f>
        <v>Unused</v>
      </c>
      <c r="B83" s="69" t="str">
        <f aca="false">IF(Earthlike!Q147="|",ROUND(Earthlike!N147,0),IF(Earthlike!Q147="V",ROUND(Earthlike!N147,-3),""))</f>
        <v/>
      </c>
      <c r="C83" s="70" t="str">
        <f aca="false">IF(B83="","",ROUND(Earthlike!P147,3))</f>
        <v/>
      </c>
      <c r="D83" s="71" t="str">
        <f aca="false">IF(C83="","",(C83-C82)/(B83-B82))</f>
        <v/>
      </c>
      <c r="E83" s="71" t="str">
        <f aca="false">IF(C83="","",IF(C84="",0,(C84-C83)/(B84-B83)))</f>
        <v/>
      </c>
    </row>
    <row r="84" customFormat="false" ht="15" hidden="false" customHeight="false" outlineLevel="0" collapsed="false">
      <c r="A84" s="69" t="str">
        <f aca="false">IF(B84="","Unused","key =")</f>
        <v>Unused</v>
      </c>
      <c r="B84" s="69" t="str">
        <f aca="false">IF(Earthlike!Q148="|",ROUND(Earthlike!N148,0),IF(Earthlike!Q148="V",ROUND(Earthlike!N148,-3),""))</f>
        <v/>
      </c>
      <c r="C84" s="70" t="str">
        <f aca="false">IF(B84="","",ROUND(Earthlike!P148,3))</f>
        <v/>
      </c>
      <c r="D84" s="71" t="str">
        <f aca="false">IF(C84="","",(C84-C83)/(B84-B83))</f>
        <v/>
      </c>
      <c r="E84" s="71" t="str">
        <f aca="false">IF(C84="","",IF(C85="",0,(C85-C84)/(B85-B84)))</f>
        <v/>
      </c>
    </row>
    <row r="85" customFormat="false" ht="15" hidden="false" customHeight="false" outlineLevel="0" collapsed="false">
      <c r="A85" s="69" t="str">
        <f aca="false">IF(B85="","Unused","key =")</f>
        <v>Unused</v>
      </c>
      <c r="B85" s="69" t="str">
        <f aca="false">IF(Earthlike!Q149="|",ROUND(Earthlike!N149,0),IF(Earthlike!Q149="V",ROUND(Earthlike!N149,-3),""))</f>
        <v/>
      </c>
      <c r="C85" s="70" t="str">
        <f aca="false">IF(B85="","",ROUND(Earthlike!P149,3))</f>
        <v/>
      </c>
      <c r="D85" s="71" t="str">
        <f aca="false">IF(C85="","",(C85-C84)/(B85-B84))</f>
        <v/>
      </c>
      <c r="E85" s="71" t="str">
        <f aca="false">IF(C85="","",IF(C86="",0,(C86-C85)/(B86-B85)))</f>
        <v/>
      </c>
    </row>
    <row r="86" customFormat="false" ht="15" hidden="false" customHeight="false" outlineLevel="0" collapsed="false">
      <c r="A86" s="69" t="str">
        <f aca="false">IF(B86="","Unused","key =")</f>
        <v>Unused</v>
      </c>
      <c r="B86" s="69" t="str">
        <f aca="false">IF(Earthlike!Q150="|",ROUND(Earthlike!N150,0),IF(Earthlike!Q150="V",ROUND(Earthlike!N150,-3),""))</f>
        <v/>
      </c>
      <c r="C86" s="70" t="str">
        <f aca="false">IF(B86="","",ROUND(Earthlike!P150,3))</f>
        <v/>
      </c>
      <c r="D86" s="71" t="str">
        <f aca="false">IF(C86="","",(C86-C85)/(B86-B85))</f>
        <v/>
      </c>
      <c r="E86" s="71" t="str">
        <f aca="false">IF(C86="","",IF(C87="",0,(C87-C86)/(B87-B86)))</f>
        <v/>
      </c>
    </row>
    <row r="87" customFormat="false" ht="15" hidden="false" customHeight="false" outlineLevel="0" collapsed="false">
      <c r="A87" s="69" t="str">
        <f aca="false">IF(B87="","Unused","key =")</f>
        <v>Unused</v>
      </c>
      <c r="B87" s="69" t="str">
        <f aca="false">IF(Earthlike!Q151="|",ROUND(Earthlike!N151,0),IF(Earthlike!Q151="V",ROUND(Earthlike!N151,-3),""))</f>
        <v/>
      </c>
      <c r="C87" s="70" t="str">
        <f aca="false">IF(B87="","",ROUND(Earthlike!P151,3))</f>
        <v/>
      </c>
      <c r="D87" s="71" t="str">
        <f aca="false">IF(C87="","",(C87-C86)/(B87-B86))</f>
        <v/>
      </c>
      <c r="E87" s="71" t="str">
        <f aca="false">IF(C87="","",IF(C88="",0,(C88-C87)/(B88-B87)))</f>
        <v/>
      </c>
    </row>
    <row r="88" customFormat="false" ht="15" hidden="false" customHeight="false" outlineLevel="0" collapsed="false">
      <c r="A88" s="69" t="str">
        <f aca="false">IF(B88="","Unused","key =")</f>
        <v>Unused</v>
      </c>
      <c r="B88" s="69" t="str">
        <f aca="false">IF(Earthlike!Q152="|",ROUND(Earthlike!N152,0),IF(Earthlike!Q152="V",ROUND(Earthlike!N152,-3),""))</f>
        <v/>
      </c>
      <c r="C88" s="70" t="str">
        <f aca="false">IF(B88="","",ROUND(Earthlike!P152,3))</f>
        <v/>
      </c>
      <c r="D88" s="71" t="str">
        <f aca="false">IF(C88="","",(C88-C87)/(B88-B87))</f>
        <v/>
      </c>
      <c r="E88" s="71" t="str">
        <f aca="false">IF(C88="","",IF(C89="",0,(C89-C88)/(B89-B88)))</f>
        <v/>
      </c>
    </row>
    <row r="89" customFormat="false" ht="15" hidden="false" customHeight="false" outlineLevel="0" collapsed="false">
      <c r="A89" s="69" t="str">
        <f aca="false">IF(B89="","Unused","key =")</f>
        <v>Unused</v>
      </c>
      <c r="B89" s="69" t="str">
        <f aca="false">IF(Earthlike!Q153="|",ROUND(Earthlike!N153,0),IF(Earthlike!Q153="V",ROUND(Earthlike!N153,-3),""))</f>
        <v/>
      </c>
      <c r="C89" s="70" t="str">
        <f aca="false">IF(B89="","",ROUND(Earthlike!P153,3))</f>
        <v/>
      </c>
      <c r="D89" s="71" t="str">
        <f aca="false">IF(C89="","",(C89-C88)/(B89-B88))</f>
        <v/>
      </c>
      <c r="E89" s="71" t="str">
        <f aca="false">IF(C89="","",IF(C90="",0,(C90-C89)/(B90-B89)))</f>
        <v/>
      </c>
    </row>
    <row r="90" customFormat="false" ht="15" hidden="false" customHeight="false" outlineLevel="0" collapsed="false">
      <c r="A90" s="69" t="str">
        <f aca="false">IF(B90="","Unused","key =")</f>
        <v>Unused</v>
      </c>
      <c r="B90" s="69" t="str">
        <f aca="false">IF(Earthlike!Q154="|",ROUND(Earthlike!N154,0),IF(Earthlike!Q154="V",ROUND(Earthlike!N154,-3),""))</f>
        <v/>
      </c>
      <c r="C90" s="70" t="str">
        <f aca="false">IF(B90="","",ROUND(Earthlike!P154,3))</f>
        <v/>
      </c>
      <c r="D90" s="71" t="str">
        <f aca="false">IF(C90="","",(C90-C89)/(B90-B89))</f>
        <v/>
      </c>
      <c r="E90" s="71" t="str">
        <f aca="false">IF(C90="","",IF(C91="",0,(C91-C90)/(B91-B90)))</f>
        <v/>
      </c>
    </row>
    <row r="91" customFormat="false" ht="15" hidden="false" customHeight="false" outlineLevel="0" collapsed="false">
      <c r="A91" s="69" t="str">
        <f aca="false">IF(B91="","Unused","key =")</f>
        <v>Unused</v>
      </c>
      <c r="B91" s="69" t="str">
        <f aca="false">IF(Earthlike!Q155="|",ROUND(Earthlike!N155,0),IF(Earthlike!Q155="V",ROUND(Earthlike!N155,-3),""))</f>
        <v/>
      </c>
      <c r="C91" s="70" t="str">
        <f aca="false">IF(B91="","",ROUND(Earthlike!P155,3))</f>
        <v/>
      </c>
      <c r="D91" s="71" t="str">
        <f aca="false">IF(C91="","",(C91-C90)/(B91-B90))</f>
        <v/>
      </c>
      <c r="E91" s="71" t="str">
        <f aca="false">IF(C91="","",IF(C92="",0,(C92-C91)/(B92-B91)))</f>
        <v/>
      </c>
    </row>
    <row r="92" customFormat="false" ht="15" hidden="false" customHeight="false" outlineLevel="0" collapsed="false">
      <c r="A92" s="69" t="str">
        <f aca="false">IF(B92="","Unused","key =")</f>
        <v>Unused</v>
      </c>
      <c r="B92" s="69" t="str">
        <f aca="false">IF(Earthlike!Q156="|",ROUND(Earthlike!N156,0),IF(Earthlike!Q156="V",ROUND(Earthlike!N156,-3),""))</f>
        <v/>
      </c>
      <c r="C92" s="70" t="str">
        <f aca="false">IF(B92="","",ROUND(Earthlike!P156,3))</f>
        <v/>
      </c>
      <c r="D92" s="71" t="str">
        <f aca="false">IF(C92="","",(C92-C91)/(B92-B91))</f>
        <v/>
      </c>
      <c r="E92" s="71" t="str">
        <f aca="false">IF(C92="","",IF(C93="",0,(C93-C92)/(B93-B92)))</f>
        <v/>
      </c>
    </row>
    <row r="93" customFormat="false" ht="15" hidden="false" customHeight="false" outlineLevel="0" collapsed="false">
      <c r="A93" s="69" t="str">
        <f aca="false">IF(B93="","Unused","key =")</f>
        <v>Unused</v>
      </c>
      <c r="B93" s="69" t="str">
        <f aca="false">IF(Earthlike!Q157="|",ROUND(Earthlike!N157,0),IF(Earthlike!Q157="V",ROUND(Earthlike!N157,-3),""))</f>
        <v/>
      </c>
      <c r="C93" s="70" t="str">
        <f aca="false">IF(B93="","",ROUND(Earthlike!P157,3))</f>
        <v/>
      </c>
      <c r="D93" s="71" t="str">
        <f aca="false">IF(C93="","",(C93-C92)/(B93-B92))</f>
        <v/>
      </c>
      <c r="E93" s="71" t="str">
        <f aca="false">IF(C93="","",IF(C94="",0,(C94-C93)/(B94-B93)))</f>
        <v/>
      </c>
    </row>
    <row r="94" customFormat="false" ht="15" hidden="false" customHeight="false" outlineLevel="0" collapsed="false">
      <c r="A94" s="69" t="str">
        <f aca="false">IF(B94="","Unused","key =")</f>
        <v>Unused</v>
      </c>
      <c r="B94" s="69" t="str">
        <f aca="false">IF(Earthlike!Q158="|",ROUND(Earthlike!N158,0),IF(Earthlike!Q158="V",ROUND(Earthlike!N158,-3),""))</f>
        <v/>
      </c>
      <c r="C94" s="70" t="str">
        <f aca="false">IF(B94="","",ROUND(Earthlike!P158,3))</f>
        <v/>
      </c>
      <c r="D94" s="71" t="str">
        <f aca="false">IF(C94="","",(C94-C93)/(B94-B93))</f>
        <v/>
      </c>
      <c r="E94" s="71" t="str">
        <f aca="false">IF(C94="","",IF(C95="",0,(C95-C94)/(B95-B94)))</f>
        <v/>
      </c>
    </row>
    <row r="95" customFormat="false" ht="15" hidden="false" customHeight="false" outlineLevel="0" collapsed="false">
      <c r="A95" s="66" t="s">
        <v>212</v>
      </c>
      <c r="B95" s="69"/>
      <c r="C95" s="69"/>
      <c r="D95" s="69"/>
      <c r="E95" s="69"/>
    </row>
    <row r="96" customFormat="false" ht="15" hidden="false" customHeight="false" outlineLevel="0" collapsed="false">
      <c r="A96" s="66" t="s">
        <v>227</v>
      </c>
      <c r="B96" s="69"/>
      <c r="C96" s="69"/>
      <c r="D96" s="69"/>
      <c r="E96" s="69"/>
    </row>
    <row r="97" customFormat="false" ht="15" hidden="false" customHeight="false" outlineLevel="0" collapsed="false">
      <c r="A97" s="66" t="s">
        <v>209</v>
      </c>
      <c r="B97" s="69"/>
      <c r="C97" s="69"/>
      <c r="D97" s="69"/>
      <c r="E97" s="69"/>
    </row>
    <row r="98" customFormat="false" ht="15" hidden="false" customHeight="false" outlineLevel="0" collapsed="false">
      <c r="A98" s="69" t="s">
        <v>224</v>
      </c>
      <c r="B98" s="69" t="n">
        <v>0</v>
      </c>
      <c r="C98" s="69" t="n">
        <f aca="false">ROUND(Earthlike!G$88*(COS(RADIANS(B98))-COS(RADIANS(38))),2)</f>
        <v>7.21</v>
      </c>
      <c r="D98" s="69" t="n">
        <v>0</v>
      </c>
      <c r="E98" s="69" t="n">
        <f aca="false">ROUND(-Earthlike!G$88*SIN(RADIANS(B98))*PI()/180,4)</f>
        <v>-0</v>
      </c>
    </row>
    <row r="99" customFormat="false" ht="15" hidden="false" customHeight="false" outlineLevel="0" collapsed="false">
      <c r="A99" s="69" t="s">
        <v>224</v>
      </c>
      <c r="B99" s="69" t="n">
        <v>38</v>
      </c>
      <c r="C99" s="69" t="n">
        <f aca="false">ROUND(Earthlike!G$88*(COS(RADIANS(B99))-COS(RADIANS(38))),2)</f>
        <v>0</v>
      </c>
      <c r="D99" s="69" t="n">
        <f aca="false">ROUND(-Earthlike!G$88*SIN(RADIANS(B99))*PI()/180,4)</f>
        <v>-0.3653</v>
      </c>
      <c r="E99" s="69" t="n">
        <f aca="false">ROUND(-Earthlike!G$88*SIN(RADIANS(B99))*PI()/180,4)</f>
        <v>-0.3653</v>
      </c>
    </row>
    <row r="100" customFormat="false" ht="15" hidden="false" customHeight="false" outlineLevel="0" collapsed="false">
      <c r="A100" s="69" t="s">
        <v>224</v>
      </c>
      <c r="B100" s="69" t="n">
        <v>90</v>
      </c>
      <c r="C100" s="69" t="n">
        <f aca="false">ROUND(Earthlike!G$88*(COS(RADIANS(B100))-COS(RADIANS(38))),2)</f>
        <v>-26.79</v>
      </c>
      <c r="D100" s="69" t="n">
        <f aca="false">ROUND(-Earthlike!G$88*SIN(RADIANS(B100))*PI()/180,4)</f>
        <v>-0.5934</v>
      </c>
      <c r="E100" s="69" t="n">
        <v>0</v>
      </c>
    </row>
    <row r="101" customFormat="false" ht="15" hidden="false" customHeight="false" outlineLevel="0" collapsed="false">
      <c r="A101" s="66" t="s">
        <v>212</v>
      </c>
      <c r="B101" s="69"/>
      <c r="C101" s="69"/>
      <c r="D101" s="69"/>
      <c r="E101" s="69"/>
    </row>
    <row r="102" customFormat="false" ht="15" hidden="false" customHeight="false" outlineLevel="0" collapsed="false">
      <c r="A102" s="66" t="s">
        <v>228</v>
      </c>
      <c r="B102" s="69"/>
      <c r="C102" s="69"/>
      <c r="D102" s="69"/>
      <c r="E102" s="69"/>
    </row>
    <row r="103" customFormat="false" ht="15" hidden="false" customHeight="false" outlineLevel="0" collapsed="false">
      <c r="A103" s="66" t="s">
        <v>209</v>
      </c>
      <c r="B103" s="69"/>
      <c r="C103" s="69"/>
      <c r="D103" s="69"/>
      <c r="E103" s="69"/>
    </row>
    <row r="104" customFormat="false" ht="15" hidden="false" customHeight="false" outlineLevel="0" collapsed="false">
      <c r="A104" s="69" t="s">
        <v>224</v>
      </c>
      <c r="B104" s="69" t="n">
        <v>0</v>
      </c>
      <c r="C104" s="69" t="n">
        <f aca="false">ROUND((Earthlike!G$86-Earthlike!G$87)*COS(RADIANS(B104))+Earthlike!G$87,2)</f>
        <v>14</v>
      </c>
      <c r="D104" s="69" t="n">
        <v>0</v>
      </c>
      <c r="E104" s="69" t="n">
        <f aca="false">ROUND((Earthlike!G$87-Earthlike!G$86)*SIN(RADIANS(B104))*PI()/180,4)</f>
        <v>-0</v>
      </c>
    </row>
    <row r="105" customFormat="false" ht="15" hidden="false" customHeight="false" outlineLevel="0" collapsed="false">
      <c r="A105" s="69" t="s">
        <v>224</v>
      </c>
      <c r="B105" s="69" t="n">
        <v>38</v>
      </c>
      <c r="C105" s="69" t="n">
        <f aca="false">ROUND((Earthlike!G$86-Earthlike!G$87)*COS(RADIANS(B105))+Earthlike!G$87,2)</f>
        <v>11.88</v>
      </c>
      <c r="D105" s="69" t="n">
        <f aca="false">ROUND((Earthlike!G$87-Earthlike!G$86)*SIN(RADIANS(B105))*PI()/180,4)</f>
        <v>-0.1075</v>
      </c>
      <c r="E105" s="69" t="n">
        <f aca="false">ROUND((Earthlike!G$87-Earthlike!G$86)*SIN(RADIANS(B105))*PI()/180,4)</f>
        <v>-0.1075</v>
      </c>
    </row>
    <row r="106" customFormat="false" ht="15" hidden="false" customHeight="false" outlineLevel="0" collapsed="false">
      <c r="A106" s="69" t="s">
        <v>224</v>
      </c>
      <c r="B106" s="69" t="n">
        <v>90</v>
      </c>
      <c r="C106" s="69" t="n">
        <f aca="false">ROUND((Earthlike!G$86-Earthlike!G$87)*COS(RADIANS(B106))+Earthlike!G$87,2)</f>
        <v>4</v>
      </c>
      <c r="D106" s="69" t="n">
        <f aca="false">ROUND((Earthlike!G$87-Earthlike!G$86)*SIN(RADIANS(B106))*PI()/180,4)</f>
        <v>-0.1745</v>
      </c>
      <c r="E106" s="69" t="n">
        <v>0</v>
      </c>
    </row>
    <row r="107" customFormat="false" ht="15" hidden="false" customHeight="false" outlineLevel="0" collapsed="false">
      <c r="A107" s="66" t="s">
        <v>212</v>
      </c>
      <c r="B107" s="69"/>
      <c r="C107" s="69"/>
      <c r="D107" s="69"/>
      <c r="E107" s="69"/>
    </row>
    <row r="108" customFormat="false" ht="15" hidden="false" customHeight="false" outlineLevel="0" collapsed="false">
      <c r="A108" s="66" t="s">
        <v>229</v>
      </c>
      <c r="B108" s="69"/>
      <c r="C108" s="69"/>
      <c r="D108" s="69"/>
      <c r="E108" s="69"/>
    </row>
    <row r="109" customFormat="false" ht="15" hidden="false" customHeight="false" outlineLevel="0" collapsed="false">
      <c r="A109" s="66" t="s">
        <v>209</v>
      </c>
      <c r="B109" s="69"/>
      <c r="C109" s="69"/>
      <c r="D109" s="69"/>
      <c r="E109" s="69"/>
    </row>
    <row r="110" customFormat="false" ht="15" hidden="false" customHeight="false" outlineLevel="0" collapsed="false">
      <c r="A110" s="69" t="s">
        <v>224</v>
      </c>
      <c r="B110" s="69" t="n">
        <v>0</v>
      </c>
      <c r="C110" s="69" t="n">
        <f aca="false">IF(Earthlike!G$19="Planet",ROUND(-Earthlike!G$89*Earthlike!G$91*SIN(RADIANS(B110-36+Earthlike!G28)),2),ROUND(-Earthlike!G$89*Earthlike!G$91*SIN(RADIANS(B110-36+Earthlike!G$33)),2))</f>
        <v>0</v>
      </c>
      <c r="D110" s="69" t="n">
        <v>0</v>
      </c>
      <c r="E110" s="69" t="n">
        <f aca="false">IF(Earthlike!G$19="Planet",IF(Earthlike!G$27&gt;0,D115,0),IF(Earthlike!G$32&gt;0,D115,0))</f>
        <v>0</v>
      </c>
    </row>
    <row r="111" customFormat="false" ht="15" hidden="false" customHeight="false" outlineLevel="0" collapsed="false">
      <c r="A111" s="69" t="str">
        <f aca="false">IF(B111="","Unused","key =")</f>
        <v>Unused</v>
      </c>
      <c r="B111" s="69" t="str">
        <f aca="false">IF(Earthlike!G19="Planet",IF(Earthlike!G$27&gt;0,MIN(IF(36-Earthlike!G$28&lt;0,36-Earthlike!G$28+360,36-Earthlike!G$28),IF(126-Earthlike!G$28&lt;0,126-Earthlike!G$28+360,126-Earthlike!G$28),IF(216-Earthlike!G$28&lt;0,216-Earthlike!G$28+360,216-Earthlike!G$28),IF(306-Earthlike!G$28&lt;0,306-Earthlike!G$28+360,306-Earthlike!G$28)),""),IF(Earthlike!G$32&gt;0,MIN(IF(36-Earthlike!G$33&lt;0,36-Earthlike!G$33+360,36-Earthlike!G$33),IF(126-Earthlike!G$33&lt;0,126-Earthlike!G$33+360,126-Earthlike!G$33),IF(216-Earthlike!G$33&lt;0,216-Earthlike!G$33+360,216-Earthlike!G$33),IF(306-Earthlike!G$33&lt;0,306-Earthlike!G$33+360,306-Earthlike!G$33)),""))</f>
        <v/>
      </c>
      <c r="C111" s="69" t="str">
        <f aca="false">IF(Earthlike!G$19="Planet",IF(Earthlike!G$27&gt;0,ROUND(-Earthlike!G$89*Earthlike!G$91*SIN(RADIANS(B111-36+Earthlike!G$28)),2),""),IF(Earthlike!G$32&gt;0,ROUND(-Earthlike!G$89*Earthlike!G$91*SIN(RADIANS(B111-36+Earthlike!G$33)),2),""))</f>
        <v/>
      </c>
      <c r="D111" s="69" t="str">
        <f aca="false">IF(Earthlike!G$19="Planet",IF(Earthlike!G$27&gt;0,ROUND(Earthlike!G$89*Earthlike!G$91*SIN(RADIANS(270))*COS(RADIANS(B111-36+Earthlike!G$28))*PI()/180,4),""),IF(Earthlike!G$32&gt;0,ROUND(Earthlike!G$89*Earthlike!G$91*SIN(RADIANS(270))*COS(RADIANS(B111-36+Earthlike!G$33))*PI()/180,4),""))</f>
        <v/>
      </c>
      <c r="E111" s="69" t="str">
        <f aca="false">IF(Earthlike!G$19="Planet",IF(Earthlike!G$27&gt;0,D111,""),IF(Earthlike!G$32&gt;0,D111,""))</f>
        <v/>
      </c>
    </row>
    <row r="112" customFormat="false" ht="15" hidden="false" customHeight="false" outlineLevel="0" collapsed="false">
      <c r="A112" s="69" t="str">
        <f aca="false">IF(B112="","Unused","key =")</f>
        <v>Unused</v>
      </c>
      <c r="B112" s="69" t="str">
        <f aca="false">IF(Earthlike!G$19="Planet",IF(Earthlike!G$27&gt;0,B111+90,""),IF(Earthlike!G$32&gt;0,B111+90,""))</f>
        <v/>
      </c>
      <c r="C112" s="69" t="str">
        <f aca="false">IF(Earthlike!G$19="Planet",IF(Earthlike!G$27&gt;0,ROUND(-Earthlike!G$89*Earthlike!G$91*SIN(RADIANS(B112-36+Earthlike!G$28)),2),""),IF(Earthlike!G$32&gt;0,ROUND(-Earthlike!G$89*Earthlike!G$91*SIN(RADIANS(B112-36+Earthlike!G$33)),2),""))</f>
        <v/>
      </c>
      <c r="D112" s="69" t="str">
        <f aca="false">IF(Earthlike!G$19="Planet",IF(Earthlike!G$27&gt;0,ROUND(Earthlike!G$89*Earthlike!G$91*SIN(RADIANS(270))*COS(RADIANS(B112-36+Earthlike!G$28))*PI()/180,4),""),IF(Earthlike!G$32&gt;0,ROUND(Earthlike!G$89*Earthlike!G$91*SIN(RADIANS(270))*COS(RADIANS(B112-36+Earthlike!G$33))*PI()/180,4),""))</f>
        <v/>
      </c>
      <c r="E112" s="69" t="str">
        <f aca="false">IF(Earthlike!G$19="Planet",IF(Earthlike!G$27&gt;0,D112,""),IF(Earthlike!G$32&gt;0,D112,""))</f>
        <v/>
      </c>
    </row>
    <row r="113" customFormat="false" ht="15" hidden="false" customHeight="false" outlineLevel="0" collapsed="false">
      <c r="A113" s="69" t="str">
        <f aca="false">IF(B113="","Unused","key =")</f>
        <v>Unused</v>
      </c>
      <c r="B113" s="69" t="str">
        <f aca="false">IF(Earthlike!G$19="Planet",IF(Earthlike!G$27&gt;0,B112+90,""),IF(Earthlike!G$32&gt;0,B112+90,""))</f>
        <v/>
      </c>
      <c r="C113" s="69" t="str">
        <f aca="false">IF(Earthlike!G$19="Planet",IF(Earthlike!G$27&gt;0,ROUND(-Earthlike!G$89*Earthlike!G$91*SIN(RADIANS(B113-36+Earthlike!G$28)),2),""),IF(Earthlike!G$32&gt;0,ROUND(-Earthlike!G$89*Earthlike!G$91*SIN(RADIANS(B113-36+Earthlike!G$33)),2),""))</f>
        <v/>
      </c>
      <c r="D113" s="69" t="str">
        <f aca="false">IF(Earthlike!G$19="Planet",IF(Earthlike!G$27&gt;0,ROUND(Earthlike!G$89*Earthlike!G$91*SIN(RADIANS(270))*COS(RADIANS(B113-36+Earthlike!G$28))*PI()/180,4),""),IF(Earthlike!G$32&gt;0,ROUND(Earthlike!G$89*Earthlike!G$91*SIN(RADIANS(270))*COS(RADIANS(B113-36+Earthlike!G$33))*PI()/180,4),""))</f>
        <v/>
      </c>
      <c r="E113" s="69" t="str">
        <f aca="false">IF(Earthlike!G$19="Planet",IF(Earthlike!G$27&gt;0,D113,""),IF(Earthlike!G$32&gt;0,D113,""))</f>
        <v/>
      </c>
    </row>
    <row r="114" customFormat="false" ht="15" hidden="false" customHeight="false" outlineLevel="0" collapsed="false">
      <c r="A114" s="69" t="str">
        <f aca="false">IF(B114="","Unused","key =")</f>
        <v>Unused</v>
      </c>
      <c r="B114" s="69" t="str">
        <f aca="false">IF(Earthlike!G$19="Planet",IF(Earthlike!G$27&gt;0,B113+90,""),IF(Earthlike!G$32&gt;0,B113+90,""))</f>
        <v/>
      </c>
      <c r="C114" s="69" t="str">
        <f aca="false">IF(Earthlike!G$19="Planet",IF(Earthlike!G$27&gt;0,ROUND(-Earthlike!G$89*Earthlike!G$91*SIN(RADIANS(B114-36+Earthlike!G$28)),2),""),IF(Earthlike!G$32&gt;0,ROUND(-Earthlike!G$89*Earthlike!G$91*SIN(RADIANS(B114-36+Earthlike!G$33)),2),""))</f>
        <v/>
      </c>
      <c r="D114" s="69" t="str">
        <f aca="false">IF(Earthlike!G$19="Planet",IF(Earthlike!G$27&gt;0,ROUND(Earthlike!G$89*Earthlike!G$91*SIN(RADIANS(270))*COS(RADIANS(B114-36+Earthlike!G$28))*PI()/180,4),""),IF(Earthlike!G$32&gt;0,ROUND(Earthlike!G$89*Earthlike!G$91*SIN(RADIANS(270))*COS(RADIANS(B114-36+Earthlike!G$33))*PI()/180,4),""))</f>
        <v/>
      </c>
      <c r="E114" s="69" t="str">
        <f aca="false">IF(Earthlike!G$19="Planet",IF(Earthlike!G$27&gt;0,D114,""),IF(Earthlike!G$32&gt;0,D114,""))</f>
        <v/>
      </c>
    </row>
    <row r="115" customFormat="false" ht="15" hidden="false" customHeight="false" outlineLevel="0" collapsed="false">
      <c r="A115" s="69" t="str">
        <f aca="false">IF(B115="","Unused","key =")</f>
        <v>Unused</v>
      </c>
      <c r="B115" s="69" t="str">
        <f aca="false">IF(Earthlike!G$19="Planet",IF(Earthlike!G$27&gt;0,360,""),IF(Earthlike!G$32&gt;0,360,""))</f>
        <v/>
      </c>
      <c r="C115" s="69" t="str">
        <f aca="false">IF(Earthlike!G$19="Planet",IF(Earthlike!G$27&gt;0,ROUND(-Earthlike!G$89*Earthlike!G$91*SIN(RADIANS(B115-36+Earthlike!G$28)),2),""),IF(Earthlike!G$32&gt;0,ROUND(-Earthlike!G$89*Earthlike!G$91*SIN(RADIANS(B115-36+Earthlike!G$33)),2),""))</f>
        <v/>
      </c>
      <c r="D115" s="69" t="str">
        <f aca="false">IF(Earthlike!G$19="Planet",IF(Earthlike!G$27&gt;0,ROUND(Earthlike!G$89*Earthlike!G$91*SIN(RADIANS(270))*COS(RADIANS(B115-36+Earthlike!G$28))*PI()/180,4),""),IF(Earthlike!G$32&gt;0,ROUND(Earthlike!G$89*Earthlike!G$91*SIN(RADIANS(270))*COS(RADIANS(B115-36+Earthlike!G$33))*PI()/180,4),""))</f>
        <v/>
      </c>
      <c r="E115" s="69" t="str">
        <f aca="false">IF(Earthlike!G$19="Planet",IF(Earthlike!G$27&gt;0,0,""),IF(Earthlike!G$32&gt;0,0,""))</f>
        <v/>
      </c>
    </row>
    <row r="116" customFormat="false" ht="15" hidden="false" customHeight="false" outlineLevel="0" collapsed="false">
      <c r="A116" s="66" t="s">
        <v>212</v>
      </c>
      <c r="B116" s="69"/>
      <c r="C116" s="69"/>
      <c r="D116" s="69"/>
      <c r="E116" s="69"/>
    </row>
    <row r="117" customFormat="false" ht="15" hidden="false" customHeight="false" outlineLevel="0" collapsed="false">
      <c r="A117" s="66" t="s">
        <v>230</v>
      </c>
      <c r="B117" s="69"/>
      <c r="C117" s="69"/>
      <c r="D117" s="69"/>
      <c r="E117" s="69"/>
    </row>
    <row r="118" customFormat="false" ht="15" hidden="false" customHeight="false" outlineLevel="0" collapsed="false">
      <c r="A118" s="66" t="s">
        <v>209</v>
      </c>
      <c r="B118" s="69"/>
      <c r="C118" s="69"/>
      <c r="D118" s="69"/>
      <c r="E118" s="69"/>
    </row>
    <row r="119" customFormat="false" ht="15" hidden="false" customHeight="false" outlineLevel="0" collapsed="false">
      <c r="A119" s="69" t="s">
        <v>224</v>
      </c>
      <c r="B119" s="69" t="n">
        <v>0</v>
      </c>
      <c r="C119" s="69" t="n">
        <v>0</v>
      </c>
      <c r="D119" s="69" t="n">
        <v>0</v>
      </c>
      <c r="E119" s="69" t="n">
        <v>0</v>
      </c>
    </row>
    <row r="120" customFormat="false" ht="15" hidden="false" customHeight="false" outlineLevel="0" collapsed="false">
      <c r="A120" s="69" t="str">
        <f aca="false">IF(B120="","Unused","key =")</f>
        <v>Unused</v>
      </c>
      <c r="B120" s="69" t="str">
        <f aca="false">IF(Earthlike!G$19="Planet",IF(Earthlike!G$27&gt;0,38,""),IF(Earthlike!G$32&gt;0,38,""))</f>
        <v/>
      </c>
      <c r="C120" s="69" t="str">
        <f aca="false">IF(Earthlike!G$19="Planet",IF(Earthlike!G$27&gt;0,0.5,""),IF(Earthlike!G$32&gt;0,0.5,""))</f>
        <v/>
      </c>
      <c r="D120" s="69" t="str">
        <f aca="false">IF(Earthlike!G$19="Planet",IF(Earthlike!G$27&gt;0,0.02,""),IF(Earthlike!G$32&gt;0,0.02,""))</f>
        <v/>
      </c>
      <c r="E120" s="69" t="str">
        <f aca="false">IF(Earthlike!G$19="Planet",IF(Earthlike!G$27&gt;0,0.02,""),IF(Earthlike!G$32&gt;0,0.02,""))</f>
        <v/>
      </c>
    </row>
    <row r="121" customFormat="false" ht="15" hidden="false" customHeight="false" outlineLevel="0" collapsed="false">
      <c r="A121" s="69" t="str">
        <f aca="false">IF(B121="","Unused","key =")</f>
        <v>Unused</v>
      </c>
      <c r="B121" s="69" t="str">
        <f aca="false">IF(Earthlike!G$19="Planet",IF(Earthlike!G$27&gt;0,90,""),IF(Earthlike!G$32&gt;0,90,""))</f>
        <v/>
      </c>
      <c r="C121" s="69" t="str">
        <f aca="false">IF(Earthlike!G$19="Planet",IF(Earthlike!G$27&gt;0,1,""),IF(Earthlike!G$32&gt;0,1,""))</f>
        <v/>
      </c>
      <c r="D121" s="69" t="str">
        <f aca="false">IF(Earthlike!G$19="Planet",IF(Earthlike!G$27&gt;0,0,""),IF(Earthlike!G$32&gt;0,0,""))</f>
        <v/>
      </c>
      <c r="E121" s="69" t="str">
        <f aca="false">IF(Earthlike!G$19="Planet",IF(Earthlike!G$27&gt;0,0,""),IF(Earthlike!G$32&gt;0,0,""))</f>
        <v/>
      </c>
    </row>
    <row r="122" customFormat="false" ht="15" hidden="false" customHeight="false" outlineLevel="0" collapsed="false">
      <c r="A122" s="66" t="s">
        <v>212</v>
      </c>
      <c r="B122" s="69"/>
      <c r="C122" s="69"/>
      <c r="D122" s="69"/>
      <c r="E122" s="69"/>
    </row>
    <row r="123" customFormat="false" ht="15" hidden="false" customHeight="false" outlineLevel="0" collapsed="false">
      <c r="A123" s="66" t="s">
        <v>231</v>
      </c>
      <c r="B123" s="69"/>
      <c r="C123" s="69"/>
      <c r="D123" s="69"/>
      <c r="E123" s="69"/>
    </row>
    <row r="124" customFormat="false" ht="15" hidden="false" customHeight="false" outlineLevel="0" collapsed="false">
      <c r="A124" s="66" t="s">
        <v>209</v>
      </c>
      <c r="B124" s="69"/>
      <c r="C124" s="69"/>
      <c r="D124" s="69"/>
      <c r="E124" s="69"/>
    </row>
    <row r="125" customFormat="false" ht="15" hidden="false" customHeight="false" outlineLevel="0" collapsed="false">
      <c r="A125" s="69" t="s">
        <v>224</v>
      </c>
      <c r="B125" s="69" t="n">
        <v>0</v>
      </c>
      <c r="C125" s="69" t="n">
        <f aca="false">ROUND(Earthlike!G$90*Earthlike!G$91,1)/2</f>
        <v>0</v>
      </c>
      <c r="D125" s="69" t="n">
        <v>0</v>
      </c>
      <c r="E125" s="69" t="n">
        <f aca="false">-2*C125</f>
        <v>-0</v>
      </c>
    </row>
    <row r="126" customFormat="false" ht="15" hidden="false" customHeight="false" outlineLevel="0" collapsed="false">
      <c r="A126" s="69" t="str">
        <f aca="false">IF(B126="","Unused","key =")</f>
        <v>Unused</v>
      </c>
      <c r="B126" s="69" t="str">
        <f aca="false">IF(Earthlike!G$19="Planet",IF(Earthlike!G$26&gt;0,1,""),IF(Earthlike!G$31&gt;0,1,""))</f>
        <v/>
      </c>
      <c r="C126" s="69" t="str">
        <f aca="false">IF(Earthlike!G$19="Planet",IF(Earthlike!G$26&gt;0,-C125,""),IF(Earthlike!G$31&gt;0,-C125,""))</f>
        <v/>
      </c>
      <c r="D126" s="69" t="str">
        <f aca="false">IF(Earthlike!G$19="Planet",IF(Earthlike!G$26&gt;0,E125,""),IF(Earthlike!G$31&gt;0,E125,""))</f>
        <v/>
      </c>
      <c r="E126" s="69" t="str">
        <f aca="false">IF(Earthlike!G$19="Planet",IF(Earthlike!G$26&gt;0,0,""),IF(Earthlike!G$31&gt;0,0,""))</f>
        <v/>
      </c>
    </row>
    <row r="127" customFormat="false" ht="15" hidden="false" customHeight="false" outlineLevel="0" collapsed="false">
      <c r="A127" s="66" t="s">
        <v>212</v>
      </c>
      <c r="B127" s="69"/>
      <c r="C127" s="69"/>
      <c r="D127" s="69"/>
      <c r="E127" s="69"/>
    </row>
    <row r="128" customFormat="false" ht="15" hidden="false" customHeight="false" outlineLevel="0" collapsed="false">
      <c r="A128" s="66" t="s">
        <v>225</v>
      </c>
      <c r="B128" s="69"/>
      <c r="C128" s="69"/>
      <c r="D128" s="69"/>
      <c r="E128" s="69"/>
    </row>
    <row r="129" customFormat="false" ht="15" hidden="false" customHeight="false" outlineLevel="0" collapsed="false">
      <c r="A129" s="66" t="s">
        <v>209</v>
      </c>
      <c r="B129" s="69"/>
      <c r="C129" s="69"/>
      <c r="D129" s="69"/>
      <c r="E129" s="69"/>
    </row>
    <row r="130" customFormat="false" ht="15" hidden="false" customHeight="false" outlineLevel="0" collapsed="false">
      <c r="A130" s="69" t="str">
        <f aca="false">IF(B130="","Unused","key =")</f>
        <v>key =</v>
      </c>
      <c r="B130" s="69" t="n">
        <f aca="false">IF(Earthlike!Q122="|",ROUND(Earthlike!N122,0),IF(Earthlike!Q122="V",ROUND(Earthlike!N122,-3),""))</f>
        <v>0</v>
      </c>
      <c r="C130" s="71" t="n">
        <f aca="false">IF(B130="","",IF(B131="",0,Earthlike!H122/1000))</f>
        <v>159.08025</v>
      </c>
      <c r="D130" s="71" t="n">
        <v>0</v>
      </c>
      <c r="E130" s="71" t="n">
        <f aca="false">IF(C130="","",IF(C130=0,0,-(C130*1.001-C130*0.999)/(Earthlike!G122*LN((C130*1.001)/(C130*0.999)))/IF(Earthlike!G$100&gt;0,Earthlike!G$100,0.8)))</f>
        <v>-0.0162878309779264</v>
      </c>
    </row>
    <row r="131" customFormat="false" ht="15" hidden="false" customHeight="false" outlineLevel="0" collapsed="false">
      <c r="A131" s="69" t="str">
        <f aca="false">IF(B131="","Unused","key =")</f>
        <v>key =</v>
      </c>
      <c r="B131" s="69" t="n">
        <f aca="false">IF(Earthlike!Q123="|",ROUND(Earthlike!N123,0),IF(Earthlike!Q123="V",ROUND(Earthlike!N123,-3),""))</f>
        <v>5435</v>
      </c>
      <c r="C131" s="71" t="n">
        <f aca="false">IF(B131="","",IF(B132="",0,Earthlike!H123/1000))</f>
        <v>89.457398596612</v>
      </c>
      <c r="D131" s="71" t="n">
        <f aca="false">IF(C131="","",IF(C131=0,0,-(C131*1.001-C131*0.999)/(Earthlike!G123*LN((C131*1.001)/(C131*0.999)))/IF(Earthlike!G$100&gt;0,Earthlike!G$100,0.8)))</f>
        <v>-0.00981985454995948</v>
      </c>
      <c r="E131" s="71" t="n">
        <f aca="false">D131</f>
        <v>-0.00981985454995948</v>
      </c>
    </row>
    <row r="132" customFormat="false" ht="15" hidden="false" customHeight="false" outlineLevel="0" collapsed="false">
      <c r="A132" s="69" t="str">
        <f aca="false">IF(B132="","Unused","key =")</f>
        <v>key =</v>
      </c>
      <c r="B132" s="69" t="n">
        <f aca="false">IF(Earthlike!Q124="|",ROUND(Earthlike!N124,0),IF(Earthlike!Q124="V",ROUND(Earthlike!N124,-3),""))</f>
        <v>10459</v>
      </c>
      <c r="C132" s="71" t="n">
        <f aca="false">IF(B132="","",IF(B133="",0,Earthlike!H124/1000))</f>
        <v>50.3055920749001</v>
      </c>
      <c r="D132" s="71" t="n">
        <f aca="false">IF(C132="","",IF(C132=0,0,-(C132*1.001-C132*0.999)/(Earthlike!G124*LN((C132*1.001)/(C132*0.999)))/IF(Earthlike!G$100&gt;0,Earthlike!G$100,0.8)))</f>
        <v>-0.00604345414485729</v>
      </c>
      <c r="E132" s="71" t="n">
        <f aca="false">D132</f>
        <v>-0.00604345414485729</v>
      </c>
    </row>
    <row r="133" customFormat="false" ht="15" hidden="false" customHeight="false" outlineLevel="0" collapsed="false">
      <c r="A133" s="69" t="str">
        <f aca="false">IF(B133="","Unused","key =")</f>
        <v>key =</v>
      </c>
      <c r="B133" s="69" t="n">
        <f aca="false">IF(Earthlike!Q125="|",ROUND(Earthlike!N125,0),IF(Earthlike!Q125="V",ROUND(Earthlike!N125,-3),""))</f>
        <v>15053</v>
      </c>
      <c r="C133" s="71" t="n">
        <f aca="false">IF(B133="","",IF(B134="",0,Earthlike!H125/1000))</f>
        <v>28.2889133118844</v>
      </c>
      <c r="D133" s="71" t="n">
        <f aca="false">IF(C133="","",IF(C133=0,0,-(C133*1.001-C133*0.999)/(Earthlike!G125*LN((C133*1.001)/(C133*0.999)))/IF(Earthlike!G$100&gt;0,Earthlike!G$100,0.8)))</f>
        <v>-0.00372342333806011</v>
      </c>
      <c r="E133" s="71" t="n">
        <f aca="false">D133</f>
        <v>-0.00372342333806011</v>
      </c>
    </row>
    <row r="134" customFormat="false" ht="15" hidden="false" customHeight="false" outlineLevel="0" collapsed="false">
      <c r="A134" s="69" t="str">
        <f aca="false">IF(B134="","Unused","key =")</f>
        <v>key =</v>
      </c>
      <c r="B134" s="69" t="n">
        <f aca="false">IF(Earthlike!Q126="|",ROUND(Earthlike!N126,0),IF(Earthlike!Q126="V",ROUND(Earthlike!N126,-3),""))</f>
        <v>19333</v>
      </c>
      <c r="C134" s="71" t="n">
        <f aca="false">IF(B134="","",IF(B135="",0,Earthlike!H126/1000))</f>
        <v>15.908025</v>
      </c>
      <c r="D134" s="71" t="n">
        <f aca="false">IF(C134="","",IF(C134=0,0,-(C134*1.001-C134*0.999)/(Earthlike!G126*LN((C134*1.001)/(C134*0.999)))/IF(Earthlike!G$100&gt;0,Earthlike!G$100,0.8)))</f>
        <v>-0.00220552522631592</v>
      </c>
      <c r="E134" s="71" t="n">
        <f aca="false">D134</f>
        <v>-0.00220552522631592</v>
      </c>
    </row>
    <row r="135" customFormat="false" ht="15" hidden="false" customHeight="false" outlineLevel="0" collapsed="false">
      <c r="A135" s="69" t="str">
        <f aca="false">IF(B135="","Unused","key =")</f>
        <v>key =</v>
      </c>
      <c r="B135" s="69" t="n">
        <f aca="false">IF(Earthlike!Q127="|",ROUND(Earthlike!N127,0),IF(Earthlike!Q127="V",ROUND(Earthlike!N127,-3),""))</f>
        <v>23465</v>
      </c>
      <c r="C135" s="71" t="n">
        <f aca="false">IF(B135="","",IF(B136="",0,Earthlike!H127/1000))</f>
        <v>8.9457398596612</v>
      </c>
      <c r="D135" s="71" t="n">
        <f aca="false">IF(C135="","",IF(C135=0,0,-(C135*1.001-C135*0.999)/(Earthlike!G127*LN((C135*1.001)/(C135*0.999)))/IF(Earthlike!G$100&gt;0,Earthlike!G$100,0.8)))</f>
        <v>-0.00126631207704198</v>
      </c>
      <c r="E135" s="71" t="n">
        <f aca="false">D135</f>
        <v>-0.00126631207704198</v>
      </c>
    </row>
    <row r="136" customFormat="false" ht="15" hidden="false" customHeight="false" outlineLevel="0" collapsed="false">
      <c r="A136" s="69" t="str">
        <f aca="false">IF(B136="","Unused","key =")</f>
        <v>key =</v>
      </c>
      <c r="B136" s="69" t="n">
        <f aca="false">IF(Earthlike!Q128="|",ROUND(Earthlike!N128,0),IF(Earthlike!Q128="V",ROUND(Earthlike!N128,-3),""))</f>
        <v>27580</v>
      </c>
      <c r="C136" s="71" t="n">
        <f aca="false">IF(B136="","",IF(B137="",0,Earthlike!H128/1000))</f>
        <v>5.03055920749001</v>
      </c>
      <c r="D136" s="71" t="n">
        <f aca="false">IF(C136="","",IF(C136=0,0,-(C136*1.001-C136*0.999)/(Earthlike!G128*LN((C136*1.001)/(C136*0.999)))/IF(Earthlike!G$100&gt;0,Earthlike!G$100,0.8)))</f>
        <v>-0.000704410407667072</v>
      </c>
      <c r="E136" s="71" t="n">
        <f aca="false">D136</f>
        <v>-0.000704410407667072</v>
      </c>
    </row>
    <row r="137" customFormat="false" ht="15" hidden="false" customHeight="false" outlineLevel="0" collapsed="false">
      <c r="A137" s="69" t="str">
        <f aca="false">IF(B137="","Unused","key =")</f>
        <v>key =</v>
      </c>
      <c r="B137" s="69" t="n">
        <f aca="false">IF(Earthlike!Q129="|",ROUND(Earthlike!N129,0),IF(Earthlike!Q129="V",ROUND(Earthlike!N129,-3),""))</f>
        <v>31773</v>
      </c>
      <c r="C137" s="71" t="n">
        <f aca="false">IF(B137="","",IF(B138="",0,Earthlike!H129/1000))</f>
        <v>2.82889133118844</v>
      </c>
      <c r="D137" s="71" t="n">
        <f aca="false">IF(C137="","",IF(C137=0,0,-(C137*1.001-C137*0.999)/(Earthlike!G129*LN((C137*1.001)/(C137*0.999)))/IF(Earthlike!G$100&gt;0,Earthlike!G$100,0.8)))</f>
        <v>-0.000386573307264012</v>
      </c>
      <c r="E137" s="71" t="n">
        <f aca="false">D137</f>
        <v>-0.000386573307264012</v>
      </c>
    </row>
    <row r="138" customFormat="false" ht="15" hidden="false" customHeight="false" outlineLevel="0" collapsed="false">
      <c r="A138" s="69" t="str">
        <f aca="false">IF(B138="","Unused","key =")</f>
        <v>key =</v>
      </c>
      <c r="B138" s="69" t="n">
        <f aca="false">IF(Earthlike!Q130="|",ROUND(Earthlike!N130,0),IF(Earthlike!Q130="V",ROUND(Earthlike!N130,-3),""))</f>
        <v>36078</v>
      </c>
      <c r="C138" s="71" t="n">
        <f aca="false">IF(B138="","",IF(B139="",0,Earthlike!H130/1000))</f>
        <v>1.5908025</v>
      </c>
      <c r="D138" s="71" t="n">
        <f aca="false">IF(C138="","",IF(C138=0,0,-(C138*1.001-C138*0.999)/(Earthlike!G130*LN((C138*1.001)/(C138*0.999)))/IF(Earthlike!G$100&gt;0,Earthlike!G$100,0.8)))</f>
        <v>-0.000211708084287522</v>
      </c>
      <c r="E138" s="71" t="n">
        <f aca="false">D138</f>
        <v>-0.000211708084287522</v>
      </c>
    </row>
    <row r="139" customFormat="false" ht="15" hidden="false" customHeight="false" outlineLevel="0" collapsed="false">
      <c r="A139" s="69" t="str">
        <f aca="false">IF(B139="","Unused","key =")</f>
        <v>key =</v>
      </c>
      <c r="B139" s="69" t="n">
        <f aca="false">IF(Earthlike!Q131="|",ROUND(Earthlike!N131,0),IF(Earthlike!Q131="V",ROUND(Earthlike!N131,-3),""))</f>
        <v>40513</v>
      </c>
      <c r="C139" s="71" t="n">
        <f aca="false">IF(B139="","",IF(B140="",0,Earthlike!H131/1000))</f>
        <v>0.894573985966121</v>
      </c>
      <c r="D139" s="71" t="n">
        <f aca="false">IF(C139="","",IF(C139=0,0,-(C139*1.001-C139*0.999)/(Earthlike!G131*LN((C139*1.001)/(C139*0.999)))/IF(Earthlike!G$100&gt;0,Earthlike!G$100,0.8)))</f>
        <v>-0.000115482424767941</v>
      </c>
      <c r="E139" s="71" t="n">
        <f aca="false">D139</f>
        <v>-0.000115482424767941</v>
      </c>
    </row>
    <row r="140" customFormat="false" ht="15" hidden="false" customHeight="false" outlineLevel="0" collapsed="false">
      <c r="A140" s="69" t="str">
        <f aca="false">IF(B140="","Unused","key =")</f>
        <v>key =</v>
      </c>
      <c r="B140" s="69" t="n">
        <f aca="false">IF(Earthlike!Q132="|",ROUND(Earthlike!N132,0),IF(Earthlike!Q132="V",ROUND(Earthlike!N132,-3),""))</f>
        <v>45099</v>
      </c>
      <c r="C140" s="71" t="n">
        <f aca="false">IF(B140="","",IF(B141="",0,Earthlike!H132/1000))</f>
        <v>0.503055920749001</v>
      </c>
      <c r="D140" s="71" t="n">
        <f aca="false">IF(C140="","",IF(C140=0,0,-(C140*1.001-C140*0.999)/(Earthlike!G132*LN((C140*1.001)/(C140*0.999)))/IF(Earthlike!G$100&gt;0,Earthlike!G$100,0.8)))</f>
        <v>-6.27361265399541E-005</v>
      </c>
      <c r="E140" s="71" t="n">
        <f aca="false">D140</f>
        <v>-6.27361265399541E-005</v>
      </c>
    </row>
    <row r="141" customFormat="false" ht="15" hidden="false" customHeight="false" outlineLevel="0" collapsed="false">
      <c r="A141" s="69" t="str">
        <f aca="false">IF(B141="","Unused","key =")</f>
        <v>key =</v>
      </c>
      <c r="B141" s="69" t="n">
        <f aca="false">IF(Earthlike!Q133="|",ROUND(Earthlike!N133,0),IF(Earthlike!Q133="V",ROUND(Earthlike!N133,-3),""))</f>
        <v>49863</v>
      </c>
      <c r="C141" s="71" t="n">
        <f aca="false">IF(B141="","",IF(B142="",0,Earthlike!H133/1000))</f>
        <v>0.282889133118844</v>
      </c>
      <c r="D141" s="71" t="n">
        <f aca="false">IF(C141="","",IF(C141=0,0,-(C141*1.001-C141*0.999)/(Earthlike!G133*LN((C141*1.001)/(C141*0.999)))/IF(Earthlike!G$100&gt;0,Earthlike!G$100,0.8)))</f>
        <v>-3.39345667548635E-005</v>
      </c>
      <c r="E141" s="71" t="n">
        <f aca="false">D141</f>
        <v>-3.39345667548635E-005</v>
      </c>
    </row>
    <row r="142" customFormat="false" ht="15" hidden="false" customHeight="false" outlineLevel="0" collapsed="false">
      <c r="A142" s="69" t="str">
        <f aca="false">IF(B142="","Unused","key =")</f>
        <v>key =</v>
      </c>
      <c r="B142" s="69" t="n">
        <f aca="false">IF(Earthlike!Q134="|",ROUND(Earthlike!N134,0),IF(Earthlike!Q134="V",ROUND(Earthlike!N134,-3),""))</f>
        <v>54826</v>
      </c>
      <c r="C142" s="71" t="n">
        <f aca="false">IF(B142="","",IF(B143="",0,Earthlike!H134/1000))</f>
        <v>0.15908025</v>
      </c>
      <c r="D142" s="71" t="n">
        <f aca="false">IF(C142="","",IF(C142=0,0,-(C142*1.001-C142*0.999)/(Earthlike!G134*LN((C142*1.001)/(C142*0.999)))/IF(Earthlike!G$100&gt;0,Earthlike!G$100,0.8)))</f>
        <v>-1.83167238283877E-005</v>
      </c>
      <c r="E142" s="71" t="n">
        <f aca="false">D142</f>
        <v>-1.83167238283877E-005</v>
      </c>
    </row>
    <row r="143" customFormat="false" ht="15" hidden="false" customHeight="false" outlineLevel="0" collapsed="false">
      <c r="A143" s="69" t="str">
        <f aca="false">IF(B143="","Unused","key =")</f>
        <v>key =</v>
      </c>
      <c r="B143" s="69" t="n">
        <f aca="false">IF(Earthlike!Q135="|",ROUND(Earthlike!N135,0),IF(Earthlike!Q135="V",ROUND(Earthlike!N135,-3),""))</f>
        <v>59946</v>
      </c>
      <c r="C143" s="71" t="n">
        <f aca="false">IF(B143="","",IF(B144="",0,Earthlike!H135/1000))</f>
        <v>0.0894573985966121</v>
      </c>
      <c r="D143" s="71" t="n">
        <f aca="false">IF(C143="","",IF(C143=0,0,-(C143*1.001-C143*0.999)/(Earthlike!G135*LN((C143*1.001)/(C143*0.999)))/IF(Earthlike!G$100&gt;0,Earthlike!G$100,0.8)))</f>
        <v>-1.01117074761894E-005</v>
      </c>
      <c r="E143" s="71" t="n">
        <f aca="false">D143</f>
        <v>-1.01117074761894E-005</v>
      </c>
    </row>
    <row r="144" customFormat="false" ht="15" hidden="false" customHeight="false" outlineLevel="0" collapsed="false">
      <c r="A144" s="69" t="str">
        <f aca="false">IF(B144="","Unused","key =")</f>
        <v>key =</v>
      </c>
      <c r="B144" s="69" t="n">
        <f aca="false">IF(Earthlike!Q136="|",ROUND(Earthlike!N136,0),IF(Earthlike!Q136="V",ROUND(Earthlike!N136,-3),""))</f>
        <v>65058</v>
      </c>
      <c r="C144" s="71" t="n">
        <f aca="false">IF(B144="","",IF(B145="",0,Earthlike!H136/1000))</f>
        <v>0.0503055920749001</v>
      </c>
      <c r="D144" s="71" t="n">
        <f aca="false">IF(C144="","",IF(C144=0,0,-(C144*1.001-C144*0.999)/(Earthlike!G136*LN((C144*1.001)/(C144*0.999)))/IF(Earthlike!G$100&gt;0,Earthlike!G$100,0.8)))</f>
        <v>-5.82460494584543E-006</v>
      </c>
      <c r="E144" s="71" t="n">
        <f aca="false">D144</f>
        <v>-5.82460494584543E-006</v>
      </c>
    </row>
    <row r="145" customFormat="false" ht="15" hidden="false" customHeight="false" outlineLevel="0" collapsed="false">
      <c r="A145" s="69" t="str">
        <f aca="false">IF(B145="","Unused","key =")</f>
        <v>key =</v>
      </c>
      <c r="B145" s="69" t="n">
        <f aca="false">IF(Earthlike!Q137="|",ROUND(Earthlike!N137,0),IF(Earthlike!Q137="V",ROUND(Earthlike!N137,-3),""))</f>
        <v>69988</v>
      </c>
      <c r="C145" s="71" t="n">
        <f aca="false">IF(B145="","",IF(B146="",0,Earthlike!H137/1000))</f>
        <v>0.0282889133118844</v>
      </c>
      <c r="D145" s="71" t="n">
        <f aca="false">IF(C145="","",IF(C145=0,0,-(C145*1.001-C145*0.999)/(Earthlike!G137*LN((C145*1.001)/(C145*0.999)))/IF(Earthlike!G$100&gt;0,Earthlike!G$100,0.8)))</f>
        <v>-3.44643140648494E-006</v>
      </c>
      <c r="E145" s="71" t="n">
        <f aca="false">D145</f>
        <v>-3.44643140648494E-006</v>
      </c>
    </row>
    <row r="146" customFormat="false" ht="15" hidden="false" customHeight="false" outlineLevel="0" collapsed="false">
      <c r="A146" s="69" t="str">
        <f aca="false">IF(B146="","Unused","key =")</f>
        <v>key =</v>
      </c>
      <c r="B146" s="69" t="n">
        <f aca="false">IF(Earthlike!Q138="|",ROUND(Earthlike!N138,0),IF(Earthlike!Q138="V",ROUND(Earthlike!N138,-3),""))</f>
        <v>74687</v>
      </c>
      <c r="C146" s="71" t="n">
        <f aca="false">IF(B146="","",IF(B147="",0,Earthlike!H138/1000))</f>
        <v>0.015908025</v>
      </c>
      <c r="D146" s="71" t="n">
        <f aca="false">IF(C146="","",IF(C146=0,0,-(C146*1.001-C146*0.999)/(Earthlike!G138*LN((C146*1.001)/(C146*0.999)))/IF(Earthlike!G$100&gt;0,Earthlike!G$100,0.8)))</f>
        <v>-2.03198315180739E-006</v>
      </c>
      <c r="E146" s="71" t="n">
        <f aca="false">D146</f>
        <v>-2.03198315180739E-006</v>
      </c>
    </row>
    <row r="147" customFormat="false" ht="15" hidden="false" customHeight="false" outlineLevel="0" collapsed="false">
      <c r="A147" s="69" t="str">
        <f aca="false">IF(B147="","Unused","key =")</f>
        <v>key =</v>
      </c>
      <c r="B147" s="69" t="n">
        <f aca="false">IF(Earthlike!Q139="|",ROUND(Earthlike!N139,0),IF(Earthlike!Q139="V",ROUND(Earthlike!N139,-3),""))</f>
        <v>79179</v>
      </c>
      <c r="C147" s="71" t="n">
        <f aca="false">IF(B147="","",IF(B148="",0,Earthlike!H139/1000))</f>
        <v>0.00894573985966121</v>
      </c>
      <c r="D147" s="71" t="n">
        <f aca="false">IF(C147="","",IF(C147=0,0,-(C147*1.001-C147*0.999)/(Earthlike!G139*LN((C147*1.001)/(C147*0.999)))/IF(Earthlike!G$100&gt;0,Earthlike!G$100,0.8)))</f>
        <v>-1.19564281569662E-006</v>
      </c>
      <c r="E147" s="71" t="n">
        <f aca="false">D147</f>
        <v>-1.19564281569662E-006</v>
      </c>
    </row>
    <row r="148" customFormat="false" ht="15" hidden="false" customHeight="false" outlineLevel="0" collapsed="false">
      <c r="A148" s="69" t="str">
        <f aca="false">IF(B148="","Unused","key =")</f>
        <v>key =</v>
      </c>
      <c r="B148" s="69" t="n">
        <f aca="false">IF(Earthlike!Q140="|",ROUND(Earthlike!N140,0),IF(Earthlike!Q140="V",ROUND(Earthlike!N140,-3),""))</f>
        <v>83486</v>
      </c>
      <c r="C148" s="71" t="n">
        <f aca="false">IF(B148="","",IF(B149="",0,Earthlike!H140/1000))</f>
        <v>0.00503055920749001</v>
      </c>
      <c r="D148" s="71" t="n">
        <f aca="false">IF(C148="","",IF(C148=0,0,-(C148*1.001-C148*0.999)/(Earthlike!G140*LN((C148*1.001)/(C148*0.999)))/IF(Earthlike!G$100&gt;0,Earthlike!G$100,0.8)))</f>
        <v>-7.00703820456094E-007</v>
      </c>
      <c r="E148" s="71" t="n">
        <f aca="false">D148</f>
        <v>-7.00703820456094E-007</v>
      </c>
    </row>
    <row r="149" customFormat="false" ht="15" hidden="false" customHeight="false" outlineLevel="0" collapsed="false">
      <c r="A149" s="69" t="str">
        <f aca="false">IF(B149="","Unused","key =")</f>
        <v>key =</v>
      </c>
      <c r="B149" s="69" t="n">
        <f aca="false">IF(Earthlike!Q141="|",ROUND(Earthlike!N141,0),IF(Earthlike!Q141="V",ROUND(Earthlike!N141,-3),""))</f>
        <v>87635</v>
      </c>
      <c r="C149" s="71" t="n">
        <f aca="false">IF(B149="","",IF(B150="",0,Earthlike!H141/1000))</f>
        <v>0.00282889133118845</v>
      </c>
      <c r="D149" s="71" t="n">
        <f aca="false">IF(C149="","",IF(C149=0,0,-(C149*1.001-C149*0.999)/(Earthlike!G141*LN((C149*1.001)/(C149*0.999)))/IF(Earthlike!G$100&gt;0,Earthlike!G$100,0.8)))</f>
        <v>-4.08124258155229E-007</v>
      </c>
      <c r="E149" s="71" t="n">
        <f aca="false">D149</f>
        <v>-4.08124258155229E-007</v>
      </c>
    </row>
    <row r="150" customFormat="false" ht="15" hidden="false" customHeight="false" outlineLevel="0" collapsed="false">
      <c r="A150" s="69" t="str">
        <f aca="false">IF(B150="","Unused","key =")</f>
        <v>key =</v>
      </c>
      <c r="B150" s="69" t="n">
        <f aca="false">IF(Earthlike!Q142="|",ROUND(Earthlike!N142,0),IF(Earthlike!Q142="V",ROUND(Earthlike!N142,-3),""))</f>
        <v>91652</v>
      </c>
      <c r="C150" s="71" t="n">
        <f aca="false">IF(B150="","",IF(B151="",0,Earthlike!H142/1000))</f>
        <v>0.0015908025</v>
      </c>
      <c r="D150" s="71" t="n">
        <f aca="false">IF(C150="","",IF(C150=0,0,-(C150*1.001-C150*0.999)/(Earthlike!G142*LN((C150*1.001)/(C150*0.999)))/IF(Earthlike!G$100&gt;0,Earthlike!G$100,0.8)))</f>
        <v>-2.36841337875197E-007</v>
      </c>
      <c r="E150" s="71" t="n">
        <f aca="false">D150</f>
        <v>-2.36841337875197E-007</v>
      </c>
    </row>
    <row r="151" customFormat="false" ht="15" hidden="false" customHeight="false" outlineLevel="0" collapsed="false">
      <c r="A151" s="69" t="str">
        <f aca="false">IF(B151="","Unused","key =")</f>
        <v>key =</v>
      </c>
      <c r="B151" s="69" t="n">
        <f aca="false">IF(Earthlike!Q143="|",ROUND(Earthlike!N143,0),IF(Earthlike!Q143="V",ROUND(Earthlike!N143,-3),""))</f>
        <v>95555</v>
      </c>
      <c r="C151" s="71" t="n">
        <f aca="false">IF(B151="","",IF(B152="",0,Earthlike!H143/1000))</f>
        <v>0.000894573985966121</v>
      </c>
      <c r="D151" s="71" t="n">
        <f aca="false">IF(C151="","",IF(C151=0,0,-(C151*1.001-C151*0.999)/(Earthlike!G143*LN((C151*1.001)/(C151*0.999)))/IF(Earthlike!G$100&gt;0,Earthlike!G$100,0.8)))</f>
        <v>-1.37039512038891E-007</v>
      </c>
      <c r="E151" s="71" t="n">
        <f aca="false">D151</f>
        <v>-1.37039512038891E-007</v>
      </c>
    </row>
    <row r="152" customFormat="false" ht="15" hidden="false" customHeight="false" outlineLevel="0" collapsed="false">
      <c r="A152" s="69" t="str">
        <f aca="false">IF(B152="","Unused","key =")</f>
        <v>key =</v>
      </c>
      <c r="B152" s="69" t="n">
        <f aca="false">IF(Earthlike!Q144="|",ROUND(Earthlike!N144,0),IF(Earthlike!Q144="V",ROUND(Earthlike!N144,-3),""))</f>
        <v>99359</v>
      </c>
      <c r="C152" s="71" t="n">
        <f aca="false">IF(B152="","",IF(B153="",0,Earthlike!H144/1000))</f>
        <v>0.000503055920749001</v>
      </c>
      <c r="D152" s="71" t="n">
        <f aca="false">IF(C152="","",IF(C152=0,0,-(C152*1.001-C152*0.999)/(Earthlike!G144*LN((C152*1.001)/(C152*0.999)))/IF(Earthlike!G$100&gt;0,Earthlike!G$100,0.8)))</f>
        <v>-7.89512908470702E-008</v>
      </c>
      <c r="E152" s="71" t="n">
        <f aca="false">D152</f>
        <v>-7.89512908470702E-008</v>
      </c>
    </row>
    <row r="153" customFormat="false" ht="15" hidden="false" customHeight="false" outlineLevel="0" collapsed="false">
      <c r="A153" s="69" t="str">
        <f aca="false">IF(B153="","Unused","key =")</f>
        <v>key =</v>
      </c>
      <c r="B153" s="69" t="n">
        <f aca="false">IF(Earthlike!Q145="|",ROUND(Earthlike!N145,0),IF(Earthlike!Q145="V",ROUND(Earthlike!N145,-3),""))</f>
        <v>103000</v>
      </c>
      <c r="C153" s="71" t="n">
        <f aca="false">IF(B153="","",IF(B154="",0,Earthlike!H145/1000))</f>
        <v>0</v>
      </c>
      <c r="D153" s="71" t="n">
        <f aca="false">IF(C153="","",IF(C153=0,0,-(C153*1.001-C153*0.999)/(Earthlike!G145*LN((C153*1.001)/(C153*0.999)))/IF(Earthlike!G$100&gt;0,Earthlike!G$100,0.8)))</f>
        <v>0</v>
      </c>
      <c r="E153" s="71" t="n">
        <f aca="false">D153</f>
        <v>0</v>
      </c>
    </row>
    <row r="154" customFormat="false" ht="15" hidden="false" customHeight="false" outlineLevel="0" collapsed="false">
      <c r="A154" s="69" t="str">
        <f aca="false">IF(B154="","Unused","key =")</f>
        <v>Unused</v>
      </c>
      <c r="B154" s="69" t="str">
        <f aca="false">IF(Earthlike!Q146="|",ROUND(Earthlike!N146,0),IF(Earthlike!Q146="V",ROUND(Earthlike!N146,-3),""))</f>
        <v/>
      </c>
      <c r="C154" s="71" t="str">
        <f aca="false">IF(B154="","",IF(B155="",0,Earthlike!H146/1000))</f>
        <v/>
      </c>
      <c r="D154" s="71" t="str">
        <f aca="false">IF(C154="","",IF(C154=0,0,-(C154*1.001-C154*0.999)/(Earthlike!G146*LN((C154*1.001)/(C154*0.999)))/IF(Earthlike!G$100&gt;0,Earthlike!G$100,0.8)))</f>
        <v/>
      </c>
      <c r="E154" s="71" t="str">
        <f aca="false">D154</f>
        <v/>
      </c>
    </row>
    <row r="155" customFormat="false" ht="15" hidden="false" customHeight="false" outlineLevel="0" collapsed="false">
      <c r="A155" s="69" t="str">
        <f aca="false">IF(B155="","Unused","key =")</f>
        <v>Unused</v>
      </c>
      <c r="B155" s="69" t="str">
        <f aca="false">IF(Earthlike!Q147="|",ROUND(Earthlike!N147,0),IF(Earthlike!Q147="V",ROUND(Earthlike!N147,-3),""))</f>
        <v/>
      </c>
      <c r="C155" s="71" t="str">
        <f aca="false">IF(B155="","",IF(B156="",0,Earthlike!H147/1000))</f>
        <v/>
      </c>
      <c r="D155" s="71" t="str">
        <f aca="false">IF(C155="","",IF(C155=0,0,-(C155*1.001-C155*0.999)/(Earthlike!G147*LN((C155*1.001)/(C155*0.999)))/IF(Earthlike!G$100&gt;0,Earthlike!G$100,0.8)))</f>
        <v/>
      </c>
      <c r="E155" s="71" t="str">
        <f aca="false">D155</f>
        <v/>
      </c>
    </row>
    <row r="156" customFormat="false" ht="15" hidden="false" customHeight="false" outlineLevel="0" collapsed="false">
      <c r="A156" s="69" t="str">
        <f aca="false">IF(B156="","Unused","key =")</f>
        <v>Unused</v>
      </c>
      <c r="B156" s="69" t="str">
        <f aca="false">IF(Earthlike!Q148="|",ROUND(Earthlike!N148,0),IF(Earthlike!Q148="V",ROUND(Earthlike!N148,-3),""))</f>
        <v/>
      </c>
      <c r="C156" s="71" t="str">
        <f aca="false">IF(B156="","",IF(B157="",0,Earthlike!H148/1000))</f>
        <v/>
      </c>
      <c r="D156" s="71" t="str">
        <f aca="false">IF(C156="","",IF(C156=0,0,-(C156*1.001-C156*0.999)/(Earthlike!G148*LN((C156*1.001)/(C156*0.999)))/IF(Earthlike!G$100&gt;0,Earthlike!G$100,0.8)))</f>
        <v/>
      </c>
      <c r="E156" s="71" t="str">
        <f aca="false">D156</f>
        <v/>
      </c>
    </row>
    <row r="157" customFormat="false" ht="15" hidden="false" customHeight="false" outlineLevel="0" collapsed="false">
      <c r="A157" s="69" t="str">
        <f aca="false">IF(B157="","Unused","key =")</f>
        <v>Unused</v>
      </c>
      <c r="B157" s="69" t="str">
        <f aca="false">IF(Earthlike!Q149="|",ROUND(Earthlike!N149,0),IF(Earthlike!Q149="V",ROUND(Earthlike!N149,-3),""))</f>
        <v/>
      </c>
      <c r="C157" s="71" t="str">
        <f aca="false">IF(B157="","",IF(B158="",0,Earthlike!H149/1000))</f>
        <v/>
      </c>
      <c r="D157" s="71" t="str">
        <f aca="false">IF(C157="","",IF(C157=0,0,-(C157*1.001-C157*0.999)/(Earthlike!G149*LN((C157*1.001)/(C157*0.999)))/IF(Earthlike!G$100&gt;0,Earthlike!G$100,0.8)))</f>
        <v/>
      </c>
      <c r="E157" s="71" t="str">
        <f aca="false">D157</f>
        <v/>
      </c>
    </row>
    <row r="158" customFormat="false" ht="15" hidden="false" customHeight="false" outlineLevel="0" collapsed="false">
      <c r="A158" s="69" t="str">
        <f aca="false">IF(B158="","Unused","key =")</f>
        <v>Unused</v>
      </c>
      <c r="B158" s="69" t="str">
        <f aca="false">IF(Earthlike!Q150="|",ROUND(Earthlike!N150,0),IF(Earthlike!Q150="V",ROUND(Earthlike!N150,-3),""))</f>
        <v/>
      </c>
      <c r="C158" s="71" t="str">
        <f aca="false">IF(B158="","",IF(B159="",0,Earthlike!H150/1000))</f>
        <v/>
      </c>
      <c r="D158" s="71" t="str">
        <f aca="false">IF(C158="","",IF(C158=0,0,-(C158*1.001-C158*0.999)/(Earthlike!G150*LN((C158*1.001)/(C158*0.999)))/IF(Earthlike!G$100&gt;0,Earthlike!G$100,0.8)))</f>
        <v/>
      </c>
      <c r="E158" s="71" t="str">
        <f aca="false">D158</f>
        <v/>
      </c>
    </row>
    <row r="159" customFormat="false" ht="15" hidden="false" customHeight="false" outlineLevel="0" collapsed="false">
      <c r="A159" s="69" t="str">
        <f aca="false">IF(B159="","Unused","key =")</f>
        <v>Unused</v>
      </c>
      <c r="B159" s="69" t="str">
        <f aca="false">IF(Earthlike!Q151="|",ROUND(Earthlike!N151,0),IF(Earthlike!Q151="V",ROUND(Earthlike!N151,-3),""))</f>
        <v/>
      </c>
      <c r="C159" s="71" t="str">
        <f aca="false">IF(B159="","",IF(B160="",0,Earthlike!H151/1000))</f>
        <v/>
      </c>
      <c r="D159" s="71" t="str">
        <f aca="false">IF(C159="","",IF(C159=0,0,-(C159*1.001-C159*0.999)/(Earthlike!G151*LN((C159*1.001)/(C159*0.999)))/IF(Earthlike!G$100&gt;0,Earthlike!G$100,0.8)))</f>
        <v/>
      </c>
      <c r="E159" s="71" t="str">
        <f aca="false">D159</f>
        <v/>
      </c>
    </row>
    <row r="160" customFormat="false" ht="15" hidden="false" customHeight="false" outlineLevel="0" collapsed="false">
      <c r="A160" s="69" t="str">
        <f aca="false">IF(B160="","Unused","key =")</f>
        <v>Unused</v>
      </c>
      <c r="B160" s="69" t="str">
        <f aca="false">IF(Earthlike!Q152="|",ROUND(Earthlike!N152,0),IF(Earthlike!Q152="V",ROUND(Earthlike!N152,-3),""))</f>
        <v/>
      </c>
      <c r="C160" s="71" t="str">
        <f aca="false">IF(B160="","",IF(B161="",0,Earthlike!H152/1000))</f>
        <v/>
      </c>
      <c r="D160" s="71" t="str">
        <f aca="false">IF(C160="","",IF(C160=0,0,-(C160*1.001-C160*0.999)/(Earthlike!G152*LN((C160*1.001)/(C160*0.999)))/IF(Earthlike!G$100&gt;0,Earthlike!G$100,0.8)))</f>
        <v/>
      </c>
      <c r="E160" s="71" t="str">
        <f aca="false">D160</f>
        <v/>
      </c>
    </row>
    <row r="161" customFormat="false" ht="15" hidden="false" customHeight="false" outlineLevel="0" collapsed="false">
      <c r="A161" s="69" t="str">
        <f aca="false">IF(B161="","Unused","key =")</f>
        <v>Unused</v>
      </c>
      <c r="B161" s="69" t="str">
        <f aca="false">IF(Earthlike!Q153="|",ROUND(Earthlike!N153,0),IF(Earthlike!Q153="V",ROUND(Earthlike!N153,-3),""))</f>
        <v/>
      </c>
      <c r="C161" s="71" t="str">
        <f aca="false">IF(B161="","",IF(B162="",0,Earthlike!H153/1000))</f>
        <v/>
      </c>
      <c r="D161" s="71" t="str">
        <f aca="false">IF(C161="","",IF(C161=0,0,-(C161*1.001-C161*0.999)/(Earthlike!G153*LN((C161*1.001)/(C161*0.999)))/IF(Earthlike!G$100&gt;0,Earthlike!G$100,0.8)))</f>
        <v/>
      </c>
      <c r="E161" s="71" t="str">
        <f aca="false">D161</f>
        <v/>
      </c>
    </row>
    <row r="162" customFormat="false" ht="15" hidden="false" customHeight="false" outlineLevel="0" collapsed="false">
      <c r="A162" s="69" t="str">
        <f aca="false">IF(B162="","Unused","key =")</f>
        <v>Unused</v>
      </c>
      <c r="B162" s="69" t="str">
        <f aca="false">IF(Earthlike!Q154="|",ROUND(Earthlike!N154,0),IF(Earthlike!Q154="V",ROUND(Earthlike!N154,-3),""))</f>
        <v/>
      </c>
      <c r="C162" s="71" t="str">
        <f aca="false">IF(B162="","",IF(B163="",0,Earthlike!H154/1000))</f>
        <v/>
      </c>
      <c r="D162" s="71" t="str">
        <f aca="false">IF(C162="","",IF(C162=0,0,-(C162*1.001-C162*0.999)/(Earthlike!G154*LN((C162*1.001)/(C162*0.999)))/IF(Earthlike!G$100&gt;0,Earthlike!G$100,0.8)))</f>
        <v/>
      </c>
      <c r="E162" s="71" t="str">
        <f aca="false">D162</f>
        <v/>
      </c>
    </row>
    <row r="163" customFormat="false" ht="15" hidden="false" customHeight="false" outlineLevel="0" collapsed="false">
      <c r="A163" s="69" t="str">
        <f aca="false">IF(B163="","Unused","key =")</f>
        <v>Unused</v>
      </c>
      <c r="B163" s="69" t="str">
        <f aca="false">IF(Earthlike!Q155="|",ROUND(Earthlike!N155,0),IF(Earthlike!Q155="V",ROUND(Earthlike!N155,-3),""))</f>
        <v/>
      </c>
      <c r="C163" s="71" t="str">
        <f aca="false">IF(B163="","",IF(B164="",0,Earthlike!H155/1000))</f>
        <v/>
      </c>
      <c r="D163" s="71" t="str">
        <f aca="false">IF(C163="","",IF(C163=0,0,-(C163*1.001-C163*0.999)/(Earthlike!G155*LN((C163*1.001)/(C163*0.999)))/IF(Earthlike!G$100&gt;0,Earthlike!G$100,0.8)))</f>
        <v/>
      </c>
      <c r="E163" s="71" t="str">
        <f aca="false">D163</f>
        <v/>
      </c>
    </row>
    <row r="164" customFormat="false" ht="15" hidden="false" customHeight="false" outlineLevel="0" collapsed="false">
      <c r="A164" s="69" t="str">
        <f aca="false">IF(B164="","Unused","key =")</f>
        <v>Unused</v>
      </c>
      <c r="B164" s="69" t="str">
        <f aca="false">IF(Earthlike!Q156="|",ROUND(Earthlike!N156,0),IF(Earthlike!Q156="V",ROUND(Earthlike!N156,-3),""))</f>
        <v/>
      </c>
      <c r="C164" s="71" t="str">
        <f aca="false">IF(B164="","",IF(B165="",0,Earthlike!H156/1000))</f>
        <v/>
      </c>
      <c r="D164" s="71" t="str">
        <f aca="false">IF(C164="","",IF(C164=0,0,-(C164*1.001-C164*0.999)/(Earthlike!G156*LN((C164*1.001)/(C164*0.999)))/IF(Earthlike!G$100&gt;0,Earthlike!G$100,0.8)))</f>
        <v/>
      </c>
      <c r="E164" s="71" t="str">
        <f aca="false">D164</f>
        <v/>
      </c>
    </row>
    <row r="165" customFormat="false" ht="15" hidden="false" customHeight="false" outlineLevel="0" collapsed="false">
      <c r="A165" s="69" t="str">
        <f aca="false">IF(B165="","Unused","key =")</f>
        <v>Unused</v>
      </c>
      <c r="B165" s="69" t="str">
        <f aca="false">IF(Earthlike!Q157="|",ROUND(Earthlike!N157,0),IF(Earthlike!Q157="V",ROUND(Earthlike!N157,-3),""))</f>
        <v/>
      </c>
      <c r="C165" s="71" t="str">
        <f aca="false">IF(B165="","",IF(B166="",0,Earthlike!H157/1000))</f>
        <v/>
      </c>
      <c r="D165" s="71" t="str">
        <f aca="false">IF(C165="","",IF(C165=0,0,-(C165*1.001-C165*0.999)/(Earthlike!G157*LN((C165*1.001)/(C165*0.999)))/IF(Earthlike!G$100&gt;0,Earthlike!G$100,0.8)))</f>
        <v/>
      </c>
      <c r="E165" s="71" t="str">
        <f aca="false">D165</f>
        <v/>
      </c>
    </row>
    <row r="166" customFormat="false" ht="15" hidden="false" customHeight="false" outlineLevel="0" collapsed="false">
      <c r="A166" s="69" t="str">
        <f aca="false">IF(B166="","Unused","key =")</f>
        <v>Unused</v>
      </c>
      <c r="B166" s="69" t="str">
        <f aca="false">IF(Earthlike!Q158="|",ROUND(Earthlike!N158,0),IF(Earthlike!Q158="V",ROUND(Earthlike!N158,-3),""))</f>
        <v/>
      </c>
      <c r="C166" s="71" t="str">
        <f aca="false">IF(B166="","",IF(B167="",0,Earthlike!H158/1000))</f>
        <v/>
      </c>
      <c r="D166" s="71" t="str">
        <f aca="false">IF(C166="","",IF(C166=0,0,-(C166*1.001-C166*0.999)/(Earthlike!G158*LN((C166*1.001)/(C166*0.999)))/IF(Earthlike!G$100&gt;0,Earthlike!G$100,0.8)))</f>
        <v/>
      </c>
      <c r="E166" s="71" t="str">
        <f aca="false">D166</f>
        <v/>
      </c>
    </row>
    <row r="167" customFormat="false" ht="15" hidden="false" customHeight="false" outlineLevel="0" collapsed="false">
      <c r="A167" s="66" t="s">
        <v>212</v>
      </c>
      <c r="B167" s="69"/>
      <c r="C167" s="69"/>
      <c r="D167" s="69"/>
      <c r="E167" s="69"/>
    </row>
    <row r="168" customFormat="false" ht="15" hidden="false" customHeight="false" outlineLevel="0" collapsed="false">
      <c r="A168" s="65" t="s">
        <v>212</v>
      </c>
      <c r="B168" s="69"/>
      <c r="C168" s="69"/>
      <c r="D168" s="69"/>
      <c r="E168" s="69"/>
    </row>
    <row r="170" customFormat="false" ht="15" hidden="false" customHeight="false" outlineLevel="0" collapsed="false">
      <c r="C170" s="72"/>
      <c r="D170" s="73"/>
      <c r="E170" s="73"/>
    </row>
    <row r="172" customFormat="false" ht="15" hidden="false" customHeight="false" outlineLevel="0" collapsed="false">
      <c r="E172" s="73"/>
    </row>
    <row r="173" customFormat="false" ht="15" hidden="false" customHeight="false" outlineLevel="0" collapsed="false">
      <c r="D173" s="73"/>
      <c r="E173" s="73"/>
    </row>
    <row r="174" customFormat="false" ht="15" hidden="false" customHeight="false" outlineLevel="0" collapsed="false">
      <c r="D174" s="73"/>
      <c r="E174" s="73"/>
    </row>
    <row r="175" customFormat="false" ht="15" hidden="false" customHeight="false" outlineLevel="0" collapsed="false">
      <c r="C175" s="72"/>
      <c r="D175" s="73"/>
      <c r="E175" s="73"/>
    </row>
    <row r="182" customFormat="false" ht="15" hidden="false" customHeight="false" outlineLevel="0" collapsed="false">
      <c r="D182" s="73"/>
      <c r="E182" s="73"/>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Q19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H25" activeCellId="0" sqref="H25"/>
    </sheetView>
  </sheetViews>
  <sheetFormatPr defaultColWidth="9.13671875" defaultRowHeight="15.75" zeroHeight="false" outlineLevelRow="0" outlineLevelCol="0"/>
  <cols>
    <col collapsed="false" customWidth="true" hidden="false" outlineLevel="0" max="1" min="1" style="1" width="3.71"/>
    <col collapsed="false" customWidth="true" hidden="false" outlineLevel="0" max="16" min="2" style="1" width="12.71"/>
    <col collapsed="false" customWidth="false" hidden="false" outlineLevel="0" max="1024" min="17" style="1" width="9.13"/>
  </cols>
  <sheetData>
    <row r="2" customFormat="false" ht="31.5" hidden="false" customHeight="false" outlineLevel="0" collapsed="false">
      <c r="B2" s="4" t="s">
        <v>324</v>
      </c>
      <c r="C2" s="4"/>
      <c r="D2" s="4"/>
      <c r="E2" s="4"/>
      <c r="F2" s="4"/>
      <c r="G2" s="4"/>
      <c r="H2" s="4"/>
    </row>
    <row r="3" customFormat="false" ht="15.75" hidden="false" customHeight="false" outlineLevel="0" collapsed="false">
      <c r="N3" s="98"/>
    </row>
    <row r="4" customFormat="false" ht="15.75" hidden="false" customHeight="false" outlineLevel="0" collapsed="false">
      <c r="B4" s="5" t="s">
        <v>20</v>
      </c>
      <c r="C4" s="5"/>
      <c r="D4" s="5"/>
      <c r="E4" s="5"/>
      <c r="F4" s="5"/>
      <c r="G4" s="5"/>
      <c r="H4" s="5"/>
      <c r="N4" s="98"/>
    </row>
    <row r="5" customFormat="false" ht="15.75" hidden="false" customHeight="false" outlineLevel="0" collapsed="false">
      <c r="B5" s="5" t="s">
        <v>293</v>
      </c>
      <c r="C5" s="5"/>
      <c r="D5" s="5"/>
      <c r="E5" s="5"/>
      <c r="F5" s="5"/>
      <c r="G5" s="5"/>
      <c r="H5" s="5"/>
      <c r="N5" s="98"/>
    </row>
    <row r="6" customFormat="false" ht="15.75" hidden="false" customHeight="false" outlineLevel="0" collapsed="false">
      <c r="B6" s="5" t="s">
        <v>294</v>
      </c>
      <c r="C6" s="5"/>
      <c r="D6" s="5"/>
      <c r="E6" s="5"/>
      <c r="F6" s="5"/>
      <c r="G6" s="5"/>
      <c r="H6" s="5"/>
    </row>
    <row r="7" customFormat="false" ht="15.75" hidden="false" customHeight="false" outlineLevel="0" collapsed="false">
      <c r="B7" s="5" t="s">
        <v>295</v>
      </c>
      <c r="C7" s="5"/>
      <c r="D7" s="5"/>
      <c r="E7" s="5"/>
      <c r="F7" s="5"/>
      <c r="G7" s="5"/>
      <c r="H7" s="5"/>
    </row>
    <row r="8" customFormat="false" ht="15.75" hidden="false" customHeight="false" outlineLevel="0" collapsed="false">
      <c r="B8" s="5" t="s">
        <v>296</v>
      </c>
      <c r="C8" s="5"/>
      <c r="D8" s="5"/>
      <c r="E8" s="5"/>
      <c r="F8" s="5"/>
      <c r="G8" s="5"/>
      <c r="H8" s="5"/>
    </row>
    <row r="10" customFormat="false" ht="15.75" hidden="false" customHeight="false" outlineLevel="0" collapsed="false">
      <c r="B10" s="1" t="s">
        <v>29</v>
      </c>
    </row>
    <row r="11" customFormat="false" ht="15" hidden="false" customHeight="false" outlineLevel="0" collapsed="false">
      <c r="B11" s="3" t="s">
        <v>32</v>
      </c>
      <c r="F11" s="13" t="n">
        <v>348871312.337751</v>
      </c>
      <c r="G11" s="13"/>
      <c r="H11" s="12" t="s">
        <v>33</v>
      </c>
    </row>
    <row r="12" customFormat="false" ht="15.75" hidden="false" customHeight="false" outlineLevel="0" collapsed="false">
      <c r="B12" s="1" t="s">
        <v>36</v>
      </c>
      <c r="F12" s="14"/>
      <c r="G12" s="14"/>
    </row>
    <row r="13" customFormat="false" ht="15" hidden="false" customHeight="false" outlineLevel="0" collapsed="false">
      <c r="B13" s="3" t="s">
        <v>39</v>
      </c>
      <c r="F13" s="13" t="n">
        <v>396549</v>
      </c>
      <c r="G13" s="13"/>
      <c r="H13" s="1" t="s">
        <v>33</v>
      </c>
    </row>
    <row r="14" customFormat="false" ht="15" hidden="false" customHeight="true" outlineLevel="0" collapsed="false">
      <c r="B14" s="15" t="s">
        <v>42</v>
      </c>
      <c r="C14" s="16"/>
      <c r="D14" s="17" t="s">
        <v>43</v>
      </c>
      <c r="E14" s="17"/>
      <c r="F14" s="18"/>
      <c r="G14" s="19"/>
      <c r="H14" s="12" t="s">
        <v>44</v>
      </c>
    </row>
    <row r="15" customFormat="false" ht="15" hidden="false" customHeight="false" outlineLevel="0" collapsed="false">
      <c r="B15" s="20" t="s">
        <v>47</v>
      </c>
      <c r="C15" s="12"/>
      <c r="D15" s="17"/>
      <c r="E15" s="17"/>
      <c r="F15" s="21"/>
      <c r="G15" s="22" t="n">
        <v>2.187317E+028</v>
      </c>
      <c r="H15" s="1" t="s">
        <v>48</v>
      </c>
    </row>
    <row r="16" customFormat="false" ht="15.75" hidden="false" customHeight="false" outlineLevel="0" collapsed="false">
      <c r="B16" s="23" t="s">
        <v>50</v>
      </c>
      <c r="C16" s="24"/>
      <c r="D16" s="17"/>
      <c r="E16" s="17"/>
      <c r="F16" s="25"/>
      <c r="G16" s="26"/>
      <c r="H16" s="12" t="s">
        <v>51</v>
      </c>
    </row>
    <row r="17" customFormat="false" ht="15.75" hidden="false" customHeight="false" outlineLevel="0" collapsed="false">
      <c r="B17" s="3" t="s">
        <v>236</v>
      </c>
      <c r="F17" s="14"/>
      <c r="G17" s="30" t="n">
        <v>1360</v>
      </c>
      <c r="H17" s="12" t="s">
        <v>135</v>
      </c>
    </row>
    <row r="18" s="12" customFormat="true" ht="15.75" hidden="false" customHeight="false" outlineLevel="0" collapsed="false">
      <c r="B18" s="1" t="s">
        <v>237</v>
      </c>
      <c r="F18" s="21"/>
      <c r="G18" s="21"/>
      <c r="J18" s="1"/>
      <c r="K18" s="1"/>
      <c r="L18" s="1"/>
      <c r="M18" s="1"/>
      <c r="N18" s="1"/>
      <c r="O18" s="1"/>
      <c r="P18" s="1"/>
      <c r="Q18" s="1"/>
    </row>
    <row r="19" s="12" customFormat="true" ht="15.75" hidden="false" customHeight="false" outlineLevel="0" collapsed="false">
      <c r="B19" s="3" t="s">
        <v>297</v>
      </c>
      <c r="F19" s="21"/>
      <c r="G19" s="84" t="s">
        <v>298</v>
      </c>
      <c r="J19" s="1"/>
      <c r="K19" s="1"/>
      <c r="L19" s="1"/>
      <c r="M19" s="1"/>
      <c r="N19" s="1"/>
      <c r="O19" s="1"/>
      <c r="P19" s="1"/>
      <c r="Q19" s="1"/>
    </row>
    <row r="20" s="12" customFormat="true" ht="15" hidden="false" customHeight="false" outlineLevel="0" collapsed="false">
      <c r="B20" s="3" t="s">
        <v>39</v>
      </c>
      <c r="C20" s="1"/>
      <c r="D20" s="1"/>
      <c r="E20" s="1"/>
      <c r="F20" s="13" t="n">
        <v>1146783</v>
      </c>
      <c r="G20" s="13"/>
      <c r="H20" s="1" t="s">
        <v>33</v>
      </c>
      <c r="J20" s="1"/>
      <c r="K20" s="1"/>
      <c r="L20" s="1"/>
      <c r="M20" s="1"/>
      <c r="N20" s="1"/>
      <c r="O20" s="1"/>
      <c r="P20" s="1"/>
      <c r="Q20" s="1"/>
    </row>
    <row r="21" customFormat="false" ht="15" hidden="false" customHeight="true" outlineLevel="0" collapsed="false">
      <c r="B21" s="15" t="s">
        <v>42</v>
      </c>
      <c r="C21" s="16"/>
      <c r="D21" s="17" t="s">
        <v>43</v>
      </c>
      <c r="E21" s="17"/>
      <c r="F21" s="18"/>
      <c r="G21" s="19"/>
      <c r="H21" s="12" t="s">
        <v>44</v>
      </c>
    </row>
    <row r="22" s="12" customFormat="true" ht="15" hidden="false" customHeight="false" outlineLevel="0" collapsed="false">
      <c r="B22" s="20" t="s">
        <v>47</v>
      </c>
      <c r="D22" s="17"/>
      <c r="E22" s="17"/>
      <c r="F22" s="21"/>
      <c r="G22" s="22" t="n">
        <v>1.13468E+023</v>
      </c>
      <c r="H22" s="1" t="s">
        <v>48</v>
      </c>
      <c r="K22" s="1"/>
      <c r="L22" s="1"/>
      <c r="M22" s="1"/>
      <c r="N22" s="1"/>
      <c r="O22" s="1"/>
      <c r="P22" s="1"/>
      <c r="Q22" s="1"/>
    </row>
    <row r="23" customFormat="false" ht="15.75" hidden="false" customHeight="false" outlineLevel="0" collapsed="false">
      <c r="B23" s="23" t="s">
        <v>50</v>
      </c>
      <c r="C23" s="24"/>
      <c r="D23" s="17"/>
      <c r="E23" s="17"/>
      <c r="F23" s="25"/>
      <c r="G23" s="26"/>
      <c r="H23" s="12" t="s">
        <v>51</v>
      </c>
      <c r="I23" s="12"/>
    </row>
    <row r="24" s="12" customFormat="true" ht="15.75" hidden="false" customHeight="false" outlineLevel="0" collapsed="false">
      <c r="B24" s="3" t="s">
        <v>238</v>
      </c>
      <c r="F24" s="21"/>
      <c r="G24" s="30" t="n">
        <v>0.3</v>
      </c>
      <c r="I24" s="49"/>
      <c r="K24" s="1"/>
      <c r="L24" s="1"/>
      <c r="M24" s="1"/>
      <c r="N24" s="1"/>
      <c r="O24" s="1"/>
      <c r="P24" s="1"/>
      <c r="Q24" s="1"/>
    </row>
    <row r="25" s="12" customFormat="true" ht="15" hidden="false" customHeight="false" outlineLevel="0" collapsed="false">
      <c r="B25" s="3" t="s">
        <v>32</v>
      </c>
      <c r="F25" s="13" t="n">
        <v>400000000</v>
      </c>
      <c r="G25" s="13"/>
      <c r="H25" s="12" t="s">
        <v>33</v>
      </c>
      <c r="N25" s="1"/>
      <c r="O25" s="1"/>
      <c r="P25" s="1"/>
      <c r="Q25" s="1"/>
    </row>
    <row r="26" s="12" customFormat="true" ht="15.75" hidden="false" customHeight="false" outlineLevel="0" collapsed="false">
      <c r="B26" s="3" t="s">
        <v>239</v>
      </c>
      <c r="F26" s="21"/>
      <c r="G26" s="30" t="n">
        <v>0</v>
      </c>
      <c r="L26" s="1"/>
      <c r="M26" s="1"/>
      <c r="N26" s="1"/>
      <c r="O26" s="1"/>
      <c r="P26" s="1"/>
    </row>
    <row r="27" s="12" customFormat="true" ht="15.75" hidden="false" customHeight="false" outlineLevel="0" collapsed="false">
      <c r="B27" s="3" t="s">
        <v>240</v>
      </c>
      <c r="F27" s="21"/>
      <c r="G27" s="30" t="n">
        <v>0</v>
      </c>
      <c r="H27" s="12" t="s">
        <v>241</v>
      </c>
      <c r="L27" s="1"/>
      <c r="M27" s="1"/>
      <c r="N27" s="1"/>
      <c r="O27" s="1"/>
      <c r="P27" s="1"/>
    </row>
    <row r="28" s="12" customFormat="true" ht="15.75" hidden="false" customHeight="false" outlineLevel="0" collapsed="false">
      <c r="B28" s="3" t="s">
        <v>242</v>
      </c>
      <c r="F28" s="21"/>
      <c r="G28" s="30" t="n">
        <v>0</v>
      </c>
      <c r="H28" s="12" t="s">
        <v>241</v>
      </c>
      <c r="L28" s="1"/>
      <c r="M28" s="1"/>
      <c r="N28" s="1"/>
      <c r="O28" s="1"/>
      <c r="P28" s="1"/>
    </row>
    <row r="29" s="12" customFormat="true" ht="15.75" hidden="false" customHeight="false" outlineLevel="0" collapsed="false">
      <c r="B29" s="1" t="s">
        <v>299</v>
      </c>
      <c r="F29" s="21"/>
      <c r="G29" s="21"/>
      <c r="L29" s="1"/>
      <c r="M29" s="1"/>
      <c r="N29" s="1"/>
      <c r="O29" s="1"/>
      <c r="P29" s="1"/>
    </row>
    <row r="30" s="12" customFormat="true" ht="15.75" hidden="false" customHeight="false" outlineLevel="0" collapsed="false">
      <c r="B30" s="3" t="str">
        <f aca="false">IF(G19="Moon","semiMajorAxis","")</f>
        <v/>
      </c>
      <c r="D30" s="85" t="str">
        <f aca="false">IF(G19="Planet","not applicable","")</f>
        <v>not applicable</v>
      </c>
      <c r="F30" s="13"/>
      <c r="G30" s="13"/>
      <c r="H30" s="12" t="str">
        <f aca="false">IF(G19="Moon","m","")</f>
        <v/>
      </c>
      <c r="L30" s="1"/>
      <c r="M30" s="1"/>
      <c r="N30" s="1"/>
      <c r="O30" s="1"/>
      <c r="P30" s="1"/>
    </row>
    <row r="31" s="12" customFormat="true" ht="15.75" hidden="false" customHeight="false" outlineLevel="0" collapsed="false">
      <c r="B31" s="3" t="str">
        <f aca="false">IF(G19="Moon","eccentricity","")</f>
        <v/>
      </c>
      <c r="D31" s="85" t="str">
        <f aca="false">IF(G19="Planet","|","")</f>
        <v>|</v>
      </c>
      <c r="F31" s="21"/>
      <c r="G31" s="30"/>
      <c r="L31" s="1"/>
      <c r="M31" s="1"/>
      <c r="N31" s="1"/>
      <c r="O31" s="1"/>
      <c r="P31" s="1"/>
      <c r="Q31" s="1"/>
    </row>
    <row r="32" s="12" customFormat="true" ht="15.75" hidden="false" customHeight="false" outlineLevel="0" collapsed="false">
      <c r="B32" s="3" t="str">
        <f aca="false">IF(G19="Moon","inclination","")</f>
        <v/>
      </c>
      <c r="D32" s="85" t="str">
        <f aca="false">IF(G19="Planet","|","")</f>
        <v>|</v>
      </c>
      <c r="F32" s="21"/>
      <c r="G32" s="30"/>
      <c r="H32" s="12" t="str">
        <f aca="false">IF(G19="Moon","°","")</f>
        <v/>
      </c>
      <c r="L32" s="1"/>
      <c r="M32" s="1"/>
      <c r="N32" s="1"/>
      <c r="O32" s="1"/>
      <c r="P32" s="1"/>
      <c r="Q32" s="1"/>
    </row>
    <row r="33" s="12" customFormat="true" ht="15.75" hidden="false" customHeight="false" outlineLevel="0" collapsed="false">
      <c r="B33" s="3" t="str">
        <f aca="false">IF(G19="Moon","argumentOfPeriapsis","")</f>
        <v/>
      </c>
      <c r="D33" s="85" t="str">
        <f aca="false">IF(G19="Planet","V","")</f>
        <v>V</v>
      </c>
      <c r="F33" s="21"/>
      <c r="G33" s="30"/>
      <c r="H33" s="12" t="str">
        <f aca="false">IF(G19="Moon","°","")</f>
        <v/>
      </c>
      <c r="L33" s="1"/>
      <c r="M33" s="1"/>
      <c r="N33" s="1"/>
      <c r="O33" s="1"/>
      <c r="P33" s="1"/>
      <c r="Q33" s="1"/>
    </row>
    <row r="34" s="12" customFormat="true" ht="15.75" hidden="false" customHeight="false" outlineLevel="0" collapsed="false">
      <c r="B34" s="28"/>
      <c r="F34" s="21"/>
      <c r="G34" s="21"/>
      <c r="L34" s="1"/>
      <c r="M34" s="1"/>
      <c r="N34" s="1"/>
      <c r="O34" s="1"/>
      <c r="P34" s="1"/>
      <c r="Q34" s="1"/>
    </row>
    <row r="35" customFormat="false" ht="15.75" hidden="false" customHeight="false" outlineLevel="0" collapsed="false">
      <c r="B35" s="5" t="s">
        <v>69</v>
      </c>
      <c r="C35" s="5"/>
      <c r="D35" s="5"/>
      <c r="E35" s="5"/>
      <c r="F35" s="5"/>
      <c r="G35" s="5"/>
      <c r="H35" s="5"/>
    </row>
    <row r="36" customFormat="false" ht="15.75" hidden="false" customHeight="false" outlineLevel="0" collapsed="false">
      <c r="B36" s="5" t="s">
        <v>243</v>
      </c>
      <c r="C36" s="5"/>
      <c r="D36" s="5"/>
      <c r="E36" s="5"/>
      <c r="F36" s="5"/>
      <c r="G36" s="5"/>
      <c r="H36" s="5"/>
    </row>
    <row r="37" customFormat="false" ht="15.75" hidden="false" customHeight="false" outlineLevel="0" collapsed="false">
      <c r="F37" s="14"/>
      <c r="G37" s="14"/>
    </row>
    <row r="38" customFormat="false" ht="15" hidden="false" customHeight="false" outlineLevel="0" collapsed="false">
      <c r="B38" s="3" t="s">
        <v>75</v>
      </c>
      <c r="F38" s="34" t="n">
        <v>11467830</v>
      </c>
      <c r="G38" s="34"/>
      <c r="H38" s="1" t="s">
        <v>33</v>
      </c>
    </row>
    <row r="40" customFormat="false" ht="15.75" hidden="false" customHeight="false" outlineLevel="0" collapsed="false">
      <c r="B40" s="53" t="s">
        <v>325</v>
      </c>
      <c r="C40" s="53"/>
      <c r="D40" s="53"/>
      <c r="E40" s="53"/>
      <c r="F40" s="53"/>
      <c r="G40" s="53"/>
      <c r="H40" s="53"/>
      <c r="I40" s="53"/>
      <c r="J40" s="53"/>
    </row>
    <row r="41" customFormat="false" ht="15.75" hidden="false" customHeight="false" outlineLevel="0" collapsed="false">
      <c r="B41" s="53" t="s">
        <v>326</v>
      </c>
      <c r="C41" s="53"/>
      <c r="D41" s="53"/>
      <c r="E41" s="53"/>
      <c r="F41" s="53"/>
      <c r="G41" s="53"/>
      <c r="H41" s="53"/>
      <c r="I41" s="53"/>
      <c r="J41" s="53"/>
    </row>
    <row r="42" customFormat="false" ht="15.75" hidden="false" customHeight="false" outlineLevel="0" collapsed="false">
      <c r="B42" s="53" t="s">
        <v>327</v>
      </c>
      <c r="C42" s="53"/>
      <c r="D42" s="53"/>
      <c r="E42" s="53"/>
      <c r="F42" s="53"/>
      <c r="G42" s="53"/>
      <c r="H42" s="53"/>
      <c r="I42" s="53"/>
      <c r="J42" s="53"/>
    </row>
    <row r="44" customFormat="false" ht="15.75" hidden="false" customHeight="false" outlineLevel="0" collapsed="false">
      <c r="B44" s="3" t="s">
        <v>328</v>
      </c>
      <c r="G44" s="43" t="n">
        <v>1.57</v>
      </c>
      <c r="H44" s="1" t="s">
        <v>189</v>
      </c>
    </row>
    <row r="45" customFormat="false" ht="15.75" hidden="false" customHeight="false" outlineLevel="0" collapsed="false">
      <c r="B45" s="78" t="s">
        <v>259</v>
      </c>
      <c r="G45" s="89" t="e">
        <f aca="false">G104</f>
        <v>#DIV/0!</v>
      </c>
      <c r="H45" s="1" t="s">
        <v>65</v>
      </c>
    </row>
    <row r="46" customFormat="false" ht="15.75" hidden="false" customHeight="false" outlineLevel="0" collapsed="false">
      <c r="B46" s="78" t="s">
        <v>329</v>
      </c>
      <c r="G46" s="94" t="e">
        <f aca="false">IF(G99&gt;0,IF(F38&gt;0,150*8314.4621*G45/(G99*9.80665*F38),25),25)</f>
        <v>#DIV/0!</v>
      </c>
      <c r="H46" s="1" t="s">
        <v>94</v>
      </c>
    </row>
    <row r="48" customFormat="false" ht="15.75" hidden="false" customHeight="false" outlineLevel="0" collapsed="false">
      <c r="F48" s="9" t="s">
        <v>87</v>
      </c>
      <c r="G48" s="9" t="s">
        <v>88</v>
      </c>
      <c r="H48" s="9" t="s">
        <v>89</v>
      </c>
      <c r="I48" s="85" t="s">
        <v>330</v>
      </c>
      <c r="J48" s="85" t="s">
        <v>331</v>
      </c>
    </row>
    <row r="49" customFormat="false" ht="15.75" hidden="false" customHeight="false" outlineLevel="0" collapsed="false">
      <c r="B49" s="36" t="s">
        <v>91</v>
      </c>
      <c r="C49" s="36"/>
      <c r="D49" s="36"/>
      <c r="E49" s="36" t="s">
        <v>92</v>
      </c>
      <c r="F49" s="38" t="s">
        <v>93</v>
      </c>
      <c r="G49" s="38" t="s">
        <v>94</v>
      </c>
      <c r="H49" s="38" t="s">
        <v>95</v>
      </c>
      <c r="I49" s="38" t="s">
        <v>65</v>
      </c>
      <c r="J49" s="38" t="s">
        <v>65</v>
      </c>
    </row>
    <row r="50" customFormat="false" ht="15.75" hidden="false" customHeight="false" outlineLevel="0" collapsed="false">
      <c r="B50" s="39" t="s">
        <v>244</v>
      </c>
      <c r="C50" s="39"/>
      <c r="D50" s="39"/>
      <c r="E50" s="1" t="s">
        <v>245</v>
      </c>
      <c r="F50" s="40" t="n">
        <v>0</v>
      </c>
      <c r="G50" s="41" t="n">
        <v>2.01588</v>
      </c>
      <c r="H50" s="41" t="e">
        <f aca="false">IF(G$104&lt;100,28.154,IF(G$104&lt;298.15,-0.0000012385*G$104^3+0.000847907*G$104^2-0.174747*G$104+38.3882,IF(G$104&lt;1000,33.066178-11.363417*(G$104/1000)+11.432816*(G$104/1000)^2-2.772874*(G$104/1000)^3-0.158558/(G$104/1000)^2,IF(G$104&lt;2500,18.563083+12.257357*(G$104/1000)-2.859786*(G$104/1000)^2+0.268238*(G$104/1000)^3+1.97799/(G$104/1000)^2,IF(G$104&lt;6000,43.41356-4.293079*(G$104/1000)+1.272428*(G$104/1000)^2-0.096876*(G$104/1000)^3-20.533862/(G$104/1000)^2,41.965)))))</f>
        <v>#DIV/0!</v>
      </c>
      <c r="I50" s="57" t="str">
        <f aca="false">IF(G$44&gt;0,IF(F50&gt;0,IF(G$44*F50*60.795&lt;7.04,"n/a",14.025*(1+G$44*F50*60.795/28600)^0.589*EXP(-0.0000000046*G$44*F50*60.795)),"---"),"---")</f>
        <v>---</v>
      </c>
      <c r="J50" s="57" t="str">
        <f aca="false">IF(G$44&gt;0,IF(F50&gt;0,IF(G$44*F50*60.795&gt;1296.4,"n/a",IF(G$44*F50*60.795&lt;7.04,0.0921*LOG(G$44*F50*60.795)^3+0.5*LOG(G$44*F50*60.795)^2+2.4702*LOG(G$44*F50*60.795)+11.301,0.6528*LOG(G$44*F50*60.795)^3-1.2794*LOG(G$44*F50*60.795)^2+5.0293*LOG(G$44*F50*60.795)+10.052)),"---"),"---")</f>
        <v>---</v>
      </c>
      <c r="K50" s="1" t="str">
        <f aca="false">IF(F50&gt;0,IF(G50&lt;G$46,"Molecular weight too low",IF(J50&gt;G$45,"Boiling point too high","")),"")</f>
        <v/>
      </c>
    </row>
    <row r="51" customFormat="false" ht="15.75" hidden="false" customHeight="false" outlineLevel="0" collapsed="false">
      <c r="B51" s="12" t="s">
        <v>250</v>
      </c>
      <c r="C51" s="12"/>
      <c r="D51" s="12"/>
      <c r="E51" s="1" t="s">
        <v>251</v>
      </c>
      <c r="F51" s="40" t="n">
        <v>0</v>
      </c>
      <c r="G51" s="41" t="n">
        <v>3.02204</v>
      </c>
      <c r="H51" s="41" t="e">
        <f aca="false">IF(G$104&lt;100,29.288,IF(G$104&lt;298.15,0.0000056637*G$104^2-0.00269911*G$104+29.5013,IF(G$104&lt;1000,31.24992-7.58919*(G$104/1000)+9.011375*(G$104/1000)^2-1.914415*(G$104/1000)^3-0.047793/(G$104/1000)^2,IF(G$104&lt;6000,28.22296+4.575371*(G$104/1000)-0.551669*(G$104/1000)^2+0.031038*(G$104/1000)^3-1.732276/(G$104/1000)^2,42.339))))</f>
        <v>#DIV/0!</v>
      </c>
      <c r="I51" s="57" t="str">
        <f aca="false">IF(G$44&gt;0,IF(F51&gt;0,IF(G$44*F51*60.795&lt;12.37,"n/a",16.597*(1+G$44*F51*60.795/38430)^0.589),"---"),"---")</f>
        <v>---</v>
      </c>
      <c r="J51" s="57" t="str">
        <f aca="false">IF(G$44&gt;0,IF(F51&gt;0,IF(G$44*F51*60.795&gt;1483.9,"n/a",IF(G$44*F51*60.795&lt;12.37,0.0766*LOG(G$44*F51*60.795)^3+0.4961*LOG(G$44*F51*60.795)^2+2.6566*LOG(G$44*F51*60.795)+13.005,0.7275*LOG(G$44*F51*60.795)^3-1.7977*LOG(G$44*F51*60.795)^2+6.2531*LOG(G$44*F51*60.795)+10.951)),"---"),"---")</f>
        <v>---</v>
      </c>
      <c r="K51" s="1" t="str">
        <f aca="false">IF(F51&gt;0,IF(G51&lt;G$46,"Molecular weight too low",IF(J51&gt;G$45,"Boiling point too high","")),"")</f>
        <v/>
      </c>
      <c r="M51" s="12"/>
      <c r="N51" s="12"/>
    </row>
    <row r="52" customFormat="false" ht="15.75" hidden="false" customHeight="false" outlineLevel="0" collapsed="false">
      <c r="B52" s="12" t="s">
        <v>100</v>
      </c>
      <c r="C52" s="12"/>
      <c r="D52" s="12"/>
      <c r="E52" s="1" t="s">
        <v>101</v>
      </c>
      <c r="F52" s="40" t="n">
        <v>0.01</v>
      </c>
      <c r="G52" s="41" t="n">
        <v>4.002602</v>
      </c>
      <c r="H52" s="41" t="n">
        <v>20.786</v>
      </c>
      <c r="I52" s="57" t="str">
        <f aca="false">IF(G$44&gt;0,IF(F52&gt;0,IF(G$44*F52*60.795&lt;3013,"n/a",4.107*LOG(G$44*F52*60.795)^2-26.12*LOG(G$44*F52*60.795)+42.93),"---"),"---")</f>
        <v>n/a</v>
      </c>
      <c r="J52" s="57" t="n">
        <f aca="false">IF(G$44&gt;0,IF(F52&gt;0,IF(G$44*F52*60.795&gt;227.5,"n/a",37/(10.56-LN(G$44*F52*60.795))-2),"---"),"---")</f>
        <v>1.48839828850027</v>
      </c>
      <c r="K52" s="99" t="e">
        <f aca="false">IF(F52&gt;0,IF(G52&lt;G$46,"Molecular weight too low",IF(J52&gt;G$45,"Boiling point too high","")),"")</f>
        <v>#DIV/0!</v>
      </c>
      <c r="M52" s="12"/>
      <c r="N52" s="12"/>
    </row>
    <row r="53" customFormat="false" ht="15.75" hidden="false" customHeight="false" outlineLevel="0" collapsed="false">
      <c r="B53" s="12" t="s">
        <v>246</v>
      </c>
      <c r="C53" s="12"/>
      <c r="D53" s="12"/>
      <c r="E53" s="1" t="s">
        <v>247</v>
      </c>
      <c r="F53" s="40" t="n">
        <v>0</v>
      </c>
      <c r="G53" s="41" t="n">
        <v>16.0425</v>
      </c>
      <c r="H53" s="41" t="e">
        <f aca="false">IF(G$104&lt;100,33.258,IF(G$104&lt;298.15,0.000000327888*G$104^3-0.000095605*G$104^2+0.00787935*G$104+33.0982,IF(G$104&lt;1300,-0.703029+108.4773*(G$104/1000)-42.52157*(G$104/1000)^2+5.862788*(G$104/1000)^3+0.678565/(G$104/1000)^2,IF(G$104&lt;6000,85.81217+11.26467*(G$104/1000)-2.114146*(G$104/1000)^2+0.13819*(G$104/1000)^3-26.42221/(G$104/1000)^2,106.306))))</f>
        <v>#DIV/0!</v>
      </c>
      <c r="I53" s="57" t="str">
        <f aca="false">IF(G$44&gt;0,IF(F53&gt;0,IF(G$44*F53*60.795&lt;11.696,"n/a",((G$44*F53*60.795-11.696)/208000+1)^(1/1.698)*90.69),"---"),"---")</f>
        <v>---</v>
      </c>
      <c r="J53" s="57" t="str">
        <f aca="false">IF(G$44&gt;0,IF(F53&gt;0,IF(G$44*F53*60.795&gt;4599,"n/a",IF(G$44*F53*60.795&lt;11.696,0.1714*LOG(G$44*F53*60.795)^3+1.7773*LOG(G$44*F53*60.795)^2+11.466*LOG(G$44*F53*60.795)+76.171,968/(13.58-LN(G$44*F53*60.795))+3.72)),"---"),"---")</f>
        <v>---</v>
      </c>
      <c r="K53" s="1" t="str">
        <f aca="false">IF(F53&gt;0,IF(G53&lt;G$46,"Molecular weight too low",IF(J53&gt;G$45,"Boiling point too high","")),"")</f>
        <v/>
      </c>
      <c r="M53" s="12"/>
      <c r="N53" s="12"/>
    </row>
    <row r="54" customFormat="false" ht="15.75" hidden="false" customHeight="false" outlineLevel="0" collapsed="false">
      <c r="B54" s="12" t="s">
        <v>248</v>
      </c>
      <c r="C54" s="12"/>
      <c r="D54" s="12"/>
      <c r="E54" s="1" t="s">
        <v>249</v>
      </c>
      <c r="F54" s="40" t="n">
        <v>0.005</v>
      </c>
      <c r="G54" s="41" t="n">
        <v>17.0305</v>
      </c>
      <c r="H54" s="41" t="e">
        <f aca="false">IF(G$104&lt;100,33.284,IF(G$104&lt;298.15,0.0000735664*G$104^2-0.0173399*G$104+34.2823,IF(G$104&lt;1400,19.99563+49.77119*(G$104/1000)-15.37599*(G$104/1000)^2+1.921168*(G$104/1000)^3+0.189174/(G$104/1000)^2,IF(G$104&lt;6000,52.02427+18.48801*(G$104/1000)-3.765128*(G$104/1000)^2+0.248541*(G$104/1000)^3-12.45799/(G$104/1000)^2,80.751))))</f>
        <v>#DIV/0!</v>
      </c>
      <c r="I54" s="57" t="str">
        <f aca="false">IF(G$44&gt;0,IF(F54&gt;0,IF(G$44*F54*60.795&lt;6.1111,"n/a",195.49*(1+G$44*F54*60.795/3051000)^1.466*EXP(-0.000000039*G$44*F54*60.795)),"---"),"---")</f>
        <v>n/a</v>
      </c>
      <c r="J54" s="57" t="n">
        <f aca="false">IF(G$44&gt;0,IF(F54&gt;0,IF(G$44*F54*60.795&gt;11333,"n/a",IF(G$44*F54*60.795&lt;6.1111,0.1044*LOG(G$44*F54*60.795)^3+1.891*LOG(G$44*F54*60.795)^2+19.626*LOG(G$44*F54*60.795)+178.8,2363/(15.49-LN(G$44*F54*60.795))+22.62)),"---"),"---")</f>
        <v>172.686610247854</v>
      </c>
      <c r="K54" s="99" t="e">
        <f aca="false">IF(F54&gt;0,IF(G54&lt;G$46,"Molecular weight too low",IF(J54&gt;G$45,"Boiling point too high","")),"")</f>
        <v>#DIV/0!</v>
      </c>
      <c r="M54" s="12"/>
      <c r="N54" s="12"/>
    </row>
    <row r="55" customFormat="false" ht="15.75" hidden="false" customHeight="false" outlineLevel="0" collapsed="false">
      <c r="B55" s="12" t="s">
        <v>309</v>
      </c>
      <c r="C55" s="12"/>
      <c r="D55" s="12"/>
      <c r="E55" s="1" t="s">
        <v>310</v>
      </c>
      <c r="F55" s="40" t="n">
        <v>0</v>
      </c>
      <c r="G55" s="41" t="n">
        <v>18.0153</v>
      </c>
      <c r="H55" s="41" t="e">
        <f aca="false">IF(G$104&lt;100,33.284,IF(G$104&lt;298.15,0.00000986841*G$104^2-0.00246052*G$104+33.4464,IF(G$104&lt;500,-0.0000000923802*G$104^3+0.000125756*G$104^2-0.0471887*G$104+38.9288,IF(G$104&lt;1700,30.092+6.832514*(G$104/1000)+6.793435*(G$104/1000)^2-2.53448*(G$104/1000)^3+0.082139/(G$104/1000)^2,IF(G$104&lt;6000,41.96426+8.622053*(G$104/1000)-1.49978*(G$104/1000)^2+0.098119*(G$104/1000)^3-11.15764/(G$104/1000)^2,60.571)))))</f>
        <v>#DIV/0!</v>
      </c>
      <c r="I55" s="57" t="str">
        <f aca="false">IF(G$44&gt;0,IF(F55&gt;0,IF(G$44*F55*60.795&lt;0.61157,"n/a",(G$44*F55*60.795/-395200+1)^(1/9)*273.16),"---"),"---")</f>
        <v>---</v>
      </c>
      <c r="J55" s="57" t="str">
        <f aca="false">IF(G$44&gt;0,IF(F55&gt;0,IF(G$44*F55*60.795&gt;22064,"n/a",IF(G$44*F55*60.795&lt;0.611657,0.178*LOG(G$44*F55*60.795)^3+2.7678*LOG(G$44*F55*60.795)^2+28.958*LOG(G$44*F55*60.795)+279.22,3985/(16.54-LN(G$44*F55*60.795))+39)),"---"),"---")</f>
        <v>---</v>
      </c>
      <c r="K55" s="99" t="e">
        <f aca="false">IF(G106&lt;1,IF(F55&gt;0,IF(G55&lt;G$46,"Molecular weight too low",IF(J55&gt;G$45,"Boiling point too high","")),""),"Too much water, oversaturated")</f>
        <v>#DIV/0!</v>
      </c>
      <c r="M55" s="12"/>
      <c r="N55" s="12"/>
    </row>
    <row r="56" customFormat="false" ht="15.75" hidden="false" customHeight="false" outlineLevel="0" collapsed="false">
      <c r="B56" s="12" t="s">
        <v>332</v>
      </c>
      <c r="C56" s="12"/>
      <c r="D56" s="12"/>
      <c r="E56" s="1" t="s">
        <v>333</v>
      </c>
      <c r="F56" s="40" t="n">
        <v>0</v>
      </c>
      <c r="G56" s="41" t="n">
        <v>20.1797</v>
      </c>
      <c r="H56" s="41" t="n">
        <v>20.786</v>
      </c>
      <c r="I56" s="57" t="str">
        <f aca="false">IF(G$44&gt;0,IF(F56&gt;0,IF(G$44*F56*60.795&lt;43.3,"n/a",((G$44*F56*60.795/100000+1.2214)/0.012062)^(1/1.4587)+0.851),"---"),"---")</f>
        <v>---</v>
      </c>
      <c r="J56" s="57" t="str">
        <f aca="false">IF(G$44&gt;0,IF(F56&gt;0,IF(G$44*F56*60.795&gt;2678.6,"n/a",IF(G$44*F56*60.795&lt;43.3,-0.0148*LOG(G$44*F56*60.795)^3+0.4114*LOG(G$44*F56*60.795)^2+3.3375*LOG(G$44*F56*60.795)+18.061,265/(13.47-LN(G$44*F56*60.795))-2.83)),"---"),"---")</f>
        <v>---</v>
      </c>
      <c r="K56" s="1" t="str">
        <f aca="false">IF(F56&gt;0,IF(G56&lt;G$46,"Molecular weight too low",IF(J56&gt;G$45,"Boiling point too high","")),"")</f>
        <v/>
      </c>
      <c r="M56" s="12"/>
      <c r="N56" s="12"/>
    </row>
    <row r="57" customFormat="false" ht="15.75" hidden="false" customHeight="false" outlineLevel="0" collapsed="false">
      <c r="B57" s="12" t="s">
        <v>334</v>
      </c>
      <c r="C57" s="12"/>
      <c r="D57" s="12"/>
      <c r="E57" s="1" t="s">
        <v>335</v>
      </c>
      <c r="F57" s="40" t="n">
        <v>0</v>
      </c>
      <c r="G57" s="41" t="n">
        <v>28.0101</v>
      </c>
      <c r="H57" s="41" t="e">
        <f aca="false">IF(G$104&lt;100,29.104,IF(G$104&lt;298.15,0.00000154635*G$104^2-0.000423904*G$104+29.1309,IF(G$104&lt;1300,25.56759+6.09613*(G$104/1000)+4.054656*(G$104/1000)^2-2.671301*(G$104/1000)^3+0.131021/(G$104/1000)^2,IF(G$104&lt;6000,35.1507+1.300095*(G$104/1000)-0.205921*(G$104/1000)^2+0.01355*(G$104/1000)^3-3.28278/(G$104/1000)^2,38.388))))</f>
        <v>#DIV/0!</v>
      </c>
      <c r="I57" s="57" t="str">
        <f aca="false">IF(G$44&gt;0,IF(F57&gt;0,IF(G$44*F57*60.795&lt;15.3,"n/a",-0.00000000000362*G$44*F57*60.795^2+0.0000363*G$44*F57*60.795+68.16),"---"),"---")</f>
        <v>---</v>
      </c>
      <c r="J57" s="57" t="str">
        <f aca="false">IF(G$44&gt;0,IF(F57&gt;0,IF(G$44*F57*60.795&gt;3494,"n/a",IF(G$44*F57*60.795&lt;15.3,0.3892*LOG(G$44*F57*60.795)^3+1.4*LOG(G$44*F57*60.795)^2+7.5108*LOG(G$44*F57*60.795)+56.65,770/(13.87-LN(G$44*F57*60.795))-1.64)),"---"),"---")</f>
        <v>---</v>
      </c>
      <c r="K57" s="1" t="str">
        <f aca="false">IF(F57&gt;0,IF(G57&lt;G$46,"Molecular weight too low",IF(J57&gt;G$45,"Boiling point too high","")),"")</f>
        <v/>
      </c>
      <c r="M57" s="12"/>
      <c r="N57" s="12"/>
    </row>
    <row r="58" customFormat="false" ht="15.75" hidden="false" customHeight="false" outlineLevel="0" collapsed="false">
      <c r="B58" s="12" t="s">
        <v>303</v>
      </c>
      <c r="C58" s="12"/>
      <c r="D58" s="12"/>
      <c r="E58" s="1" t="s">
        <v>304</v>
      </c>
      <c r="F58" s="40" t="n">
        <v>0.959</v>
      </c>
      <c r="G58" s="41" t="n">
        <v>28.0134</v>
      </c>
      <c r="H58" s="41" t="e">
        <f aca="false">IF(G$104&lt;100,29.104,IF(G$104&lt;500,28.98641+1.853978*(G$104/1000)-9.647459*(G$104/1000)^2+16.63537*(G$104/1000)^3+0.000117/(G$104/1000)^2,IF(G$104&lt;2000,19.50583+19.88705*(G$104/1000)-8.598535*(G$104/1000)^2+1.369784*(G$104/1000)^3+0.527601/(G$104/1000)^2,IF(G$104&lt;6000,35.51872+1.128728*(G$104/1000)-0.196103*(G$104/1000)^2+0.014662*(G$104/1000)^3-4.55376/(G$104/1000)^2,38.276))))</f>
        <v>#DIV/0!</v>
      </c>
      <c r="I58" s="57" t="n">
        <f aca="false">IF(G$44&gt;0,IF(F58&gt;0,IF(G$44*F58*60.795&lt;12.52,"n/a",8.7126E-018*G$44*F58*60.795^3-0.000000000061022*G$44*F58*60.795^2+0.00019*G$44*F58*60.795+63.148),"---"),"---")</f>
        <v>63.1653912678358</v>
      </c>
      <c r="J58" s="57" t="n">
        <f aca="false">IF(G$44&gt;0,IF(F58&gt;0,IF(G$44*F58*60.795&gt;3395.8,"n/a",IF(G$44*F58*60.795&lt;12.52,0.1135*LOG(G$44*F58*60.795)^3+1.175*LOG(G$44*F58*60.795)^2+7.7912*LOG(G$44*F58*60.795)+52.998,658/(13.45-LN(G$44*F58*60.795))+2.85)),"---"),"---")</f>
        <v>76.5071476201266</v>
      </c>
      <c r="K58" s="99" t="e">
        <f aca="false">IF(F58&gt;0,IF(G58&lt;G$46,"Molecular weight too low",IF(J58&gt;G$45,"Boiling point too high","")),"")</f>
        <v>#DIV/0!</v>
      </c>
      <c r="M58" s="12"/>
      <c r="N58" s="12"/>
    </row>
    <row r="59" customFormat="false" ht="15.75" hidden="false" customHeight="false" outlineLevel="0" collapsed="false">
      <c r="B59" s="12" t="s">
        <v>336</v>
      </c>
      <c r="C59" s="12"/>
      <c r="D59" s="12"/>
      <c r="E59" s="1" t="s">
        <v>337</v>
      </c>
      <c r="F59" s="40" t="n">
        <v>0</v>
      </c>
      <c r="G59" s="41" t="n">
        <v>30.0061</v>
      </c>
      <c r="H59" s="41" t="e">
        <f aca="false">IF(G$104&lt;100,32.302,IF(G$104&lt;298.15,-0.000000153413*G$104^3+0.000157177*G$104^2-0.0552342*G$104+36.4071,IF(G$104&lt;1200,23.83491+12.58878*(G$104/1000)-1.139011*(G$104/1000)^2-1.497459*(G$104/1000)^3+0.214194/(G$104/1000)^2,IF(G$104&lt;6000,35.99169+0.95717*(G$104/1000)-0.148032*(G$104/1000)^2+0.009974*(G$104/1000)^3-3.004088/(G$104/1000)^2,38.468))))</f>
        <v>#DIV/0!</v>
      </c>
      <c r="I59" s="57" t="str">
        <f aca="false">IF(G$44&gt;0,IF(F59&gt;0,IF(G$44*F59*60.795&lt;21.89,"n/a",109.5),"---"),"---")</f>
        <v>---</v>
      </c>
      <c r="J59" s="57" t="str">
        <f aca="false">IF(G$44&gt;0,IF(F59&gt;0,IF(G$44*F59*60.795&gt;6480,"n/a",IF(G$44*F59*60.795&lt;21.89,0.1206*LOG(G$44*F59*60.795)^3+1.2228*LOG(G$44*F59*60.795)^2+9.8208*LOG(G$44*F59*60.795)+93.864,682.938/(5.8679-LOG(G$44*F59*60.795/100))-268.27+273.15)),"---"),"---")</f>
        <v>---</v>
      </c>
      <c r="K59" s="1" t="str">
        <f aca="false">IF(F59&gt;0,IF(G59&lt;G$46,"Molecular weight too low",IF(J59&gt;G$45,"Boiling point too high","")),"")</f>
        <v/>
      </c>
      <c r="M59" s="12"/>
      <c r="N59" s="12"/>
    </row>
    <row r="60" customFormat="false" ht="15.75" hidden="false" customHeight="false" outlineLevel="0" collapsed="false">
      <c r="B60" s="12" t="s">
        <v>338</v>
      </c>
      <c r="C60" s="12"/>
      <c r="D60" s="12"/>
      <c r="E60" s="1" t="s">
        <v>339</v>
      </c>
      <c r="F60" s="40" t="n">
        <v>0</v>
      </c>
      <c r="G60" s="41" t="n">
        <v>30.069</v>
      </c>
      <c r="H60" s="41" t="e">
        <f aca="false">IF(G$104&lt;100,35.7,IF(G$104&lt;500,-0.000000000000136764*G$104^5-0.000000000269855*G$104^4+0.000000113753*G$104^3+0.000202021*G$104^2+0.00190295*G$104+33.4041,IF(G$104&lt;3000,1.50106E-019*G$104^6-1.31938E-015*G$104^5+0.00000000000189664*G$104^4+0.0000000186953*G$104^3-0.0000984166*G$104^2+0.202821*G$104-1.27606,168.65)))</f>
        <v>#DIV/0!</v>
      </c>
      <c r="I60" s="57" t="str">
        <f aca="false">IF(G$44&gt;0,IF(F60&gt;0,IF(G$44*F60*60.795&lt;0.00113,"n/a",((G$44*F60*60.795-0.00113)/255970+1)^(1/2.179)*90.37),"---"),"---")</f>
        <v>---</v>
      </c>
      <c r="J60" s="57" t="str">
        <f aca="false">IF(G$44&gt;0,IF(F60&gt;0,IF(G$44*F60*60.795&gt;4872.2,"n/a",1582/(13.88-LN(G$44*F60*60.795))+13.76),"---"),"---")</f>
        <v>---</v>
      </c>
      <c r="K60" s="1" t="str">
        <f aca="false">IF(F60&gt;0,IF(G60&lt;G$46,"Molecular weight too low",IF(J60&gt;G$45,"Boiling point too high","")),"")</f>
        <v/>
      </c>
      <c r="M60" s="12"/>
      <c r="N60" s="12"/>
    </row>
    <row r="61" customFormat="false" ht="15.75" hidden="false" customHeight="false" outlineLevel="0" collapsed="false">
      <c r="B61" s="12" t="s">
        <v>305</v>
      </c>
      <c r="C61" s="12"/>
      <c r="D61" s="12"/>
      <c r="E61" s="1" t="s">
        <v>306</v>
      </c>
      <c r="F61" s="40" t="n">
        <v>0</v>
      </c>
      <c r="G61" s="41" t="n">
        <v>31.9988</v>
      </c>
      <c r="H61" s="41" t="e">
        <f aca="false">IF(G$104&lt;100,29.106,IF(G$104&lt;700,31.32234-20.23531*(G$104/1000)+57.86644*(G$104/1000)^2-36.50624*(G$104/1000)^3-0.007374/(G$104/1000)^2,IF(G$104&lt;2000,30.03235+8.772972*(G$104/1000)-3.988133*(G$104/1000)^2+0.788313*(G$104/1000)^3-0.741599/(G$104/1000)^2,IF(G$104&lt;6000,20.91111+10.72071*(G$104/1000)-2.020498*(G$104/1000)^2+0.146449*(G$104/1000)^3+9.245722/(G$104/1000)^2,44.387))))</f>
        <v>#DIV/0!</v>
      </c>
      <c r="I61" s="57" t="str">
        <f aca="false">IF(G$44&gt;0,IF(F61&gt;0,IF(G$44*F61*60.795&lt;0.15,"n/a",10^((LOG(1081.8+G$44*F61*60.795/98.0665)+4.145465)/4.13811)),"---"),"---")</f>
        <v>---</v>
      </c>
      <c r="J61" s="57" t="str">
        <f aca="false">IF(G$44&gt;0,IF(F61&gt;0,IF(G$44*F61*60.795&gt;5043,"n/a",780/(13.68-LN(G$44*F61*60.795))+4.18),"---"),"---")</f>
        <v>---</v>
      </c>
      <c r="K61" s="1" t="str">
        <f aca="false">IF(F61&gt;0,IF(G61&lt;G$46,"Molecular weight too low",IF(J61&gt;G$45,"Boiling point too high","")),"")</f>
        <v/>
      </c>
      <c r="M61" s="12"/>
      <c r="N61" s="12"/>
    </row>
    <row r="62" customFormat="false" ht="15.75" hidden="false" customHeight="false" outlineLevel="0" collapsed="false">
      <c r="B62" s="12" t="s">
        <v>340</v>
      </c>
      <c r="C62" s="12"/>
      <c r="D62" s="12"/>
      <c r="E62" s="1" t="s">
        <v>341</v>
      </c>
      <c r="F62" s="40" t="n">
        <v>0</v>
      </c>
      <c r="G62" s="41" t="n">
        <v>34.081</v>
      </c>
      <c r="H62" s="41" t="e">
        <f aca="false">IF(G$104&lt;100,33.259,IF(G$104&lt;298.15,0.000035645*G$104^2-0.00948349*G$104+33.8509,IF(G$104&lt;1400,26.88412+18.67809*(G$104/1000)+3.434203*(G$104/1000)^2-3.378702*(G$104/1000)^3+0.135882/(G$104/1000)^2,IF(G$104&lt;6000,51.22136+4.147486*(G$104/1000)-0.643566*(G$104/1000)^2+0.041621*(G$104/1000)^3-10.46385/(G$104/1000)^2,61.609))))</f>
        <v>#DIV/0!</v>
      </c>
      <c r="I62" s="57" t="str">
        <f aca="false">IF(G$44&gt;0,IF(F62&gt;0,IF(G$44*F62*60.795&lt;23.2,"n/a",-0.0000000001438*G$44*F62*60.795^2+0.0001882*G$44*F62*60.795+187.7),"---"),"---")</f>
        <v>---</v>
      </c>
      <c r="J62" s="57" t="str">
        <f aca="false">IF(G$44&gt;0,IF(F62&gt;0,IF(G$44*F62*60.795&gt;8970,"n/a",IF(G$44*F62*60.795&lt;108.1,829.439/(4.43681-LOG(G$44*F62*60.795/100))+25.412,958.587/(4.52887-LOG(G$44*F62*60.795/100))+0.539)),"---"),"---")</f>
        <v>---</v>
      </c>
      <c r="K62" s="1" t="str">
        <f aca="false">IF(F62&gt;0,IF(G62&lt;G$46,"Molecular weight too low",IF(J62&gt;G$45,"Boiling point too high","")),"")</f>
        <v/>
      </c>
      <c r="M62" s="12"/>
      <c r="N62" s="12"/>
    </row>
    <row r="63" customFormat="false" ht="15.75" hidden="false" customHeight="false" outlineLevel="0" collapsed="false">
      <c r="B63" s="12" t="s">
        <v>307</v>
      </c>
      <c r="C63" s="12"/>
      <c r="D63" s="12"/>
      <c r="E63" s="1" t="s">
        <v>308</v>
      </c>
      <c r="F63" s="40" t="n">
        <v>0.025</v>
      </c>
      <c r="G63" s="41" t="n">
        <v>39.948</v>
      </c>
      <c r="H63" s="41" t="n">
        <v>20.786</v>
      </c>
      <c r="I63" s="57" t="str">
        <f aca="false">IF(G$44&gt;0,IF(F63&gt;0,IF(G$44*F63*60.795&lt;68.7,"n/a",((G$44*F63*60.795-68.7)/244000+1)^(1/1.476)*83.81),"---"),"---")</f>
        <v>n/a</v>
      </c>
      <c r="J63" s="57" t="n">
        <f aca="false">IF(G$44&gt;0,IF(F63&gt;0,IF(G$44*F63*60.795&gt;4863,"n/a",IF(G$44*F63*60.795&lt;68.7,0.2219*LOG(G$44*F63*60.795)^3+1.496*LOG(G$44*F63*60.795)^2+9.0805*LOG(G$44*F63*60.795)+60.693,833/(13.91-LN(G$44*F63*60.795))-2.36)),"---"),"---")</f>
        <v>64.3481540336178</v>
      </c>
      <c r="K63" s="99" t="e">
        <f aca="false">IF(F63&gt;0,IF(G63&lt;G$46,"Molecular weight too low",IF(J63&gt;G$45,"Boiling point too high","")),"")</f>
        <v>#DIV/0!</v>
      </c>
      <c r="M63" s="12"/>
      <c r="N63" s="12"/>
    </row>
    <row r="64" customFormat="false" ht="15.75" hidden="false" customHeight="false" outlineLevel="0" collapsed="false">
      <c r="B64" s="12" t="s">
        <v>311</v>
      </c>
      <c r="C64" s="12"/>
      <c r="D64" s="12"/>
      <c r="E64" s="1" t="s">
        <v>312</v>
      </c>
      <c r="F64" s="40" t="n">
        <v>0.001</v>
      </c>
      <c r="G64" s="41" t="n">
        <v>44.0095</v>
      </c>
      <c r="H64" s="41" t="e">
        <f aca="false">IF(G$104&lt;100,29.208,IF(G$104&lt;298.15,0.0000862432*G$104^2+0.00563705*G$104+27.7819,IF(G$104&lt;1200,24.99735+55.18696*(G$104/1000)-33.69137*(G$104/1000)^2+7.948387*(G$104/1000)^3-0.136638/(G$104/1000)^2,IF(G$104&lt;6000,58.16639+2.720074*(G$104/1000)-0.492289*(G$104/1000)^2+0.038844*(G$104/1000)^3-6.447293/(G$104/1000)^2,64.957))))</f>
        <v>#DIV/0!</v>
      </c>
      <c r="I64" s="57" t="str">
        <f aca="false">IF(G$44&gt;0,IF(F64&gt;0,IF(G$44*F64*60.795&lt;518.67,"n/a",216.59*(1+(G$44*F64*60.795-518.67)/443000)^(1/2.41)*EXP(0.0000000047*(G$44*F64*60.795-518.67))),"---"),"---")</f>
        <v>n/a</v>
      </c>
      <c r="J64" s="57" t="n">
        <f aca="false">IF(G$44&gt;0,IF(F64&gt;0,IF(G$44*F64*60.795&gt;7377.3,"n/a",IF(G$44*F64*60.795&lt;518.67,0.2309*LOG(G$44*F64*60.795)^3+2.0973*LOG(G$44*F64*60.795)^2+16.637*LOG(G$44*F64*60.795)+151.22,1956/(15.38-LN(G$44*F64*60.795))+2.11)),"---"),"---")</f>
        <v>136.184217354465</v>
      </c>
      <c r="K64" s="99" t="e">
        <f aca="false">IF(F64&gt;0,IF(G64&lt;G$46,"Molecular weight too low",IF(J64&gt;G$45,"Boiling point too high","")),"")</f>
        <v>#DIV/0!</v>
      </c>
      <c r="M64" s="12"/>
      <c r="N64" s="12"/>
    </row>
    <row r="65" customFormat="false" ht="15.75" hidden="false" customHeight="false" outlineLevel="0" collapsed="false">
      <c r="B65" s="12" t="s">
        <v>342</v>
      </c>
      <c r="C65" s="12"/>
      <c r="D65" s="12"/>
      <c r="E65" s="1" t="s">
        <v>343</v>
      </c>
      <c r="F65" s="40" t="n">
        <v>0</v>
      </c>
      <c r="G65" s="41" t="n">
        <v>64.064</v>
      </c>
      <c r="H65" s="41" t="e">
        <f aca="false">IF(G$104&lt;100,33.526,IF(G$104&lt;298.15,0.0000366431*G$104^2+0.0174671*G$104+31.4129,IF(G$104&lt;1200,21.43049+74.35094*(G$104/1000)-57.75217*(G$104/1000)^2+16.35534*(G$104/1000)^3+0.086731/(G$104/1000)^2,IF(G$104&lt;6000,57.48188+1.009328*(G$104/1000)-0.07629*(G$104/1000)^2+0.005174*(G$104/1000)^3-4.045401/(G$104/1000)^2,61.793))))</f>
        <v>#DIV/0!</v>
      </c>
      <c r="I65" s="57" t="str">
        <f aca="false">IF(G$44&gt;0,IF(F65&gt;0,IF(G$44*F65*60.795&lt;1.6744,"n/a",0.0001118*G$44*F65*60.795+197.7),"---"),"---")</f>
        <v>---</v>
      </c>
      <c r="J65" s="57" t="str">
        <f aca="false">IF(G$44&gt;0,IF(F65&gt;0,IF(G$44*F65*60.795&gt;7884,"n/a",IF(G$44*F65*60.795&lt;1.6744,1.9*LOG(G$44*F65*60.795)^2+19.9*LOG(G$44*F65*60.795)+193.15,2385/(14.94-LN(G$44*F65*60.795))+32.21)),"---"),"---")</f>
        <v>---</v>
      </c>
      <c r="K65" s="1" t="str">
        <f aca="false">IF(F65&gt;0,IF(G65&lt;G$46,"Molecular weight too low",IF(J65&gt;G$45,"Boiling point too high","")),"")</f>
        <v/>
      </c>
      <c r="M65" s="12"/>
      <c r="N65" s="12"/>
    </row>
    <row r="66" customFormat="false" ht="15.75" hidden="false" customHeight="false" outlineLevel="0" collapsed="false">
      <c r="B66" s="12" t="s">
        <v>344</v>
      </c>
      <c r="C66" s="12"/>
      <c r="D66" s="12"/>
      <c r="E66" s="1" t="s">
        <v>345</v>
      </c>
      <c r="F66" s="40" t="n">
        <v>0</v>
      </c>
      <c r="G66" s="41" t="n">
        <v>70.906</v>
      </c>
      <c r="H66" s="41" t="e">
        <f aca="false">IF(G$104&lt;100,29.299,IF(G$104&lt;298.15,-0.000000316428*G$104^3+0.000181702*G$104^2-0.00815063*G$104+28.6135,IF(G$104&lt;1000,33.0506+12.2294*(G$104/1000)-12.0651*(G$104/1000)^2+4.38533*(G$104/1000)^3-0.159494/(G$104/1000)^2,IF(G$104&lt;3000,42.6773-5.00957*(G$104/1000)+1.904621*(G$104/1000)^2-0.165641*(G$104/1000)^3-2.09848/(G$104/1000)^2,IF(G$104&lt;6000,-42.5535+41.6857*(G$104/1000)-7.12683*(G$104/1000)^2+0.387839*(G$104/1000)^3+101.144/(G$104/1000)^2,37.571)))))</f>
        <v>#DIV/0!</v>
      </c>
      <c r="I66" s="57" t="str">
        <f aca="false">IF(G$44&gt;0,IF(F66&gt;0,IF(G$44*F66*60.795&lt;1.392,"n/a",-0.0000000000409*G$44*F66*60.795^2+0.0001566*G$44*F66*60.795+171.17),"---"),"---")</f>
        <v>---</v>
      </c>
      <c r="J66" s="57" t="str">
        <f aca="false">IF(G$44&gt;0,IF(F66&gt;0,IF(G$44*F66*60.795&gt;7977,"n/a",IF(G$44*F66*60.795&lt;1.392,0.1355*LOG(G$44*F66*60.795)^3+1.9261*LOG(G$44*F66*60.795)^2+18.348*LOG(G$44*F66*60.795)+169.52,861.34/(4.0628-LOG(G$44*F66*60.795/100))-246.331+273.15)),"---"),"---")</f>
        <v>---</v>
      </c>
      <c r="K66" s="1" t="str">
        <f aca="false">IF(F66&gt;0,IF(G66&lt;G$46,"Molecular weight too low",IF(J66&gt;G$45,"Boiling point too high","")),"")</f>
        <v/>
      </c>
      <c r="M66" s="12"/>
      <c r="N66" s="12"/>
    </row>
    <row r="67" customFormat="false" ht="15.75" hidden="false" customHeight="false" outlineLevel="0" collapsed="false">
      <c r="B67" s="12" t="s">
        <v>346</v>
      </c>
      <c r="C67" s="12"/>
      <c r="D67" s="12"/>
      <c r="E67" s="1" t="s">
        <v>347</v>
      </c>
      <c r="F67" s="40" t="n">
        <v>0</v>
      </c>
      <c r="G67" s="41" t="n">
        <v>83.798</v>
      </c>
      <c r="H67" s="41" t="n">
        <v>20.786</v>
      </c>
      <c r="I67" s="57" t="str">
        <f aca="false">IF(G$44&gt;0,IF(F67&gt;0,IF(G$44*F67*60.795&lt;73.2,"n/a",0.0001512*G$44*F67*60.795+115.76),"---"),"---")</f>
        <v>---</v>
      </c>
      <c r="J67" s="57" t="str">
        <f aca="false">IF(G$44&gt;0,IF(F67&gt;0,IF(G$44*F67*60.795&gt;5525,"n/a",IF(G$44*F67*60.795&lt;73.2,0.2056*LOG(G$44*F67*60.795)^3+1.9871*LOG(G$44*F67*60.795)^2+12.48*LOG(G$44*F67*60.795)+84.15,539.004/(4.2064-LOG(G$44*F67*60.795/100))-8.855)),"---"),"---")</f>
        <v>---</v>
      </c>
      <c r="K67" s="1" t="str">
        <f aca="false">IF(F67&gt;0,IF(G67&lt;G$46,"Molecular weight too low",IF(J67&gt;G$45,"Boiling point too high","")),"")</f>
        <v/>
      </c>
      <c r="M67" s="12"/>
      <c r="N67" s="12"/>
    </row>
    <row r="68" customFormat="false" ht="15.75" hidden="false" customHeight="false" outlineLevel="0" collapsed="false">
      <c r="B68" s="42"/>
      <c r="C68" s="42"/>
      <c r="D68" s="42"/>
      <c r="E68" s="43"/>
      <c r="F68" s="40"/>
      <c r="G68" s="44"/>
      <c r="H68" s="44"/>
      <c r="I68" s="86" t="s">
        <v>313</v>
      </c>
      <c r="J68" s="86"/>
      <c r="M68" s="12"/>
      <c r="N68" s="12"/>
    </row>
    <row r="69" customFormat="false" ht="15.75" hidden="false" customHeight="false" outlineLevel="0" collapsed="false">
      <c r="B69" s="42"/>
      <c r="C69" s="42"/>
      <c r="D69" s="42"/>
      <c r="E69" s="43"/>
      <c r="F69" s="40"/>
      <c r="G69" s="44"/>
      <c r="H69" s="44"/>
      <c r="I69" s="86" t="s">
        <v>313</v>
      </c>
      <c r="J69" s="86"/>
      <c r="M69" s="12"/>
      <c r="N69" s="12"/>
    </row>
    <row r="70" customFormat="false" ht="15.75" hidden="false" customHeight="false" outlineLevel="0" collapsed="false">
      <c r="B70" s="42"/>
      <c r="C70" s="42"/>
      <c r="D70" s="42"/>
      <c r="E70" s="43"/>
      <c r="F70" s="40"/>
      <c r="G70" s="44"/>
      <c r="H70" s="44"/>
      <c r="I70" s="86" t="s">
        <v>313</v>
      </c>
      <c r="J70" s="86"/>
      <c r="M70" s="12"/>
      <c r="N70" s="12"/>
    </row>
    <row r="71" customFormat="false" ht="15.75" hidden="false" customHeight="false" outlineLevel="0" collapsed="false">
      <c r="B71" s="45"/>
      <c r="C71" s="45"/>
      <c r="D71" s="45"/>
      <c r="E71" s="45"/>
      <c r="F71" s="100"/>
      <c r="G71" s="101"/>
      <c r="H71" s="101"/>
      <c r="I71" s="87" t="s">
        <v>313</v>
      </c>
      <c r="J71" s="87"/>
      <c r="M71" s="12"/>
      <c r="N71" s="12"/>
    </row>
    <row r="72" customFormat="false" ht="15.75" hidden="false" customHeight="false" outlineLevel="0" collapsed="false">
      <c r="B72" s="1" t="s">
        <v>112</v>
      </c>
      <c r="F72" s="48" t="n">
        <f aca="false">SUM(F50:F71)</f>
        <v>1</v>
      </c>
      <c r="M72" s="12"/>
      <c r="N72" s="12"/>
    </row>
    <row r="74" customFormat="false" ht="15.75" hidden="false" customHeight="false" outlineLevel="0" collapsed="false">
      <c r="B74" s="3" t="s">
        <v>115</v>
      </c>
    </row>
    <row r="75" customFormat="false" ht="15.75" hidden="false" customHeight="false" outlineLevel="0" collapsed="false">
      <c r="B75" s="3" t="s">
        <v>117</v>
      </c>
    </row>
    <row r="76" customFormat="false" ht="15.75" hidden="false" customHeight="false" outlineLevel="0" collapsed="false">
      <c r="B76" s="3" t="s">
        <v>348</v>
      </c>
    </row>
    <row r="77" customFormat="false" ht="15.75" hidden="false" customHeight="false" outlineLevel="0" collapsed="false">
      <c r="B77" s="3" t="s">
        <v>349</v>
      </c>
    </row>
    <row r="78" customFormat="false" ht="15.75" hidden="false" customHeight="false" outlineLevel="0" collapsed="false">
      <c r="B78" s="3"/>
    </row>
    <row r="79" customFormat="false" ht="15.75" hidden="false" customHeight="false" outlineLevel="0" collapsed="false">
      <c r="B79" s="5" t="s">
        <v>350</v>
      </c>
      <c r="C79" s="5"/>
      <c r="D79" s="5"/>
      <c r="E79" s="5"/>
      <c r="F79" s="5"/>
      <c r="G79" s="5"/>
      <c r="H79" s="5"/>
    </row>
    <row r="80" customFormat="false" ht="15.75" hidden="false" customHeight="false" outlineLevel="0" collapsed="false">
      <c r="B80" s="5" t="s">
        <v>351</v>
      </c>
      <c r="C80" s="5"/>
      <c r="D80" s="5"/>
      <c r="E80" s="5"/>
      <c r="F80" s="5"/>
      <c r="G80" s="5"/>
      <c r="H80" s="5"/>
    </row>
    <row r="81" customFormat="false" ht="15.75" hidden="false" customHeight="false" outlineLevel="0" collapsed="false">
      <c r="B81" s="3"/>
    </row>
    <row r="82" customFormat="false" ht="15.75" hidden="false" customHeight="false" outlineLevel="0" collapsed="false">
      <c r="B82" s="3" t="s">
        <v>352</v>
      </c>
      <c r="G82" s="102" t="n">
        <v>0.1</v>
      </c>
    </row>
    <row r="83" customFormat="false" ht="15.75" hidden="false" customHeight="false" outlineLevel="0" collapsed="false">
      <c r="B83" s="91" t="s">
        <v>353</v>
      </c>
    </row>
    <row r="84" customFormat="false" ht="15.75" hidden="false" customHeight="false" outlineLevel="0" collapsed="false">
      <c r="B84" s="3"/>
    </row>
    <row r="85" customFormat="false" ht="15.75" hidden="false" customHeight="true" outlineLevel="0" collapsed="false">
      <c r="B85" s="5" t="s">
        <v>354</v>
      </c>
      <c r="C85" s="5"/>
      <c r="D85" s="5"/>
      <c r="E85" s="5"/>
      <c r="F85" s="5"/>
      <c r="G85" s="5"/>
      <c r="H85" s="5"/>
    </row>
    <row r="86" customFormat="false" ht="15.75" hidden="false" customHeight="false" outlineLevel="0" collapsed="false">
      <c r="B86" s="3"/>
    </row>
    <row r="87" s="12" customFormat="true" ht="15.75" hidden="false" customHeight="false" outlineLevel="0" collapsed="false">
      <c r="B87" s="3" t="s">
        <v>355</v>
      </c>
      <c r="F87" s="21"/>
      <c r="G87" s="103" t="n">
        <v>0.3</v>
      </c>
      <c r="O87" s="1"/>
      <c r="P87" s="1"/>
      <c r="Q87" s="1"/>
    </row>
    <row r="89" customFormat="false" ht="15.75" hidden="false" customHeight="false" outlineLevel="0" collapsed="false">
      <c r="B89" s="5" t="s">
        <v>120</v>
      </c>
      <c r="C89" s="5"/>
      <c r="D89" s="5"/>
      <c r="E89" s="5"/>
      <c r="F89" s="5"/>
      <c r="G89" s="5"/>
      <c r="H89" s="5"/>
    </row>
    <row r="90" customFormat="false" ht="15.75" hidden="false" customHeight="false" outlineLevel="0" collapsed="false">
      <c r="B90" s="5" t="s">
        <v>252</v>
      </c>
      <c r="C90" s="5"/>
      <c r="D90" s="5"/>
      <c r="E90" s="5"/>
      <c r="F90" s="5"/>
      <c r="G90" s="5"/>
      <c r="H90" s="5"/>
    </row>
    <row r="91" customFormat="false" ht="15.75" hidden="false" customHeight="false" outlineLevel="0" collapsed="false">
      <c r="B91" s="5" t="s">
        <v>253</v>
      </c>
      <c r="C91" s="5"/>
      <c r="D91" s="5"/>
      <c r="E91" s="5"/>
      <c r="F91" s="5"/>
      <c r="G91" s="5"/>
      <c r="H91" s="5"/>
    </row>
    <row r="93" customFormat="false" ht="15.75" hidden="false" customHeight="false" outlineLevel="0" collapsed="false">
      <c r="B93" s="74" t="s">
        <v>254</v>
      </c>
      <c r="C93" s="74"/>
      <c r="D93" s="74"/>
      <c r="E93" s="74"/>
      <c r="F93" s="74"/>
      <c r="G93" s="74"/>
      <c r="H93" s="74"/>
    </row>
    <row r="95" s="12" customFormat="true" ht="15.75" hidden="false" customHeight="false" outlineLevel="0" collapsed="false">
      <c r="B95" s="12" t="s">
        <v>36</v>
      </c>
      <c r="I95" s="1"/>
      <c r="J95" s="1"/>
      <c r="K95" s="1"/>
      <c r="L95" s="1"/>
      <c r="O95" s="1"/>
      <c r="P95" s="1"/>
      <c r="Q95" s="1"/>
    </row>
    <row r="96" s="12" customFormat="true" ht="15.75" hidden="false" customHeight="false" outlineLevel="0" collapsed="false">
      <c r="B96" s="29" t="s">
        <v>42</v>
      </c>
      <c r="G96" s="75" t="n">
        <f aca="false">IF(G14&gt;0,G14,IF(G15&gt;0,G15*0.0000000000667408,IF(G16&gt;0,IF(F13&gt;0,F13^2*G16*9.80665,1E+018),1E+018)))</f>
        <v>1.459832864336E+018</v>
      </c>
      <c r="H96" s="12" t="s">
        <v>44</v>
      </c>
      <c r="I96" s="1"/>
      <c r="J96" s="1"/>
      <c r="K96" s="1"/>
      <c r="L96" s="1"/>
      <c r="O96" s="1"/>
      <c r="P96" s="1"/>
      <c r="Q96" s="1"/>
    </row>
    <row r="97" s="12" customFormat="true" ht="15.75" hidden="false" customHeight="false" outlineLevel="0" collapsed="false">
      <c r="B97" s="12" t="s">
        <v>237</v>
      </c>
      <c r="I97" s="1"/>
      <c r="J97" s="1"/>
      <c r="K97" s="1"/>
      <c r="L97" s="1"/>
      <c r="O97" s="1"/>
      <c r="Q97" s="1"/>
    </row>
    <row r="98" s="12" customFormat="true" ht="15.75" hidden="false" customHeight="false" outlineLevel="0" collapsed="false">
      <c r="B98" s="29" t="s">
        <v>42</v>
      </c>
      <c r="C98" s="1"/>
      <c r="G98" s="75" t="n">
        <f aca="false">IF(G21&gt;0,G21,IF(G22&gt;0,G22*0.0000000000667408,IF(G23&gt;0,IF(F20&gt;0,F20^2*G23*9.80665,1000000000000),1000000000000)))</f>
        <v>7572945094400</v>
      </c>
      <c r="H98" s="12" t="s">
        <v>44</v>
      </c>
      <c r="I98" s="1"/>
      <c r="J98" s="1"/>
      <c r="K98" s="1"/>
      <c r="L98" s="1"/>
      <c r="O98" s="1"/>
      <c r="P98" s="1"/>
      <c r="Q98" s="1"/>
    </row>
    <row r="99" s="12" customFormat="true" ht="15.75" hidden="false" customHeight="false" outlineLevel="0" collapsed="false">
      <c r="B99" s="29" t="s">
        <v>50</v>
      </c>
      <c r="G99" s="12" t="n">
        <f aca="false">MAX(IF(G21&gt;0,IF(F20&gt;0,G21/F20^2/9.80665,1),IF(G22&gt;0,IF(F20&gt;0,G22*0.0000000000667408/F20^2/9.80665,1),IF(G23&gt;0,G23,1))),IF(F38&gt;0,F38*0.00000001,0.01))</f>
        <v>0.587194041424304</v>
      </c>
      <c r="H99" s="12" t="s">
        <v>51</v>
      </c>
      <c r="I99" s="1"/>
      <c r="J99" s="1"/>
      <c r="K99" s="1"/>
      <c r="L99" s="1"/>
      <c r="O99" s="1"/>
      <c r="P99" s="1"/>
      <c r="Q99" s="1"/>
    </row>
    <row r="100" s="12" customFormat="true" ht="15.75" hidden="false" customHeight="false" outlineLevel="0" collapsed="false">
      <c r="B100" s="29" t="str">
        <f aca="false">IF(G19="Planet","Orbital period","Solar orbital period (parent planet)")</f>
        <v>Orbital period</v>
      </c>
      <c r="C100" s="1"/>
      <c r="G100" s="88" t="n">
        <f aca="false">IF(G19="Planet",2*PI()*SQRT(F25^3/G96)/3600,2*PI()*SQRT(F30^3/G96)/3600)</f>
        <v>11.5562196086193</v>
      </c>
      <c r="H100" s="12" t="s">
        <v>256</v>
      </c>
      <c r="I100" s="1"/>
      <c r="J100" s="1"/>
      <c r="K100" s="1"/>
      <c r="L100" s="1"/>
      <c r="O100" s="1"/>
      <c r="P100" s="1"/>
      <c r="Q100" s="1"/>
    </row>
    <row r="101" customFormat="false" ht="15.75" hidden="false" customHeight="false" outlineLevel="0" collapsed="false">
      <c r="B101" s="29" t="s">
        <v>257</v>
      </c>
      <c r="G101" s="77" t="n">
        <f aca="false">IF(F11&gt;0,IF(G17&gt;0,IF(G19="Planet",IF(F25&gt;0,G17*(F11/F25)^2,1000),IF(F30&gt;0,G17*(F11/F30)^2,1000)),1000),1000)</f>
        <v>1034.54513686425</v>
      </c>
      <c r="H101" s="1" t="s">
        <v>135</v>
      </c>
      <c r="M101" s="12"/>
      <c r="N101" s="12"/>
    </row>
    <row r="102" customFormat="false" ht="15.75" hidden="false" customHeight="false" outlineLevel="0" collapsed="false">
      <c r="B102" s="29" t="s">
        <v>258</v>
      </c>
      <c r="G102" s="77" t="n">
        <f aca="false">(G101*(1-G24)/(4*0.000000056704))^0.25</f>
        <v>237.707809004057</v>
      </c>
      <c r="H102" s="1" t="s">
        <v>65</v>
      </c>
      <c r="M102" s="12"/>
      <c r="N102" s="12"/>
    </row>
    <row r="103" customFormat="false" ht="15.75" hidden="false" customHeight="false" outlineLevel="0" collapsed="false">
      <c r="B103" s="29" t="s">
        <v>127</v>
      </c>
      <c r="F103" s="79"/>
      <c r="G103" s="79" t="n">
        <f aca="false">IF(F72&gt;0,(F50*G50+F51*G51+F52*G52+F53*G53+F54*G54+F55*G55+F56*G56+F57*G57+F58*G58+F59*G59+F60*G60+F61*G61+F62*G62+F63*G63+F64*G64+F65*G65+F66*G66+F67*G67+F68*G68+F69*G69+F70*G70+F71*G71)/(SUM(F50:F67)+IF(G68&gt;0,F68,0)+IF(G69&gt;0,F69,0)+IF(G70&gt;0,F70,0)+IF(G71&gt;0,F71,0)),29)</f>
        <v>28.03273862</v>
      </c>
      <c r="H103" s="1" t="s">
        <v>128</v>
      </c>
      <c r="M103" s="12"/>
      <c r="N103" s="12"/>
      <c r="O103" s="12"/>
    </row>
    <row r="104" customFormat="false" ht="15.75" hidden="false" customHeight="false" outlineLevel="0" collapsed="false">
      <c r="B104" s="78" t="s">
        <v>259</v>
      </c>
      <c r="G104" s="89" t="e">
        <f aca="false">(C150*I150+C151*I151+C152*I152+C153*I153+C154*I154+C155*I155+C156*I156+C157*I157+C158*I158+C159*I159+C160*I160+C161*I161+C162*I162)/SUM(I150:I162)</f>
        <v>#DIV/0!</v>
      </c>
      <c r="H104" s="1" t="s">
        <v>65</v>
      </c>
      <c r="M104" s="12"/>
      <c r="N104" s="12"/>
      <c r="O104" s="12"/>
    </row>
    <row r="105" customFormat="false" ht="15.75" hidden="false" customHeight="false" outlineLevel="0" collapsed="false">
      <c r="B105" s="29" t="s">
        <v>130</v>
      </c>
      <c r="G105" s="79" t="e">
        <f aca="false">IF(F72&gt;0,1/(1-8.3144621/((F50*H50+F51*H51+F52*H52+F53*H53+F54*H54+F55*H55+F56*H56+F57*H57+F58*H58+F59*H59+F60*H60+F61*H61+F62*H62+F63*H63+F64*H64+F65*H65+F66*H66+F67*H67+F68*H68+F69*H69+F70*H70+F71*H71)/(SUM(F50:F67)+IF(H68&gt;0,F68,0)+IF(H69&gt;0,F69,0)+IF(H70&gt;0,F70,0)+IF(H71&gt;0,F71,0)))),1.4)</f>
        <v>#DIV/0!</v>
      </c>
      <c r="M105" s="12"/>
      <c r="N105" s="12"/>
      <c r="O105" s="12"/>
    </row>
    <row r="106" customFormat="false" ht="15.75" hidden="false" customHeight="false" outlineLevel="0" collapsed="false">
      <c r="B106" s="29" t="s">
        <v>356</v>
      </c>
      <c r="G106" s="90" t="e">
        <f aca="false">(G44*F55*760)/MAX(IF(G104&lt;381.47,10^(8.07131-1730.63/(233.426+G104-273.15)),10^(8.14019-1810.94/(244.485+G104-273.15))),0.000001)</f>
        <v>#DIV/0!</v>
      </c>
      <c r="M106" s="12"/>
      <c r="N106" s="12"/>
      <c r="O106" s="12"/>
    </row>
    <row r="107" customFormat="false" ht="15.75" hidden="false" customHeight="false" outlineLevel="0" collapsed="false">
      <c r="B107" s="52"/>
      <c r="G107" s="77"/>
      <c r="O107" s="12"/>
    </row>
    <row r="108" customFormat="false" ht="15.75" hidden="false" customHeight="true" outlineLevel="0" collapsed="false">
      <c r="B108" s="80" t="s">
        <v>260</v>
      </c>
      <c r="C108" s="80"/>
      <c r="D108" s="80"/>
      <c r="E108" s="80"/>
      <c r="F108" s="80"/>
      <c r="G108" s="80"/>
      <c r="H108" s="80"/>
      <c r="O108" s="12"/>
    </row>
    <row r="109" customFormat="false" ht="15.75" hidden="false" customHeight="false" outlineLevel="0" collapsed="false">
      <c r="O109" s="12"/>
    </row>
    <row r="110" customFormat="false" ht="15.75" hidden="false" customHeight="false" outlineLevel="0" collapsed="false">
      <c r="B110" s="12" t="s">
        <v>237</v>
      </c>
      <c r="O110" s="12"/>
    </row>
    <row r="111" customFormat="false" ht="15.75" hidden="false" customHeight="false" outlineLevel="0" collapsed="false">
      <c r="B111" s="29" t="s">
        <v>261</v>
      </c>
      <c r="G111" s="31" t="n">
        <f aca="false">ROUND(70*G101^0.25/5,0)*5</f>
        <v>395</v>
      </c>
      <c r="H111" s="1" t="s">
        <v>65</v>
      </c>
      <c r="O111" s="12"/>
    </row>
    <row r="112" customFormat="false" ht="15.75" hidden="false" customHeight="false" outlineLevel="0" collapsed="false">
      <c r="B112" s="29" t="s">
        <v>318</v>
      </c>
      <c r="F112" s="92" t="n">
        <f aca="false">LOG(IF(G44&gt;0,(((F57+F64+IF(I68="Mild greenhouse",F68,0)+IF(I69="Mild greenhouse",F69,0)+IF(I70="Mild greenhouse",F70,0)+IF(I71="Mild greenhouse",F71,0))*10+(F53+F55+F60+IF(I68="Strong greenhouse",F68,0)+IF(I69="Strong greenhouse",F69,0)+IF(I70="Strong greenhouse",F70,0)+IF(I71="Strong greenhouse",F71,0))*40+(1-F53-F55-F57-F60-F64-IF(I68&lt;&gt;"No greenhouse",F68,0)-IF(I69&lt;&gt;"No greenhouse",F69,0)-IF(I70&lt;&gt;"No greenhouse",F70,0)-IF(I71&lt;&gt;"No greenhouse",F71,0)))*G44/G99),1))</f>
        <v>0.431009178736894</v>
      </c>
      <c r="G112" s="31" t="n">
        <f aca="false">(G101*(1-G24)/4/IF(F112&lt;3.00607947,MIN(-0.0276*F112^3+0.08774*F112^2-0.2178*F112+0.6126,0.9),0.001)/0.000000056704)^0.25-G102</f>
        <v>40.5191434279705</v>
      </c>
      <c r="H112" s="1" t="s">
        <v>65</v>
      </c>
    </row>
    <row r="113" customFormat="false" ht="15.75" hidden="false" customHeight="false" outlineLevel="0" collapsed="false">
      <c r="B113" s="29" t="s">
        <v>357</v>
      </c>
      <c r="G113" s="31" t="n">
        <f aca="false">G112*IF(G82=10%,-0.03,IF(G82=25%,-0.07,IF(G82=50%,-0.16,IF(G82=75%,-0.29,IF(G82=90%,-0.44,0)))))</f>
        <v>-1.21557430283911</v>
      </c>
      <c r="H113" s="1" t="s">
        <v>65</v>
      </c>
      <c r="O113" s="12"/>
    </row>
    <row r="114" customFormat="false" ht="15.75" hidden="false" customHeight="false" outlineLevel="0" collapsed="false">
      <c r="A114" s="52"/>
      <c r="B114" s="29" t="s">
        <v>263</v>
      </c>
      <c r="G114" s="93" t="n">
        <f aca="false">IF(G44&gt;0,IF(G102*(-0.096*LOG(G44*101325*G103/(8314.46*(G102+G112)))+0.192)&gt;0,ROUND(G102*(-0.096*LOG(G44*101325*G103/(8314.46*(G102+G112)))+0.192),0),0),0)</f>
        <v>39</v>
      </c>
      <c r="H114" s="1" t="s">
        <v>65</v>
      </c>
    </row>
    <row r="115" customFormat="false" ht="15.75" hidden="false" customHeight="false" outlineLevel="0" collapsed="false">
      <c r="A115" s="52"/>
      <c r="B115" s="29" t="s">
        <v>264</v>
      </c>
      <c r="G115" s="93" t="n">
        <f aca="false">IF(G44&gt;0,IF(G102*(-0.028*LOG(G44*101325*G103/(8314.46*(G102+G112)))+0.056)&gt;0,ROUND(G102*(-0.028*LOG(G44*101325*G103/(8314.46*(G102+G112)))+0.056),0),0),0)</f>
        <v>11</v>
      </c>
      <c r="H115" s="1" t="s">
        <v>65</v>
      </c>
    </row>
    <row r="116" customFormat="false" ht="15.75" hidden="false" customHeight="false" outlineLevel="0" collapsed="false">
      <c r="A116" s="52"/>
      <c r="B116" s="29" t="s">
        <v>265</v>
      </c>
      <c r="G116" s="93" t="n">
        <f aca="false">IF(G44&gt;0,IF(G102*(-0.086*LOG(G44*101325*G103/(8314.46*(G102+G112)))+0.172)&gt;0,ROUND(G102*(-0.086*LOG(G44*101325*G103/(8314.46*(G102+G112)))+0.172),0),0),0)</f>
        <v>35</v>
      </c>
      <c r="H116" s="1" t="s">
        <v>65</v>
      </c>
    </row>
    <row r="117" customFormat="false" ht="15.75" hidden="false" customHeight="false" outlineLevel="0" collapsed="false">
      <c r="A117" s="52"/>
      <c r="B117" s="29" t="s">
        <v>266</v>
      </c>
      <c r="G117" s="94" t="n">
        <f aca="false">IF(G19="Planet",(COS(RADIANS(38.2425-G27))*G101*(1-G24)/(PI()*0.000000056704))^0.25-(COS(RADIANS(38.2425+G27))*G101*(1-G24)/(PI()*0.000000056704))^0.25,(COS(RADIANS(38.2425-G32))*G101*(1-G24)/(PI()*0.000000056704))^0.25-(COS(RADIANS(38.2425+G32))*G101*(1-G24)/(PI()*0.000000056704))^0.25)</f>
        <v>0</v>
      </c>
      <c r="H117" s="1" t="s">
        <v>65</v>
      </c>
    </row>
    <row r="118" customFormat="false" ht="15.75" hidden="false" customHeight="false" outlineLevel="0" collapsed="false">
      <c r="A118" s="52"/>
      <c r="B118" s="29" t="s">
        <v>267</v>
      </c>
      <c r="G118" s="94" t="n">
        <f aca="false">IF(G19="Planet",IF(F25&gt;0,((F11/(F25*(1-G26)))^2*G17*(1-G24)/(4*0.000000056704))^0.25-((F11/(F25*(1+G26)))^2*G17*(1-G24)/(4*0.000000056704))^0.25,0),IF(F30&gt;0,((F11/(F30*(1-G31)))^2*G17*(1-G24)/(4*0.000000056704))^0.25-((F11/(F30*(1+G31)))^2*G17*(1-G24)/(4*0.000000056704))^0.25,0))</f>
        <v>0</v>
      </c>
      <c r="H118" s="1" t="s">
        <v>65</v>
      </c>
      <c r="K118" s="31"/>
    </row>
    <row r="119" customFormat="false" ht="15.75" hidden="false" customHeight="false" outlineLevel="0" collapsed="false">
      <c r="A119" s="52"/>
      <c r="B119" s="29" t="s">
        <v>268</v>
      </c>
      <c r="G119" s="79" t="n">
        <f aca="false">IF(F20&gt;0,IF(G100&gt;0,IF((G100*(F38/F20)^0.5)^(2/3)&lt;400,0.0009*(G100*(F38/F20)^0.5)^(2/3),IF((G100*(F38/F20)^0.5)^(2/3)&lt;1600,-0.0000003333333333*((G100*(F38/F20)^0.5)^(2/3))^2+0.0012*((G100*(F38/F20)^0.5)^(2/3))-0.06666666667,1)),1),1)</f>
        <v>0.00991105075870849</v>
      </c>
      <c r="I119" s="77"/>
      <c r="K119" s="31"/>
    </row>
    <row r="120" customFormat="false" ht="15.75" hidden="false" customHeight="false" outlineLevel="0" collapsed="false">
      <c r="A120" s="52"/>
      <c r="G120" s="50"/>
    </row>
    <row r="121" customFormat="false" ht="15.75" hidden="false" customHeight="false" outlineLevel="0" collapsed="false">
      <c r="A121" s="52"/>
      <c r="B121" s="53" t="s">
        <v>138</v>
      </c>
      <c r="C121" s="53"/>
      <c r="D121" s="53"/>
      <c r="E121" s="53"/>
      <c r="F121" s="53"/>
      <c r="G121" s="53"/>
      <c r="H121" s="53"/>
    </row>
    <row r="122" customFormat="false" ht="15.75" hidden="false" customHeight="false" outlineLevel="0" collapsed="false">
      <c r="A122" s="52"/>
      <c r="B122" s="5" t="s">
        <v>140</v>
      </c>
      <c r="C122" s="5"/>
      <c r="D122" s="5"/>
      <c r="E122" s="5"/>
      <c r="F122" s="5"/>
      <c r="G122" s="5"/>
      <c r="H122" s="5"/>
    </row>
    <row r="123" customFormat="false" ht="15.75" hidden="false" customHeight="false" outlineLevel="0" collapsed="false">
      <c r="A123" s="52"/>
      <c r="G123" s="50"/>
    </row>
    <row r="124" customFormat="false" ht="15.75" hidden="false" customHeight="false" outlineLevel="0" collapsed="false">
      <c r="A124" s="52"/>
      <c r="B124" s="29" t="s">
        <v>142</v>
      </c>
      <c r="G124" s="50" t="n">
        <f aca="false">IF(F20&gt;0,IF(F38&gt;0,F20/F38,0.1),0.1)</f>
        <v>0.1</v>
      </c>
    </row>
    <row r="125" customFormat="false" ht="15.75" hidden="false" customHeight="false" outlineLevel="0" collapsed="false">
      <c r="A125" s="52"/>
      <c r="B125" s="29" t="s">
        <v>144</v>
      </c>
      <c r="G125" s="31" t="e">
        <f aca="false">(F150-F166)/LN(H166/H150)</f>
        <v>#DIV/0!</v>
      </c>
      <c r="H125" s="1" t="s">
        <v>33</v>
      </c>
    </row>
    <row r="126" customFormat="false" ht="15.75" hidden="false" customHeight="false" outlineLevel="0" collapsed="false">
      <c r="A126" s="52"/>
      <c r="B126" s="29" t="s">
        <v>146</v>
      </c>
      <c r="G126" s="50" t="e">
        <f aca="false">(G124-0.09412)/0.90588*(1-IF(G125&gt;3344.087,0.16684*LOG(G125)^2-1.8388*LOG(G125)+5.4082,1))+IF(G125&gt;3344.087,0.16684*LOG(G125)^2-1.8388*LOG(G125)+5.4082,1)</f>
        <v>#DIV/0!</v>
      </c>
    </row>
    <row r="127" customFormat="false" ht="15.75" hidden="false" customHeight="false" outlineLevel="0" collapsed="false">
      <c r="A127" s="52"/>
    </row>
    <row r="128" customFormat="false" ht="15.75" hidden="false" customHeight="false" outlineLevel="0" collapsed="false">
      <c r="A128" s="52"/>
      <c r="B128" s="29" t="s">
        <v>149</v>
      </c>
      <c r="F128" s="54" t="s">
        <v>150</v>
      </c>
      <c r="G128" s="55" t="e">
        <f aca="false">G126</f>
        <v>#DIV/0!</v>
      </c>
    </row>
    <row r="129" customFormat="false" ht="15.75" hidden="false" customHeight="false" outlineLevel="0" collapsed="false">
      <c r="A129" s="52"/>
      <c r="B129" s="29" t="s">
        <v>152</v>
      </c>
      <c r="G129" s="95" t="e">
        <f aca="false">'Other CFG'!B11</f>
        <v>#DIV/0!</v>
      </c>
      <c r="H129" s="1" t="s">
        <v>33</v>
      </c>
    </row>
    <row r="131" customFormat="false" ht="15.75" hidden="false" customHeight="false" outlineLevel="0" collapsed="false">
      <c r="B131" s="5" t="s">
        <v>358</v>
      </c>
      <c r="C131" s="5"/>
      <c r="D131" s="5"/>
      <c r="E131" s="5"/>
      <c r="F131" s="5"/>
      <c r="G131" s="5"/>
      <c r="H131" s="5"/>
      <c r="I131" s="5"/>
      <c r="J131" s="5"/>
      <c r="K131" s="5"/>
      <c r="L131" s="5"/>
      <c r="M131" s="5"/>
      <c r="N131" s="5"/>
      <c r="O131" s="5"/>
      <c r="P131" s="5"/>
      <c r="Q131" s="5"/>
    </row>
    <row r="132" customFormat="false" ht="15.75" hidden="false" customHeight="false" outlineLevel="0" collapsed="false">
      <c r="B132" s="5" t="s">
        <v>359</v>
      </c>
      <c r="C132" s="5"/>
      <c r="D132" s="5"/>
      <c r="E132" s="5"/>
      <c r="F132" s="5"/>
      <c r="G132" s="5"/>
      <c r="H132" s="5"/>
      <c r="I132" s="5"/>
      <c r="J132" s="5"/>
      <c r="K132" s="5"/>
      <c r="L132" s="5"/>
      <c r="M132" s="5"/>
      <c r="N132" s="5"/>
      <c r="O132" s="5"/>
      <c r="P132" s="5"/>
      <c r="Q132" s="5"/>
    </row>
    <row r="133" customFormat="false" ht="15.75" hidden="false" customHeight="false" outlineLevel="0" collapsed="false">
      <c r="B133" s="5" t="s">
        <v>360</v>
      </c>
      <c r="C133" s="5"/>
      <c r="D133" s="5"/>
      <c r="E133" s="5"/>
      <c r="F133" s="5"/>
      <c r="G133" s="5"/>
      <c r="H133" s="5"/>
      <c r="I133" s="5"/>
      <c r="J133" s="5"/>
      <c r="K133" s="5"/>
      <c r="L133" s="5"/>
      <c r="M133" s="5"/>
      <c r="N133" s="5"/>
      <c r="O133" s="5"/>
      <c r="P133" s="5"/>
      <c r="Q133" s="5"/>
    </row>
    <row r="134" customFormat="false" ht="15.75" hidden="false" customHeight="false" outlineLevel="0" collapsed="false">
      <c r="J134" s="31"/>
    </row>
    <row r="135" customFormat="false" ht="15.75" hidden="false" customHeight="false" outlineLevel="0" collapsed="false">
      <c r="B135" s="29" t="s">
        <v>164</v>
      </c>
      <c r="J135" s="31"/>
    </row>
    <row r="136" customFormat="false" ht="15.75" hidden="false" customHeight="false" outlineLevel="0" collapsed="false">
      <c r="B136" s="29" t="s">
        <v>166</v>
      </c>
      <c r="J136" s="31"/>
    </row>
    <row r="137" customFormat="false" ht="15.75" hidden="false" customHeight="false" outlineLevel="0" collapsed="false">
      <c r="B137" s="29" t="s">
        <v>168</v>
      </c>
      <c r="J137" s="31"/>
    </row>
    <row r="138" customFormat="false" ht="15.75" hidden="false" customHeight="false" outlineLevel="0" collapsed="false">
      <c r="B138" s="29" t="s">
        <v>170</v>
      </c>
      <c r="J138" s="31"/>
    </row>
    <row r="139" customFormat="false" ht="15.75" hidden="false" customHeight="false" outlineLevel="0" collapsed="false">
      <c r="B139" s="29" t="s">
        <v>172</v>
      </c>
      <c r="J139" s="31"/>
    </row>
    <row r="140" customFormat="false" ht="15.75" hidden="false" customHeight="false" outlineLevel="0" collapsed="false">
      <c r="B140" s="29" t="s">
        <v>174</v>
      </c>
      <c r="J140" s="31"/>
    </row>
    <row r="141" customFormat="false" ht="15.75" hidden="false" customHeight="false" outlineLevel="0" collapsed="false">
      <c r="B141" s="29" t="s">
        <v>272</v>
      </c>
      <c r="J141" s="31"/>
    </row>
    <row r="142" customFormat="false" ht="15.75" hidden="false" customHeight="false" outlineLevel="0" collapsed="false">
      <c r="B142" s="29" t="s">
        <v>273</v>
      </c>
      <c r="J142" s="31"/>
    </row>
    <row r="143" customFormat="false" ht="15.75" hidden="false" customHeight="false" outlineLevel="0" collapsed="false">
      <c r="B143" s="29" t="s">
        <v>274</v>
      </c>
      <c r="J143" s="31"/>
    </row>
    <row r="144" customFormat="false" ht="15.75" hidden="false" customHeight="false" outlineLevel="0" collapsed="false">
      <c r="B144" s="29" t="s">
        <v>275</v>
      </c>
      <c r="J144" s="31"/>
      <c r="K144" s="81" t="s">
        <v>322</v>
      </c>
      <c r="L144" s="96" t="n">
        <f aca="false">IF(G124&lt;1,46.5182*LOG(G124)^2+1,1)</f>
        <v>47.5182</v>
      </c>
      <c r="M144" s="1" t="s">
        <v>323</v>
      </c>
    </row>
    <row r="145" customFormat="false" ht="15.75" hidden="false" customHeight="false" outlineLevel="0" collapsed="false">
      <c r="C145" s="9"/>
    </row>
    <row r="146" customFormat="false" ht="15.75" hidden="false" customHeight="false" outlineLevel="0" collapsed="false">
      <c r="B146" s="9"/>
      <c r="C146" s="9" t="s">
        <v>177</v>
      </c>
      <c r="F146" s="9"/>
      <c r="N146" s="9" t="s">
        <v>178</v>
      </c>
      <c r="O146" s="9" t="s">
        <v>278</v>
      </c>
      <c r="P146" s="9" t="s">
        <v>279</v>
      </c>
      <c r="Q146" s="9" t="s">
        <v>280</v>
      </c>
    </row>
    <row r="147" customFormat="false" ht="15.75" hidden="false" customHeight="false" outlineLevel="0" collapsed="false">
      <c r="B147" s="9" t="s">
        <v>180</v>
      </c>
      <c r="C147" s="9" t="s">
        <v>181</v>
      </c>
      <c r="D147" s="9" t="s">
        <v>182</v>
      </c>
      <c r="E147" s="9" t="s">
        <v>183</v>
      </c>
      <c r="F147" s="9" t="s">
        <v>184</v>
      </c>
      <c r="G147" s="9" t="s">
        <v>98</v>
      </c>
      <c r="H147" s="9" t="s">
        <v>185</v>
      </c>
      <c r="I147" s="9" t="s">
        <v>186</v>
      </c>
      <c r="J147" s="9" t="s">
        <v>281</v>
      </c>
      <c r="K147" s="9" t="s">
        <v>282</v>
      </c>
      <c r="L147" s="9" t="s">
        <v>283</v>
      </c>
      <c r="M147" s="9" t="s">
        <v>284</v>
      </c>
      <c r="N147" s="9" t="s">
        <v>187</v>
      </c>
      <c r="O147" s="9" t="s">
        <v>181</v>
      </c>
      <c r="P147" s="9" t="s">
        <v>285</v>
      </c>
      <c r="Q147" s="9" t="s">
        <v>286</v>
      </c>
    </row>
    <row r="148" customFormat="false" ht="15.75" hidden="false" customHeight="false" outlineLevel="0" collapsed="false">
      <c r="B148" s="9" t="s">
        <v>189</v>
      </c>
      <c r="C148" s="9" t="s">
        <v>65</v>
      </c>
      <c r="D148" s="9" t="s">
        <v>190</v>
      </c>
      <c r="E148" s="9" t="s">
        <v>191</v>
      </c>
      <c r="F148" s="9" t="s">
        <v>33</v>
      </c>
      <c r="G148" s="9" t="s">
        <v>33</v>
      </c>
      <c r="H148" s="9" t="s">
        <v>192</v>
      </c>
      <c r="I148" s="9" t="s">
        <v>193</v>
      </c>
      <c r="J148" s="9" t="s">
        <v>287</v>
      </c>
      <c r="K148" s="9" t="s">
        <v>287</v>
      </c>
      <c r="L148" s="9" t="s">
        <v>192</v>
      </c>
      <c r="M148" s="9" t="s">
        <v>135</v>
      </c>
      <c r="N148" s="9" t="s">
        <v>33</v>
      </c>
      <c r="O148" s="9" t="s">
        <v>65</v>
      </c>
      <c r="P148" s="9" t="s">
        <v>288</v>
      </c>
      <c r="Q148" s="9" t="s">
        <v>288</v>
      </c>
    </row>
    <row r="149" customFormat="false" ht="15.75" hidden="false" customHeight="false" outlineLevel="0" collapsed="false">
      <c r="B149" s="9"/>
      <c r="D149" s="9"/>
      <c r="E149" s="57"/>
      <c r="O149" s="9"/>
    </row>
    <row r="150" s="1" customFormat="true" ht="15.75" hidden="false" customHeight="false" outlineLevel="0" collapsed="false">
      <c r="B150" s="58" t="n">
        <f aca="false">LOG(IF(G44&gt;=0.001,G44,0.001))</f>
        <v>0.195899652409234</v>
      </c>
      <c r="C150" s="59" t="e">
        <f aca="false">IF(B150&lt;-10,(0.00109375*B150^3+0.036875*B150^2+0.309375*B150+0.635)*(G$111-IF(G$102&lt;40,0.95,IF(G$102&lt;160,-0.0025*G$102+1.05,0.65))*G$102)+IF(G$102&lt;40,0.95,IF(G$102&lt;160,-0.0025*G$102+1.05,0.65))*G$102,IF(B150&lt;-7.5,(0.00128*B150^3+0.0536*B150^2+0.588*B150+1.935)*(G$111-IF(G$102&lt;40,0.95,IF(G$102&lt;160,-0.0025*G$102+1.05,0.65))*G$102)+IF(G$102&lt;40,0.95,IF(G$102&lt;160,-0.0025*G$102+1.05,0.65))*G$102,0))+IF(B150&lt;-7.5,0,IF(B150&lt;-4,(-0.00583090379*B150^3-0.02915451895*B150^2+0.5466472303*B150+3.279883382)*((IF(G$102&lt;40,0.95,IF(G$102&lt;160,-0.0025*G$102+1.05,0.65))*0.7+0.3)-IF(G$102&lt;40,0.95,IF(G$102&lt;160,-0.0025*G$102+1.05,0.65)))+IF(G$102&lt;40,0.95,IF(G$102&lt;160,-0.0025*G$102+1.05,0.65)),0))*G$102+IF(B150&lt;-4,0,(0.00125*((4/(B$150+4))*(B150-B$150))^3+0.0225*((4/(B$150+4))*(B150-B$150))^2+0.32*((4/(B$150+4))*(B150-B$150))+1)*(1-(IF(G$102&lt;40,0.95,IF(G$102&lt;160,-0.0025*G$102+1.05,0.65))*0.7+0.3))+(IF(G$102&lt;40,0.95,IF(G$102&lt;160,-0.0025*G$102+1.05,0.65))*0.7+0.3))*G$102+IF(B150&gt;-4,0.0625*((4/(B$150+4))*(B150-B$150))^2+0.5*((4/(B$150+4))*(B150-B$150))+1,0)*(G$112+G$113-D$151*(-2000*G$87+2000))+IF(G$44&gt;0,IF(B150&lt;-8,0,IF(B150&lt;-4.5,-0.04664723032*B150^3-0.8746355685*B150^2-5.037900875*B150-8.209912536,IF(B150&lt;IF(LOG(G$44)&lt;0,2/3*LOG(G$44)-1,-1),-2*(1/(-4.5-IF(LOG(G$44)&lt;0,2/3*LOG(G$44)-1,-1))*(B150-IF(LOG(G$44)&lt;0,2/3*LOG(G$44)-1,-1)))^3+3*(1/(-4.5-IF(LOG(G$44)&lt;0,2/3*LOG(G$44)-1,-1))*(B150-IF(LOG(G$44)&lt;0,2/3*LOG(G$44)-1,-1)))^2,0))),0)*IF(G$102&gt;81,9*G$102^0.5,G$102)*IF(G$82="None",0,G$82)+IF(B150&lt;-5,0,IF(B150&lt;-3,-0.25*B150^3-3*B150^2-11.25*B150-12.5,IF(B150&lt;-1,0.25*B150^3+1.5*B150^2+2.25*B150+1,0)))*IF((G$44/G$99*F$61)&lt;1,0.3645833333*(G$44/G$99*F$61)^3-1.0625*(G$44/G$99*F$61)^2+1.03125*(G$44/G$99*F$61),1/3)*G$102*IF(G$82="None",1,1-G$82)</f>
        <v>#DIV/0!</v>
      </c>
      <c r="D150" s="9"/>
      <c r="E150" s="57" t="n">
        <v>0</v>
      </c>
      <c r="F150" s="57" t="n">
        <v>0</v>
      </c>
      <c r="G150" s="57" t="e">
        <f aca="false">8314.4621*C150/(G$103*G$99*9.80665)</f>
        <v>#DIV/0!</v>
      </c>
      <c r="H150" s="60" t="n">
        <f aca="false">10^B150*101325</f>
        <v>159080.25</v>
      </c>
      <c r="I150" s="60" t="e">
        <f aca="false">H150/(8314.4621/G$103*C150)</f>
        <v>#DIV/0!</v>
      </c>
      <c r="J150" s="57" t="e">
        <f aca="false">SQRT(8314.4621/G$103*G$105*C150)</f>
        <v>#DIV/0!</v>
      </c>
      <c r="K150" s="57" t="e">
        <f aca="false">IF(F$20&gt;0,SQRT(2*G$98/(F$20+N150)),10000)</f>
        <v>#DIV/0!</v>
      </c>
      <c r="L150" s="60" t="e">
        <f aca="false">I150*K150^2/2</f>
        <v>#DIV/0!</v>
      </c>
      <c r="M150" s="60" t="e">
        <f aca="false">I150*K150^3/2</f>
        <v>#DIV/0!</v>
      </c>
      <c r="N150" s="57" t="e">
        <f aca="false">F150*IF(G$128&gt;0,G$128,0.5)</f>
        <v>#DIV/0!</v>
      </c>
      <c r="O150" s="57" t="e">
        <f aca="false">C150-P150*(G$115+(G$114-G$115)*COS(RADIANS(38)))/2</f>
        <v>#DIV/0!</v>
      </c>
      <c r="P150" s="82" t="e">
        <f aca="false">IF(IF(G$129&lt;100000,G$129,100000)&gt;0,IF(N150&lt;IF(G$129&lt;100000,G$129,100000)/3,0.6*(N150*3/IF(G$129&lt;100000,G$129,100000))^3+0.1*(N150*3/IF(G$129&lt;100000,G$129,100000))^2-2*(N150*3/IF(G$129&lt;100000,G$129,100000))+1,0)+IF(N150&lt;IF(G$129&lt;100000,G$129,100000)/3,0,IF(ROUND(N150,-3)&lt;=IF(G$129&lt;100000,G$129,100000),(-2*((N150-IF(G$129&lt;100000,G$129,100000)/3)/(2/3*IF(G$129&lt;100000,G$129,100000)))^3+3*((N150-IF(G$129&lt;100000,G$129,100000)/3)/(2/3*IF(G$129&lt;100000,G$129,100000)))^2)*(G$101^0.25*5/IF(G$114+G$116&gt;5,G$114+G$116,5)+0.3)-0.3,5*G$101^0.25/IF(G$114+G$116&gt;5,G$114+G$116,5))),0)</f>
        <v>#DIV/0!</v>
      </c>
      <c r="Q150" s="104" t="e">
        <f aca="false">IF(L150&gt;L$144,"|",IF(L149&gt;L$144,"V",""))</f>
        <v>#DIV/0!</v>
      </c>
    </row>
    <row r="151" customFormat="false" ht="15.75" hidden="false" customHeight="false" outlineLevel="0" collapsed="false">
      <c r="A151" s="31"/>
      <c r="B151" s="58" t="n">
        <f aca="false">B150-0.25</f>
        <v>-0.0541003475907663</v>
      </c>
      <c r="C151" s="61" t="n">
        <f aca="false">IF(B151&lt;-10,(0.00109375*B151^3+0.036875*B151^2+0.309375*B151+0.635)*(G$111-IF(G$102&lt;40,0.95,IF(G$102&lt;160,-0.0025*G$102+1.05,0.65))*G$102)+IF(G$102&lt;40,0.95,IF(G$102&lt;160,-0.0025*G$102+1.05,0.65))*G$102,IF(B151&lt;-7.5,(0.00128*B151^3+0.0536*B151^2+0.588*B151+1.935)*(G$111-IF(G$102&lt;40,0.95,IF(G$102&lt;160,-0.0025*G$102+1.05,0.65))*G$102)+IF(G$102&lt;40,0.95,IF(G$102&lt;160,-0.0025*G$102+1.05,0.65))*G$102,0))+IF(B151&lt;-7.5,0,IF(B151&lt;-4,(-0.00583090379*B151^3-0.02915451895*B151^2+0.5466472303*B151+3.279883382)*((IF(G$102&lt;40,0.95,IF(G$102&lt;160,-0.0025*G$102+1.05,0.65))*0.7+0.3)-IF(G$102&lt;40,0.95,IF(G$102&lt;160,-0.0025*G$102+1.05,0.65)))+IF(G$102&lt;40,0.95,IF(G$102&lt;160,-0.0025*G$102+1.05,0.65)),0))*G$102+IF(B151&lt;-4,0,(0.00125*((4/(B$150+4))*(B151-B$150))^3+0.0225*((4/(B$150+4))*(B151-B$150))^2+0.32*((4/(B$150+4))*(B151-B$150))+1)*(1-(IF(G$102&lt;40,0.95,IF(G$102&lt;160,-0.0025*G$102+1.05,0.65))*0.7+0.3))+(IF(G$102&lt;40,0.95,IF(G$102&lt;160,-0.0025*G$102+1.05,0.65))*0.7+0.3))*G$102+IF(B151&gt;-4,0.0625*((4/(B$150+4))*(B151-B$150))^2+0.5*((4/(B$150+4))*(B151-B$150))+1,0)*(G$112+G$113-D$151*(-2000*G$87+2000))+IF(G$44&gt;0,IF(B151&lt;-8,0,IF(B151&lt;-4.5,-0.04664723032*B151^3-0.8746355685*B151^2-5.037900875*B151-8.209912536,IF(B151&lt;IF(LOG(G$44)&lt;0,2/3*LOG(G$44)-1,-1),-2*(1/(-4.5-IF(LOG(G$44)&lt;0,2/3*LOG(G$44)-1,-1))*(B151-IF(LOG(G$44)&lt;0,2/3*LOG(G$44)-1,-1)))^3+3*(1/(-4.5-IF(LOG(G$44)&lt;0,2/3*LOG(G$44)-1,-1))*(B151-IF(LOG(G$44)&lt;0,2/3*LOG(G$44)-1,-1)))^2,0))),0)*IF(G$102&gt;81,9*G$102^0.5,G$102)*IF(G$82="None",0,G$82)+IF(B151&lt;-5,0,IF(B151&lt;-3,-0.25*B151^3-3*B151^2-11.25*B151-12.5,IF(B151&lt;-1,0.25*B151^3+1.5*B151^2+2.25*B151+1,0)))*IF((G$44/G$99*F$61)&lt;1,0.3645833333*(G$44/G$99*F$61)^3-1.0625*(G$44/G$99*F$61)^2+1.03125*(G$44/G$99*F$61),1/3)*G$102*IF(G$82="None",1,1-G$82)</f>
        <v>268.099232380757</v>
      </c>
      <c r="D151" s="60" t="e">
        <f aca="false">(C151-C150)/(E151-E150)</f>
        <v>#DIV/0!</v>
      </c>
      <c r="E151" s="57" t="n">
        <f aca="false">IF(D151=0,(8314.4621*C150*LN(H151/H150)/(-G$99*9.80665*G$103)),C150/D151*(1/(H151/H150)^(8314.4621*D151/(G$99*9.80665*G$103))-1))+E150</f>
        <v>0</v>
      </c>
      <c r="F151" s="57" t="n">
        <f aca="false">F$38*E151/(F$38-E151)</f>
        <v>0</v>
      </c>
      <c r="G151" s="57" t="n">
        <f aca="false">8314.4621*C151/(G$103*G$99*9.80665)</f>
        <v>13808.9890549687</v>
      </c>
      <c r="H151" s="60" t="n">
        <f aca="false">10^B151*101325</f>
        <v>89457.398596612</v>
      </c>
      <c r="I151" s="60" t="n">
        <f aca="false">H151/(8314.4621/G$103*C151)</f>
        <v>1.1249988122931</v>
      </c>
      <c r="J151" s="57" t="e">
        <f aca="false">SQRT(8314.4621/G$103*G$105*C151)</f>
        <v>#DIV/0!</v>
      </c>
      <c r="K151" s="57" t="e">
        <f aca="false">IF(F$20&gt;0,SQRT(2*G$98/(F$20+N151)),10000)</f>
        <v>#DIV/0!</v>
      </c>
      <c r="L151" s="60" t="e">
        <f aca="false">I151*K151^2/2</f>
        <v>#DIV/0!</v>
      </c>
      <c r="M151" s="60" t="e">
        <f aca="false">I151*K151^3/2</f>
        <v>#DIV/0!</v>
      </c>
      <c r="N151" s="57" t="e">
        <f aca="false">F151*IF(G$128&gt;0,G$128,0.5)</f>
        <v>#DIV/0!</v>
      </c>
      <c r="O151" s="57" t="e">
        <f aca="false">C151-P151*(G$115+(G$114-G$115)*COS(RADIANS(38)))/2</f>
        <v>#DIV/0!</v>
      </c>
      <c r="P151" s="82" t="e">
        <f aca="false">IF(IF(G$129&lt;100000,G$129,100000)&gt;0,IF(N151&lt;IF(G$129&lt;100000,G$129,100000)/3,0.6*(N151*3/IF(G$129&lt;100000,G$129,100000))^3+0.1*(N151*3/IF(G$129&lt;100000,G$129,100000))^2-2*(N151*3/IF(G$129&lt;100000,G$129,100000))+1,0)+IF(N151&lt;IF(G$129&lt;100000,G$129,100000)/3,0,IF(ROUND(N151,-3)&lt;=IF(G$129&lt;100000,G$129,100000),(-2*((N151-IF(G$129&lt;100000,G$129,100000)/3)/(2/3*IF(G$129&lt;100000,G$129,100000)))^3+3*((N151-IF(G$129&lt;100000,G$129,100000)/3)/(2/3*IF(G$129&lt;100000,G$129,100000)))^2)*(G$101^0.25*5/IF(G$114+G$116&gt;5,G$114+G$116,5)+0.3)-0.3,5*G$101^0.25/IF(G$114+G$116&gt;5,G$114+G$116,5))),0)</f>
        <v>#DIV/0!</v>
      </c>
      <c r="Q151" s="104" t="e">
        <f aca="false">IF(L151&gt;L$144,"|",IF(L150&gt;L$144,"V",""))</f>
        <v>#DIV/0!</v>
      </c>
    </row>
    <row r="152" customFormat="false" ht="15.75" hidden="false" customHeight="false" outlineLevel="0" collapsed="false">
      <c r="A152" s="31"/>
      <c r="B152" s="58" t="n">
        <f aca="false">B151-0.25</f>
        <v>-0.304100347590766</v>
      </c>
      <c r="C152" s="61" t="e">
        <f aca="false">IF(B152&lt;-10,(0.00109375*B152^3+0.036875*B152^2+0.309375*B152+0.635)*(G$111-IF(G$102&lt;40,0.95,IF(G$102&lt;160,-0.0025*G$102+1.05,0.65))*G$102)+IF(G$102&lt;40,0.95,IF(G$102&lt;160,-0.0025*G$102+1.05,0.65))*G$102,IF(B152&lt;-7.5,(0.00128*B152^3+0.0536*B152^2+0.588*B152+1.935)*(G$111-IF(G$102&lt;40,0.95,IF(G$102&lt;160,-0.0025*G$102+1.05,0.65))*G$102)+IF(G$102&lt;40,0.95,IF(G$102&lt;160,-0.0025*G$102+1.05,0.65))*G$102,0))+IF(B152&lt;-7.5,0,IF(B152&lt;-4,(-0.00583090379*B152^3-0.02915451895*B152^2+0.5466472303*B152+3.279883382)*((IF(G$102&lt;40,0.95,IF(G$102&lt;160,-0.0025*G$102+1.05,0.65))*0.7+0.3)-IF(G$102&lt;40,0.95,IF(G$102&lt;160,-0.0025*G$102+1.05,0.65)))+IF(G$102&lt;40,0.95,IF(G$102&lt;160,-0.0025*G$102+1.05,0.65)),0))*G$102+IF(B152&lt;-4,0,(0.00125*((4/(B$150+4))*(B152-B$150))^3+0.0225*((4/(B$150+4))*(B152-B$150))^2+0.32*((4/(B$150+4))*(B152-B$150))+1)*(1-(IF(G$102&lt;40,0.95,IF(G$102&lt;160,-0.0025*G$102+1.05,0.65))*0.7+0.3))+(IF(G$102&lt;40,0.95,IF(G$102&lt;160,-0.0025*G$102+1.05,0.65))*0.7+0.3))*G$102+IF(B152&gt;-4,0.0625*((4/(B$150+4))*(B152-B$150))^2+0.5*((4/(B$150+4))*(B152-B$150))+1,0)*(G$112+G$113-D$151*(-2000*G$87+2000))+IF(G$44&gt;0,IF(B152&lt;-8,0,IF(B152&lt;-4.5,-0.04664723032*B152^3-0.8746355685*B152^2-5.037900875*B152-8.209912536,IF(B152&lt;IF(LOG(G$44)&lt;0,2/3*LOG(G$44)-1,-1),-2*(1/(-4.5-IF(LOG(G$44)&lt;0,2/3*LOG(G$44)-1,-1))*(B152-IF(LOG(G$44)&lt;0,2/3*LOG(G$44)-1,-1)))^3+3*(1/(-4.5-IF(LOG(G$44)&lt;0,2/3*LOG(G$44)-1,-1))*(B152-IF(LOG(G$44)&lt;0,2/3*LOG(G$44)-1,-1)))^2,0))),0)*IF(G$102&gt;81,9*G$102^0.5,G$102)*IF(G$82="None",0,G$82)+IF(B152&lt;-5,0,IF(B152&lt;-3,-0.25*B152^3-3*B152^2-11.25*B152-12.5,IF(B152&lt;-1,0.25*B152^3+1.5*B152^2+2.25*B152+1,0)))*IF((G$44/G$99*F$61)&lt;1,0.3645833333*(G$44/G$99*F$61)^3-1.0625*(G$44/G$99*F$61)^2+1.03125*(G$44/G$99*F$61),1/3)*G$102*IF(G$82="None",1,1-G$82)</f>
        <v>#DIV/0!</v>
      </c>
      <c r="D152" s="60" t="e">
        <f aca="false">(C152-C151)/(E152-E151)</f>
        <v>#DIV/0!</v>
      </c>
      <c r="E152" s="57" t="e">
        <f aca="false">IF(D152=0,(8314.4621*C151*LN(H152/H151)/(-G$99*9.80665*G$103)),C151/D152*(1/(H152/H151)^(8314.4621*D152/(G$99*9.80665*G$103))-1))+E151</f>
        <v>#DIV/0!</v>
      </c>
      <c r="F152" s="57" t="e">
        <f aca="false">F$38*E152/(F$38-E152)</f>
        <v>#DIV/0!</v>
      </c>
      <c r="G152" s="57" t="e">
        <f aca="false">8314.4621*C152/(G$103*G$99*9.80665)</f>
        <v>#DIV/0!</v>
      </c>
      <c r="H152" s="60" t="n">
        <f aca="false">10^B152*101325</f>
        <v>50305.5920749001</v>
      </c>
      <c r="I152" s="60" t="e">
        <f aca="false">H152/(8314.4621/G$103*C152)</f>
        <v>#DIV/0!</v>
      </c>
      <c r="J152" s="57" t="e">
        <f aca="false">SQRT(8314.4621/G$103*G$105*C152)</f>
        <v>#DIV/0!</v>
      </c>
      <c r="K152" s="57" t="e">
        <f aca="false">IF(F$20&gt;0,SQRT(2*G$98/(F$20+N152)),10000)</f>
        <v>#DIV/0!</v>
      </c>
      <c r="L152" s="60" t="e">
        <f aca="false">I152*K152^2/2</f>
        <v>#DIV/0!</v>
      </c>
      <c r="M152" s="60" t="e">
        <f aca="false">I152*K152^3/2</f>
        <v>#DIV/0!</v>
      </c>
      <c r="N152" s="57" t="e">
        <f aca="false">F152*IF(G$128&gt;0,G$128,0.5)</f>
        <v>#DIV/0!</v>
      </c>
      <c r="O152" s="57" t="e">
        <f aca="false">C152-P152*(G$115+(G$114-G$115)*COS(RADIANS(38)))/2</f>
        <v>#DIV/0!</v>
      </c>
      <c r="P152" s="82" t="e">
        <f aca="false">IF(IF(G$129&lt;100000,G$129,100000)&gt;0,IF(N152&lt;IF(G$129&lt;100000,G$129,100000)/3,0.6*(N152*3/IF(G$129&lt;100000,G$129,100000))^3+0.1*(N152*3/IF(G$129&lt;100000,G$129,100000))^2-2*(N152*3/IF(G$129&lt;100000,G$129,100000))+1,0)+IF(N152&lt;IF(G$129&lt;100000,G$129,100000)/3,0,IF(ROUND(N152,-3)&lt;=IF(G$129&lt;100000,G$129,100000),(-2*((N152-IF(G$129&lt;100000,G$129,100000)/3)/(2/3*IF(G$129&lt;100000,G$129,100000)))^3+3*((N152-IF(G$129&lt;100000,G$129,100000)/3)/(2/3*IF(G$129&lt;100000,G$129,100000)))^2)*(G$101^0.25*5/IF(G$114+G$116&gt;5,G$114+G$116,5)+0.3)-0.3,5*G$101^0.25/IF(G$114+G$116&gt;5,G$114+G$116,5))),0)</f>
        <v>#DIV/0!</v>
      </c>
      <c r="Q152" s="104" t="e">
        <f aca="false">IF(L152&gt;L$144,"|",IF(L151&gt;L$144,"V",""))</f>
        <v>#DIV/0!</v>
      </c>
    </row>
    <row r="153" customFormat="false" ht="15.75" hidden="false" customHeight="false" outlineLevel="0" collapsed="false">
      <c r="A153" s="31"/>
      <c r="B153" s="58" t="n">
        <f aca="false">B152-0.25</f>
        <v>-0.554100347590766</v>
      </c>
      <c r="C153" s="61" t="e">
        <f aca="false">IF(B153&lt;-10,(0.00109375*B153^3+0.036875*B153^2+0.309375*B153+0.635)*(G$111-IF(G$102&lt;40,0.95,IF(G$102&lt;160,-0.0025*G$102+1.05,0.65))*G$102)+IF(G$102&lt;40,0.95,IF(G$102&lt;160,-0.0025*G$102+1.05,0.65))*G$102,IF(B153&lt;-7.5,(0.00128*B153^3+0.0536*B153^2+0.588*B153+1.935)*(G$111-IF(G$102&lt;40,0.95,IF(G$102&lt;160,-0.0025*G$102+1.05,0.65))*G$102)+IF(G$102&lt;40,0.95,IF(G$102&lt;160,-0.0025*G$102+1.05,0.65))*G$102,0))+IF(B153&lt;-7.5,0,IF(B153&lt;-4,(-0.00583090379*B153^3-0.02915451895*B153^2+0.5466472303*B153+3.279883382)*((IF(G$102&lt;40,0.95,IF(G$102&lt;160,-0.0025*G$102+1.05,0.65))*0.7+0.3)-IF(G$102&lt;40,0.95,IF(G$102&lt;160,-0.0025*G$102+1.05,0.65)))+IF(G$102&lt;40,0.95,IF(G$102&lt;160,-0.0025*G$102+1.05,0.65)),0))*G$102+IF(B153&lt;-4,0,(0.00125*((4/(B$150+4))*(B153-B$150))^3+0.0225*((4/(B$150+4))*(B153-B$150))^2+0.32*((4/(B$150+4))*(B153-B$150))+1)*(1-(IF(G$102&lt;40,0.95,IF(G$102&lt;160,-0.0025*G$102+1.05,0.65))*0.7+0.3))+(IF(G$102&lt;40,0.95,IF(G$102&lt;160,-0.0025*G$102+1.05,0.65))*0.7+0.3))*G$102+IF(B153&gt;-4,0.0625*((4/(B$150+4))*(B153-B$150))^2+0.5*((4/(B$150+4))*(B153-B$150))+1,0)*(G$112+G$113-D$151*(-2000*G$87+2000))+IF(G$44&gt;0,IF(B153&lt;-8,0,IF(B153&lt;-4.5,-0.04664723032*B153^3-0.8746355685*B153^2-5.037900875*B153-8.209912536,IF(B153&lt;IF(LOG(G$44)&lt;0,2/3*LOG(G$44)-1,-1),-2*(1/(-4.5-IF(LOG(G$44)&lt;0,2/3*LOG(G$44)-1,-1))*(B153-IF(LOG(G$44)&lt;0,2/3*LOG(G$44)-1,-1)))^3+3*(1/(-4.5-IF(LOG(G$44)&lt;0,2/3*LOG(G$44)-1,-1))*(B153-IF(LOG(G$44)&lt;0,2/3*LOG(G$44)-1,-1)))^2,0))),0)*IF(G$102&gt;81,9*G$102^0.5,G$102)*IF(G$82="None",0,G$82)+IF(B153&lt;-5,0,IF(B153&lt;-3,-0.25*B153^3-3*B153^2-11.25*B153-12.5,IF(B153&lt;-1,0.25*B153^3+1.5*B153^2+2.25*B153+1,0)))*IF((G$44/G$99*F$61)&lt;1,0.3645833333*(G$44/G$99*F$61)^3-1.0625*(G$44/G$99*F$61)^2+1.03125*(G$44/G$99*F$61),1/3)*G$102*IF(G$82="None",1,1-G$82)</f>
        <v>#DIV/0!</v>
      </c>
      <c r="D153" s="60" t="e">
        <f aca="false">(C153-C152)/(E153-E152)</f>
        <v>#DIV/0!</v>
      </c>
      <c r="E153" s="57" t="e">
        <f aca="false">IF(D153=0,(8314.4621*C152*LN(H153/H152)/(-G$99*9.80665*G$103)),C152/D153*(1/(H153/H152)^(8314.4621*D153/(G$99*9.80665*G$103))-1))+E152</f>
        <v>#DIV/0!</v>
      </c>
      <c r="F153" s="57" t="e">
        <f aca="false">F$38*E153/(F$38-E153)</f>
        <v>#DIV/0!</v>
      </c>
      <c r="G153" s="57" t="e">
        <f aca="false">8314.4621*C153/(G$103*G$99*9.80665)</f>
        <v>#DIV/0!</v>
      </c>
      <c r="H153" s="60" t="n">
        <f aca="false">10^B153*101325</f>
        <v>28288.9133118844</v>
      </c>
      <c r="I153" s="60" t="e">
        <f aca="false">H153/(8314.4621/G$103*C153)</f>
        <v>#DIV/0!</v>
      </c>
      <c r="J153" s="57" t="e">
        <f aca="false">SQRT(8314.4621/G$103*G$105*C153)</f>
        <v>#DIV/0!</v>
      </c>
      <c r="K153" s="57" t="e">
        <f aca="false">IF(F$20&gt;0,SQRT(2*G$98/(F$20+N153)),10000)</f>
        <v>#DIV/0!</v>
      </c>
      <c r="L153" s="60" t="e">
        <f aca="false">I153*K153^2/2</f>
        <v>#DIV/0!</v>
      </c>
      <c r="M153" s="60" t="e">
        <f aca="false">I153*K153^3/2</f>
        <v>#DIV/0!</v>
      </c>
      <c r="N153" s="57" t="e">
        <f aca="false">F153*IF(G$128&gt;0,G$128,0.5)</f>
        <v>#DIV/0!</v>
      </c>
      <c r="O153" s="57" t="e">
        <f aca="false">C153-P153*(G$115+(G$114-G$115)*COS(RADIANS(38)))/2</f>
        <v>#DIV/0!</v>
      </c>
      <c r="P153" s="82" t="e">
        <f aca="false">IF(IF(G$129&lt;100000,G$129,100000)&gt;0,IF(N153&lt;IF(G$129&lt;100000,G$129,100000)/3,0.6*(N153*3/IF(G$129&lt;100000,G$129,100000))^3+0.1*(N153*3/IF(G$129&lt;100000,G$129,100000))^2-2*(N153*3/IF(G$129&lt;100000,G$129,100000))+1,0)+IF(N153&lt;IF(G$129&lt;100000,G$129,100000)/3,0,IF(ROUND(N153,-3)&lt;=IF(G$129&lt;100000,G$129,100000),(-2*((N153-IF(G$129&lt;100000,G$129,100000)/3)/(2/3*IF(G$129&lt;100000,G$129,100000)))^3+3*((N153-IF(G$129&lt;100000,G$129,100000)/3)/(2/3*IF(G$129&lt;100000,G$129,100000)))^2)*(G$101^0.25*5/IF(G$114+G$116&gt;5,G$114+G$116,5)+0.3)-0.3,5*G$101^0.25/IF(G$114+G$116&gt;5,G$114+G$116,5))),0)</f>
        <v>#DIV/0!</v>
      </c>
      <c r="Q153" s="104" t="e">
        <f aca="false">IF(L153&gt;L$144,"|",IF(L152&gt;L$144,"V",""))</f>
        <v>#DIV/0!</v>
      </c>
    </row>
    <row r="154" customFormat="false" ht="15.75" hidden="false" customHeight="false" outlineLevel="0" collapsed="false">
      <c r="A154" s="31"/>
      <c r="B154" s="58" t="n">
        <f aca="false">B153-0.25</f>
        <v>-0.804100347590766</v>
      </c>
      <c r="C154" s="61" t="e">
        <f aca="false">IF(B154&lt;-10,(0.00109375*B154^3+0.036875*B154^2+0.309375*B154+0.635)*(G$111-IF(G$102&lt;40,0.95,IF(G$102&lt;160,-0.0025*G$102+1.05,0.65))*G$102)+IF(G$102&lt;40,0.95,IF(G$102&lt;160,-0.0025*G$102+1.05,0.65))*G$102,IF(B154&lt;-7.5,(0.00128*B154^3+0.0536*B154^2+0.588*B154+1.935)*(G$111-IF(G$102&lt;40,0.95,IF(G$102&lt;160,-0.0025*G$102+1.05,0.65))*G$102)+IF(G$102&lt;40,0.95,IF(G$102&lt;160,-0.0025*G$102+1.05,0.65))*G$102,0))+IF(B154&lt;-7.5,0,IF(B154&lt;-4,(-0.00583090379*B154^3-0.02915451895*B154^2+0.5466472303*B154+3.279883382)*((IF(G$102&lt;40,0.95,IF(G$102&lt;160,-0.0025*G$102+1.05,0.65))*0.7+0.3)-IF(G$102&lt;40,0.95,IF(G$102&lt;160,-0.0025*G$102+1.05,0.65)))+IF(G$102&lt;40,0.95,IF(G$102&lt;160,-0.0025*G$102+1.05,0.65)),0))*G$102+IF(B154&lt;-4,0,(0.00125*((4/(B$150+4))*(B154-B$150))^3+0.0225*((4/(B$150+4))*(B154-B$150))^2+0.32*((4/(B$150+4))*(B154-B$150))+1)*(1-(IF(G$102&lt;40,0.95,IF(G$102&lt;160,-0.0025*G$102+1.05,0.65))*0.7+0.3))+(IF(G$102&lt;40,0.95,IF(G$102&lt;160,-0.0025*G$102+1.05,0.65))*0.7+0.3))*G$102+IF(B154&gt;-4,0.0625*((4/(B$150+4))*(B154-B$150))^2+0.5*((4/(B$150+4))*(B154-B$150))+1,0)*(G$112+G$113-D$151*(-2000*G$87+2000))+IF(G$44&gt;0,IF(B154&lt;-8,0,IF(B154&lt;-4.5,-0.04664723032*B154^3-0.8746355685*B154^2-5.037900875*B154-8.209912536,IF(B154&lt;IF(LOG(G$44)&lt;0,2/3*LOG(G$44)-1,-1),-2*(1/(-4.5-IF(LOG(G$44)&lt;0,2/3*LOG(G$44)-1,-1))*(B154-IF(LOG(G$44)&lt;0,2/3*LOG(G$44)-1,-1)))^3+3*(1/(-4.5-IF(LOG(G$44)&lt;0,2/3*LOG(G$44)-1,-1))*(B154-IF(LOG(G$44)&lt;0,2/3*LOG(G$44)-1,-1)))^2,0))),0)*IF(G$102&gt;81,9*G$102^0.5,G$102)*IF(G$82="None",0,G$82)+IF(B154&lt;-5,0,IF(B154&lt;-3,-0.25*B154^3-3*B154^2-11.25*B154-12.5,IF(B154&lt;-1,0.25*B154^3+1.5*B154^2+2.25*B154+1,0)))*IF((G$44/G$99*F$61)&lt;1,0.3645833333*(G$44/G$99*F$61)^3-1.0625*(G$44/G$99*F$61)^2+1.03125*(G$44/G$99*F$61),1/3)*G$102*IF(G$82="None",1,1-G$82)</f>
        <v>#DIV/0!</v>
      </c>
      <c r="D154" s="60" t="e">
        <f aca="false">(C154-C153)/(E154-E153)</f>
        <v>#DIV/0!</v>
      </c>
      <c r="E154" s="57" t="e">
        <f aca="false">IF(D154=0,(8314.4621*C153*LN(H154/H153)/(-G$99*9.80665*G$103)),C153/D154*(1/(H154/H153)^(8314.4621*D154/(G$99*9.80665*G$103))-1))+E153</f>
        <v>#DIV/0!</v>
      </c>
      <c r="F154" s="57" t="e">
        <f aca="false">F$38*E154/(F$38-E154)</f>
        <v>#DIV/0!</v>
      </c>
      <c r="G154" s="57" t="e">
        <f aca="false">8314.4621*C154/(G$103*G$99*9.80665)</f>
        <v>#DIV/0!</v>
      </c>
      <c r="H154" s="60" t="n">
        <f aca="false">10^B154*101325</f>
        <v>15908.025</v>
      </c>
      <c r="I154" s="60" t="e">
        <f aca="false">H154/(8314.4621/G$103*C154)</f>
        <v>#DIV/0!</v>
      </c>
      <c r="J154" s="57" t="e">
        <f aca="false">SQRT(8314.4621/G$103*G$105*C154)</f>
        <v>#DIV/0!</v>
      </c>
      <c r="K154" s="57" t="e">
        <f aca="false">IF(F$20&gt;0,SQRT(2*G$98/(F$20+N154)),10000)</f>
        <v>#DIV/0!</v>
      </c>
      <c r="L154" s="60" t="e">
        <f aca="false">I154*K154^2/2</f>
        <v>#DIV/0!</v>
      </c>
      <c r="M154" s="60" t="e">
        <f aca="false">I154*K154^3/2</f>
        <v>#DIV/0!</v>
      </c>
      <c r="N154" s="57" t="e">
        <f aca="false">F154*IF(G$128&gt;0,G$128,0.5)</f>
        <v>#DIV/0!</v>
      </c>
      <c r="O154" s="57" t="e">
        <f aca="false">C154-P154*(G$115+(G$114-G$115)*COS(RADIANS(38)))/2</f>
        <v>#DIV/0!</v>
      </c>
      <c r="P154" s="82" t="e">
        <f aca="false">IF(IF(G$129&lt;100000,G$129,100000)&gt;0,IF(N154&lt;IF(G$129&lt;100000,G$129,100000)/3,0.6*(N154*3/IF(G$129&lt;100000,G$129,100000))^3+0.1*(N154*3/IF(G$129&lt;100000,G$129,100000))^2-2*(N154*3/IF(G$129&lt;100000,G$129,100000))+1,0)+IF(N154&lt;IF(G$129&lt;100000,G$129,100000)/3,0,IF(ROUND(N154,-3)&lt;=IF(G$129&lt;100000,G$129,100000),(-2*((N154-IF(G$129&lt;100000,G$129,100000)/3)/(2/3*IF(G$129&lt;100000,G$129,100000)))^3+3*((N154-IF(G$129&lt;100000,G$129,100000)/3)/(2/3*IF(G$129&lt;100000,G$129,100000)))^2)*(G$101^0.25*5/IF(G$114+G$116&gt;5,G$114+G$116,5)+0.3)-0.3,5*G$101^0.25/IF(G$114+G$116&gt;5,G$114+G$116,5))),0)</f>
        <v>#DIV/0!</v>
      </c>
      <c r="Q154" s="104" t="e">
        <f aca="false">IF(L154&gt;L$144,"|",IF(L153&gt;L$144,"V",""))</f>
        <v>#DIV/0!</v>
      </c>
    </row>
    <row r="155" customFormat="false" ht="15.75" hidden="false" customHeight="false" outlineLevel="0" collapsed="false">
      <c r="A155" s="31"/>
      <c r="B155" s="58" t="n">
        <f aca="false">B154-0.25</f>
        <v>-1.05410034759077</v>
      </c>
      <c r="C155" s="61" t="e">
        <f aca="false">IF(B155&lt;-10,(0.00109375*B155^3+0.036875*B155^2+0.309375*B155+0.635)*(G$111-IF(G$102&lt;40,0.95,IF(G$102&lt;160,-0.0025*G$102+1.05,0.65))*G$102)+IF(G$102&lt;40,0.95,IF(G$102&lt;160,-0.0025*G$102+1.05,0.65))*G$102,IF(B155&lt;-7.5,(0.00128*B155^3+0.0536*B155^2+0.588*B155+1.935)*(G$111-IF(G$102&lt;40,0.95,IF(G$102&lt;160,-0.0025*G$102+1.05,0.65))*G$102)+IF(G$102&lt;40,0.95,IF(G$102&lt;160,-0.0025*G$102+1.05,0.65))*G$102,0))+IF(B155&lt;-7.5,0,IF(B155&lt;-4,(-0.00583090379*B155^3-0.02915451895*B155^2+0.5466472303*B155+3.279883382)*((IF(G$102&lt;40,0.95,IF(G$102&lt;160,-0.0025*G$102+1.05,0.65))*0.7+0.3)-IF(G$102&lt;40,0.95,IF(G$102&lt;160,-0.0025*G$102+1.05,0.65)))+IF(G$102&lt;40,0.95,IF(G$102&lt;160,-0.0025*G$102+1.05,0.65)),0))*G$102+IF(B155&lt;-4,0,(0.00125*((4/(B$150+4))*(B155-B$150))^3+0.0225*((4/(B$150+4))*(B155-B$150))^2+0.32*((4/(B$150+4))*(B155-B$150))+1)*(1-(IF(G$102&lt;40,0.95,IF(G$102&lt;160,-0.0025*G$102+1.05,0.65))*0.7+0.3))+(IF(G$102&lt;40,0.95,IF(G$102&lt;160,-0.0025*G$102+1.05,0.65))*0.7+0.3))*G$102+IF(B155&gt;-4,0.0625*((4/(B$150+4))*(B155-B$150))^2+0.5*((4/(B$150+4))*(B155-B$150))+1,0)*(G$112+G$113-D$151*(-2000*G$87+2000))+IF(G$44&gt;0,IF(B155&lt;-8,0,IF(B155&lt;-4.5,-0.04664723032*B155^3-0.8746355685*B155^2-5.037900875*B155-8.209912536,IF(B155&lt;IF(LOG(G$44)&lt;0,2/3*LOG(G$44)-1,-1),-2*(1/(-4.5-IF(LOG(G$44)&lt;0,2/3*LOG(G$44)-1,-1))*(B155-IF(LOG(G$44)&lt;0,2/3*LOG(G$44)-1,-1)))^3+3*(1/(-4.5-IF(LOG(G$44)&lt;0,2/3*LOG(G$44)-1,-1))*(B155-IF(LOG(G$44)&lt;0,2/3*LOG(G$44)-1,-1)))^2,0))),0)*IF(G$102&gt;81,9*G$102^0.5,G$102)*IF(G$82="None",0,G$82)+IF(B155&lt;-5,0,IF(B155&lt;-3,-0.25*B155^3-3*B155^2-11.25*B155-12.5,IF(B155&lt;-1,0.25*B155^3+1.5*B155^2+2.25*B155+1,0)))*IF((G$44/G$99*F$61)&lt;1,0.3645833333*(G$44/G$99*F$61)^3-1.0625*(G$44/G$99*F$61)^2+1.03125*(G$44/G$99*F$61),1/3)*G$102*IF(G$82="None",1,1-G$82)</f>
        <v>#DIV/0!</v>
      </c>
      <c r="D155" s="60" t="e">
        <f aca="false">(C155-C154)/(E155-E154)</f>
        <v>#DIV/0!</v>
      </c>
      <c r="E155" s="57" t="e">
        <f aca="false">IF(D155=0,(8314.4621*C154*LN(H155/H154)/(-G$99*9.80665*G$103)),C154/D155*(1/(H155/H154)^(8314.4621*D155/(G$99*9.80665*G$103))-1))+E154</f>
        <v>#DIV/0!</v>
      </c>
      <c r="F155" s="57" t="e">
        <f aca="false">F$38*E155/(F$38-E155)</f>
        <v>#DIV/0!</v>
      </c>
      <c r="G155" s="57" t="e">
        <f aca="false">8314.4621*C155/(G$103*G$99*9.80665)</f>
        <v>#DIV/0!</v>
      </c>
      <c r="H155" s="60" t="n">
        <f aca="false">10^B155*101325</f>
        <v>8945.7398596612</v>
      </c>
      <c r="I155" s="60" t="e">
        <f aca="false">H155/(8314.4621/G$103*C155)</f>
        <v>#DIV/0!</v>
      </c>
      <c r="J155" s="57" t="e">
        <f aca="false">SQRT(8314.4621/G$103*G$105*C155)</f>
        <v>#DIV/0!</v>
      </c>
      <c r="K155" s="57" t="e">
        <f aca="false">IF(F$20&gt;0,SQRT(2*G$98/(F$20+N155)),10000)</f>
        <v>#DIV/0!</v>
      </c>
      <c r="L155" s="60" t="e">
        <f aca="false">I155*K155^2/2</f>
        <v>#DIV/0!</v>
      </c>
      <c r="M155" s="60" t="e">
        <f aca="false">I155*K155^3/2</f>
        <v>#DIV/0!</v>
      </c>
      <c r="N155" s="57" t="e">
        <f aca="false">F155*IF(G$128&gt;0,G$128,0.5)</f>
        <v>#DIV/0!</v>
      </c>
      <c r="O155" s="57" t="e">
        <f aca="false">C155-P155*(G$115+(G$114-G$115)*COS(RADIANS(38)))/2</f>
        <v>#DIV/0!</v>
      </c>
      <c r="P155" s="82" t="e">
        <f aca="false">IF(IF(G$129&lt;100000,G$129,100000)&gt;0,IF(N155&lt;IF(G$129&lt;100000,G$129,100000)/3,0.6*(N155*3/IF(G$129&lt;100000,G$129,100000))^3+0.1*(N155*3/IF(G$129&lt;100000,G$129,100000))^2-2*(N155*3/IF(G$129&lt;100000,G$129,100000))+1,0)+IF(N155&lt;IF(G$129&lt;100000,G$129,100000)/3,0,IF(ROUND(N155,-3)&lt;=IF(G$129&lt;100000,G$129,100000),(-2*((N155-IF(G$129&lt;100000,G$129,100000)/3)/(2/3*IF(G$129&lt;100000,G$129,100000)))^3+3*((N155-IF(G$129&lt;100000,G$129,100000)/3)/(2/3*IF(G$129&lt;100000,G$129,100000)))^2)*(G$101^0.25*5/IF(G$114+G$116&gt;5,G$114+G$116,5)+0.3)-0.3,5*G$101^0.25/IF(G$114+G$116&gt;5,G$114+G$116,5))),0)</f>
        <v>#DIV/0!</v>
      </c>
      <c r="Q155" s="104" t="e">
        <f aca="false">IF(L155&gt;L$144,"|",IF(L154&gt;L$144,"V",""))</f>
        <v>#DIV/0!</v>
      </c>
    </row>
    <row r="156" customFormat="false" ht="15.75" hidden="false" customHeight="false" outlineLevel="0" collapsed="false">
      <c r="A156" s="31"/>
      <c r="B156" s="58" t="n">
        <f aca="false">B155-0.25</f>
        <v>-1.30410034759077</v>
      </c>
      <c r="C156" s="61" t="e">
        <f aca="false">IF(B156&lt;-10,(0.00109375*B156^3+0.036875*B156^2+0.309375*B156+0.635)*(G$111-IF(G$102&lt;40,0.95,IF(G$102&lt;160,-0.0025*G$102+1.05,0.65))*G$102)+IF(G$102&lt;40,0.95,IF(G$102&lt;160,-0.0025*G$102+1.05,0.65))*G$102,IF(B156&lt;-7.5,(0.00128*B156^3+0.0536*B156^2+0.588*B156+1.935)*(G$111-IF(G$102&lt;40,0.95,IF(G$102&lt;160,-0.0025*G$102+1.05,0.65))*G$102)+IF(G$102&lt;40,0.95,IF(G$102&lt;160,-0.0025*G$102+1.05,0.65))*G$102,0))+IF(B156&lt;-7.5,0,IF(B156&lt;-4,(-0.00583090379*B156^3-0.02915451895*B156^2+0.5466472303*B156+3.279883382)*((IF(G$102&lt;40,0.95,IF(G$102&lt;160,-0.0025*G$102+1.05,0.65))*0.7+0.3)-IF(G$102&lt;40,0.95,IF(G$102&lt;160,-0.0025*G$102+1.05,0.65)))+IF(G$102&lt;40,0.95,IF(G$102&lt;160,-0.0025*G$102+1.05,0.65)),0))*G$102+IF(B156&lt;-4,0,(0.00125*((4/(B$150+4))*(B156-B$150))^3+0.0225*((4/(B$150+4))*(B156-B$150))^2+0.32*((4/(B$150+4))*(B156-B$150))+1)*(1-(IF(G$102&lt;40,0.95,IF(G$102&lt;160,-0.0025*G$102+1.05,0.65))*0.7+0.3))+(IF(G$102&lt;40,0.95,IF(G$102&lt;160,-0.0025*G$102+1.05,0.65))*0.7+0.3))*G$102+IF(B156&gt;-4,0.0625*((4/(B$150+4))*(B156-B$150))^2+0.5*((4/(B$150+4))*(B156-B$150))+1,0)*(G$112+G$113-D$151*(-2000*G$87+2000))+IF(G$44&gt;0,IF(B156&lt;-8,0,IF(B156&lt;-4.5,-0.04664723032*B156^3-0.8746355685*B156^2-5.037900875*B156-8.209912536,IF(B156&lt;IF(LOG(G$44)&lt;0,2/3*LOG(G$44)-1,-1),-2*(1/(-4.5-IF(LOG(G$44)&lt;0,2/3*LOG(G$44)-1,-1))*(B156-IF(LOG(G$44)&lt;0,2/3*LOG(G$44)-1,-1)))^3+3*(1/(-4.5-IF(LOG(G$44)&lt;0,2/3*LOG(G$44)-1,-1))*(B156-IF(LOG(G$44)&lt;0,2/3*LOG(G$44)-1,-1)))^2,0))),0)*IF(G$102&gt;81,9*G$102^0.5,G$102)*IF(G$82="None",0,G$82)+IF(B156&lt;-5,0,IF(B156&lt;-3,-0.25*B156^3-3*B156^2-11.25*B156-12.5,IF(B156&lt;-1,0.25*B156^3+1.5*B156^2+2.25*B156+1,0)))*IF((G$44/G$99*F$61)&lt;1,0.3645833333*(G$44/G$99*F$61)^3-1.0625*(G$44/G$99*F$61)^2+1.03125*(G$44/G$99*F$61),1/3)*G$102*IF(G$82="None",1,1-G$82)</f>
        <v>#DIV/0!</v>
      </c>
      <c r="D156" s="60" t="e">
        <f aca="false">(C156-C155)/(E156-E155)</f>
        <v>#DIV/0!</v>
      </c>
      <c r="E156" s="57" t="e">
        <f aca="false">IF(D156=0,(8314.4621*C155*LN(H156/H155)/(-G$99*9.80665*G$103)),C155/D156*(1/(H156/H155)^(8314.4621*D156/(G$99*9.80665*G$103))-1))+E155</f>
        <v>#DIV/0!</v>
      </c>
      <c r="F156" s="57" t="e">
        <f aca="false">F$38*E156/(F$38-E156)</f>
        <v>#DIV/0!</v>
      </c>
      <c r="G156" s="57" t="e">
        <f aca="false">8314.4621*C156/(G$103*G$99*9.80665)</f>
        <v>#DIV/0!</v>
      </c>
      <c r="H156" s="60" t="n">
        <f aca="false">10^B156*101325</f>
        <v>5030.55920749001</v>
      </c>
      <c r="I156" s="60" t="e">
        <f aca="false">H156/(8314.4621/G$103*C156)</f>
        <v>#DIV/0!</v>
      </c>
      <c r="J156" s="57" t="e">
        <f aca="false">SQRT(8314.4621/G$103*G$105*C156)</f>
        <v>#DIV/0!</v>
      </c>
      <c r="K156" s="57" t="e">
        <f aca="false">IF(F$20&gt;0,SQRT(2*G$98/(F$20+N156)),10000)</f>
        <v>#DIV/0!</v>
      </c>
      <c r="L156" s="60" t="e">
        <f aca="false">I156*K156^2/2</f>
        <v>#DIV/0!</v>
      </c>
      <c r="M156" s="60" t="e">
        <f aca="false">I156*K156^3/2</f>
        <v>#DIV/0!</v>
      </c>
      <c r="N156" s="57" t="e">
        <f aca="false">F156*IF(G$128&gt;0,G$128,0.5)</f>
        <v>#DIV/0!</v>
      </c>
      <c r="O156" s="57" t="e">
        <f aca="false">C156-P156*(G$115+(G$114-G$115)*COS(RADIANS(38)))/2</f>
        <v>#DIV/0!</v>
      </c>
      <c r="P156" s="82" t="e">
        <f aca="false">IF(IF(G$129&lt;100000,G$129,100000)&gt;0,IF(N156&lt;IF(G$129&lt;100000,G$129,100000)/3,0.6*(N156*3/IF(G$129&lt;100000,G$129,100000))^3+0.1*(N156*3/IF(G$129&lt;100000,G$129,100000))^2-2*(N156*3/IF(G$129&lt;100000,G$129,100000))+1,0)+IF(N156&lt;IF(G$129&lt;100000,G$129,100000)/3,0,IF(ROUND(N156,-3)&lt;=IF(G$129&lt;100000,G$129,100000),(-2*((N156-IF(G$129&lt;100000,G$129,100000)/3)/(2/3*IF(G$129&lt;100000,G$129,100000)))^3+3*((N156-IF(G$129&lt;100000,G$129,100000)/3)/(2/3*IF(G$129&lt;100000,G$129,100000)))^2)*(G$101^0.25*5/IF(G$114+G$116&gt;5,G$114+G$116,5)+0.3)-0.3,5*G$101^0.25/IF(G$114+G$116&gt;5,G$114+G$116,5))),0)</f>
        <v>#DIV/0!</v>
      </c>
      <c r="Q156" s="104" t="e">
        <f aca="false">IF(L156&gt;L$144,"|",IF(L155&gt;L$144,"V",""))</f>
        <v>#DIV/0!</v>
      </c>
    </row>
    <row r="157" customFormat="false" ht="15.75" hidden="false" customHeight="false" outlineLevel="0" collapsed="false">
      <c r="A157" s="31"/>
      <c r="B157" s="58" t="n">
        <f aca="false">B156-0.25</f>
        <v>-1.55410034759077</v>
      </c>
      <c r="C157" s="61" t="e">
        <f aca="false">IF(B157&lt;-10,(0.00109375*B157^3+0.036875*B157^2+0.309375*B157+0.635)*(G$111-IF(G$102&lt;40,0.95,IF(G$102&lt;160,-0.0025*G$102+1.05,0.65))*G$102)+IF(G$102&lt;40,0.95,IF(G$102&lt;160,-0.0025*G$102+1.05,0.65))*G$102,IF(B157&lt;-7.5,(0.00128*B157^3+0.0536*B157^2+0.588*B157+1.935)*(G$111-IF(G$102&lt;40,0.95,IF(G$102&lt;160,-0.0025*G$102+1.05,0.65))*G$102)+IF(G$102&lt;40,0.95,IF(G$102&lt;160,-0.0025*G$102+1.05,0.65))*G$102,0))+IF(B157&lt;-7.5,0,IF(B157&lt;-4,(-0.00583090379*B157^3-0.02915451895*B157^2+0.5466472303*B157+3.279883382)*((IF(G$102&lt;40,0.95,IF(G$102&lt;160,-0.0025*G$102+1.05,0.65))*0.7+0.3)-IF(G$102&lt;40,0.95,IF(G$102&lt;160,-0.0025*G$102+1.05,0.65)))+IF(G$102&lt;40,0.95,IF(G$102&lt;160,-0.0025*G$102+1.05,0.65)),0))*G$102+IF(B157&lt;-4,0,(0.00125*((4/(B$150+4))*(B157-B$150))^3+0.0225*((4/(B$150+4))*(B157-B$150))^2+0.32*((4/(B$150+4))*(B157-B$150))+1)*(1-(IF(G$102&lt;40,0.95,IF(G$102&lt;160,-0.0025*G$102+1.05,0.65))*0.7+0.3))+(IF(G$102&lt;40,0.95,IF(G$102&lt;160,-0.0025*G$102+1.05,0.65))*0.7+0.3))*G$102+IF(B157&gt;-4,0.0625*((4/(B$150+4))*(B157-B$150))^2+0.5*((4/(B$150+4))*(B157-B$150))+1,0)*(G$112+G$113-D$151*(-2000*G$87+2000))+IF(G$44&gt;0,IF(B157&lt;-8,0,IF(B157&lt;-4.5,-0.04664723032*B157^3-0.8746355685*B157^2-5.037900875*B157-8.209912536,IF(B157&lt;IF(LOG(G$44)&lt;0,2/3*LOG(G$44)-1,-1),-2*(1/(-4.5-IF(LOG(G$44)&lt;0,2/3*LOG(G$44)-1,-1))*(B157-IF(LOG(G$44)&lt;0,2/3*LOG(G$44)-1,-1)))^3+3*(1/(-4.5-IF(LOG(G$44)&lt;0,2/3*LOG(G$44)-1,-1))*(B157-IF(LOG(G$44)&lt;0,2/3*LOG(G$44)-1,-1)))^2,0))),0)*IF(G$102&gt;81,9*G$102^0.5,G$102)*IF(G$82="None",0,G$82)+IF(B157&lt;-5,0,IF(B157&lt;-3,-0.25*B157^3-3*B157^2-11.25*B157-12.5,IF(B157&lt;-1,0.25*B157^3+1.5*B157^2+2.25*B157+1,0)))*IF((G$44/G$99*F$61)&lt;1,0.3645833333*(G$44/G$99*F$61)^3-1.0625*(G$44/G$99*F$61)^2+1.03125*(G$44/G$99*F$61),1/3)*G$102*IF(G$82="None",1,1-G$82)</f>
        <v>#DIV/0!</v>
      </c>
      <c r="D157" s="60" t="e">
        <f aca="false">(C157-C156)/(E157-E156)</f>
        <v>#DIV/0!</v>
      </c>
      <c r="E157" s="57" t="e">
        <f aca="false">IF(D157=0,(8314.4621*C156*LN(H157/H156)/(-G$99*9.80665*G$103)),C156/D157*(1/(H157/H156)^(8314.4621*D157/(G$99*9.80665*G$103))-1))+E156</f>
        <v>#DIV/0!</v>
      </c>
      <c r="F157" s="57" t="e">
        <f aca="false">F$38*E157/(F$38-E157)</f>
        <v>#DIV/0!</v>
      </c>
      <c r="G157" s="57" t="e">
        <f aca="false">8314.4621*C157/(G$103*G$99*9.80665)</f>
        <v>#DIV/0!</v>
      </c>
      <c r="H157" s="60" t="n">
        <f aca="false">10^B157*101325</f>
        <v>2828.89133118844</v>
      </c>
      <c r="I157" s="60" t="e">
        <f aca="false">H157/(8314.4621/G$103*C157)</f>
        <v>#DIV/0!</v>
      </c>
      <c r="J157" s="57" t="e">
        <f aca="false">SQRT(8314.4621/G$103*G$105*C157)</f>
        <v>#DIV/0!</v>
      </c>
      <c r="K157" s="57" t="e">
        <f aca="false">IF(F$20&gt;0,SQRT(2*G$98/(F$20+N157)),10000)</f>
        <v>#DIV/0!</v>
      </c>
      <c r="L157" s="60" t="e">
        <f aca="false">I157*K157^2/2</f>
        <v>#DIV/0!</v>
      </c>
      <c r="M157" s="60" t="e">
        <f aca="false">I157*K157^3/2</f>
        <v>#DIV/0!</v>
      </c>
      <c r="N157" s="57" t="e">
        <f aca="false">F157*IF(G$128&gt;0,G$128,0.5)</f>
        <v>#DIV/0!</v>
      </c>
      <c r="O157" s="57" t="e">
        <f aca="false">C157-P157*(G$115+(G$114-G$115)*COS(RADIANS(38)))/2</f>
        <v>#DIV/0!</v>
      </c>
      <c r="P157" s="82" t="e">
        <f aca="false">IF(IF(G$129&lt;100000,G$129,100000)&gt;0,IF(N157&lt;IF(G$129&lt;100000,G$129,100000)/3,0.6*(N157*3/IF(G$129&lt;100000,G$129,100000))^3+0.1*(N157*3/IF(G$129&lt;100000,G$129,100000))^2-2*(N157*3/IF(G$129&lt;100000,G$129,100000))+1,0)+IF(N157&lt;IF(G$129&lt;100000,G$129,100000)/3,0,IF(ROUND(N157,-3)&lt;=IF(G$129&lt;100000,G$129,100000),(-2*((N157-IF(G$129&lt;100000,G$129,100000)/3)/(2/3*IF(G$129&lt;100000,G$129,100000)))^3+3*((N157-IF(G$129&lt;100000,G$129,100000)/3)/(2/3*IF(G$129&lt;100000,G$129,100000)))^2)*(G$101^0.25*5/IF(G$114+G$116&gt;5,G$114+G$116,5)+0.3)-0.3,5*G$101^0.25/IF(G$114+G$116&gt;5,G$114+G$116,5))),0)</f>
        <v>#DIV/0!</v>
      </c>
      <c r="Q157" s="104" t="e">
        <f aca="false">IF(L157&gt;L$144,"|",IF(L156&gt;L$144,"V",""))</f>
        <v>#DIV/0!</v>
      </c>
    </row>
    <row r="158" customFormat="false" ht="15.75" hidden="false" customHeight="false" outlineLevel="0" collapsed="false">
      <c r="A158" s="31"/>
      <c r="B158" s="58" t="n">
        <f aca="false">B157-0.25</f>
        <v>-1.80410034759077</v>
      </c>
      <c r="C158" s="61" t="e">
        <f aca="false">IF(B158&lt;-10,(0.00109375*B158^3+0.036875*B158^2+0.309375*B158+0.635)*(G$111-IF(G$102&lt;40,0.95,IF(G$102&lt;160,-0.0025*G$102+1.05,0.65))*G$102)+IF(G$102&lt;40,0.95,IF(G$102&lt;160,-0.0025*G$102+1.05,0.65))*G$102,IF(B158&lt;-7.5,(0.00128*B158^3+0.0536*B158^2+0.588*B158+1.935)*(G$111-IF(G$102&lt;40,0.95,IF(G$102&lt;160,-0.0025*G$102+1.05,0.65))*G$102)+IF(G$102&lt;40,0.95,IF(G$102&lt;160,-0.0025*G$102+1.05,0.65))*G$102,0))+IF(B158&lt;-7.5,0,IF(B158&lt;-4,(-0.00583090379*B158^3-0.02915451895*B158^2+0.5466472303*B158+3.279883382)*((IF(G$102&lt;40,0.95,IF(G$102&lt;160,-0.0025*G$102+1.05,0.65))*0.7+0.3)-IF(G$102&lt;40,0.95,IF(G$102&lt;160,-0.0025*G$102+1.05,0.65)))+IF(G$102&lt;40,0.95,IF(G$102&lt;160,-0.0025*G$102+1.05,0.65)),0))*G$102+IF(B158&lt;-4,0,(0.00125*((4/(B$150+4))*(B158-B$150))^3+0.0225*((4/(B$150+4))*(B158-B$150))^2+0.32*((4/(B$150+4))*(B158-B$150))+1)*(1-(IF(G$102&lt;40,0.95,IF(G$102&lt;160,-0.0025*G$102+1.05,0.65))*0.7+0.3))+(IF(G$102&lt;40,0.95,IF(G$102&lt;160,-0.0025*G$102+1.05,0.65))*0.7+0.3))*G$102+IF(B158&gt;-4,0.0625*((4/(B$150+4))*(B158-B$150))^2+0.5*((4/(B$150+4))*(B158-B$150))+1,0)*(G$112+G$113-D$151*(-2000*G$87+2000))+IF(G$44&gt;0,IF(B158&lt;-8,0,IF(B158&lt;-4.5,-0.04664723032*B158^3-0.8746355685*B158^2-5.037900875*B158-8.209912536,IF(B158&lt;IF(LOG(G$44)&lt;0,2/3*LOG(G$44)-1,-1),-2*(1/(-4.5-IF(LOG(G$44)&lt;0,2/3*LOG(G$44)-1,-1))*(B158-IF(LOG(G$44)&lt;0,2/3*LOG(G$44)-1,-1)))^3+3*(1/(-4.5-IF(LOG(G$44)&lt;0,2/3*LOG(G$44)-1,-1))*(B158-IF(LOG(G$44)&lt;0,2/3*LOG(G$44)-1,-1)))^2,0))),0)*IF(G$102&gt;81,9*G$102^0.5,G$102)*IF(G$82="None",0,G$82)+IF(B158&lt;-5,0,IF(B158&lt;-3,-0.25*B158^3-3*B158^2-11.25*B158-12.5,IF(B158&lt;-1,0.25*B158^3+1.5*B158^2+2.25*B158+1,0)))*IF((G$44/G$99*F$61)&lt;1,0.3645833333*(G$44/G$99*F$61)^3-1.0625*(G$44/G$99*F$61)^2+1.03125*(G$44/G$99*F$61),1/3)*G$102*IF(G$82="None",1,1-G$82)</f>
        <v>#DIV/0!</v>
      </c>
      <c r="D158" s="60" t="e">
        <f aca="false">(C158-C157)/(E158-E157)</f>
        <v>#DIV/0!</v>
      </c>
      <c r="E158" s="57" t="e">
        <f aca="false">IF(D158=0,(8314.4621*C157*LN(H158/H157)/(-G$99*9.80665*G$103)),C157/D158*(1/(H158/H157)^(8314.4621*D158/(G$99*9.80665*G$103))-1))+E157</f>
        <v>#DIV/0!</v>
      </c>
      <c r="F158" s="57" t="e">
        <f aca="false">F$38*E158/(F$38-E158)</f>
        <v>#DIV/0!</v>
      </c>
      <c r="G158" s="57" t="e">
        <f aca="false">8314.4621*C158/(G$103*G$99*9.80665)</f>
        <v>#DIV/0!</v>
      </c>
      <c r="H158" s="60" t="n">
        <f aca="false">10^B158*101325</f>
        <v>1590.8025</v>
      </c>
      <c r="I158" s="60" t="e">
        <f aca="false">H158/(8314.4621/G$103*C158)</f>
        <v>#DIV/0!</v>
      </c>
      <c r="J158" s="57" t="e">
        <f aca="false">SQRT(8314.4621/G$103*G$105*C158)</f>
        <v>#DIV/0!</v>
      </c>
      <c r="K158" s="57" t="e">
        <f aca="false">IF(F$20&gt;0,SQRT(2*G$98/(F$20+N158)),10000)</f>
        <v>#DIV/0!</v>
      </c>
      <c r="L158" s="60" t="e">
        <f aca="false">I158*K158^2/2</f>
        <v>#DIV/0!</v>
      </c>
      <c r="M158" s="60" t="e">
        <f aca="false">I158*K158^3/2</f>
        <v>#DIV/0!</v>
      </c>
      <c r="N158" s="57" t="e">
        <f aca="false">F158*IF(G$128&gt;0,G$128,0.5)</f>
        <v>#DIV/0!</v>
      </c>
      <c r="O158" s="57" t="e">
        <f aca="false">C158-P158*(G$115+(G$114-G$115)*COS(RADIANS(38)))/2</f>
        <v>#DIV/0!</v>
      </c>
      <c r="P158" s="82" t="e">
        <f aca="false">IF(IF(G$129&lt;100000,G$129,100000)&gt;0,IF(N158&lt;IF(G$129&lt;100000,G$129,100000)/3,0.6*(N158*3/IF(G$129&lt;100000,G$129,100000))^3+0.1*(N158*3/IF(G$129&lt;100000,G$129,100000))^2-2*(N158*3/IF(G$129&lt;100000,G$129,100000))+1,0)+IF(N158&lt;IF(G$129&lt;100000,G$129,100000)/3,0,IF(ROUND(N158,-3)&lt;=IF(G$129&lt;100000,G$129,100000),(-2*((N158-IF(G$129&lt;100000,G$129,100000)/3)/(2/3*IF(G$129&lt;100000,G$129,100000)))^3+3*((N158-IF(G$129&lt;100000,G$129,100000)/3)/(2/3*IF(G$129&lt;100000,G$129,100000)))^2)*(G$101^0.25*5/IF(G$114+G$116&gt;5,G$114+G$116,5)+0.3)-0.3,5*G$101^0.25/IF(G$114+G$116&gt;5,G$114+G$116,5))),0)</f>
        <v>#DIV/0!</v>
      </c>
      <c r="Q158" s="104" t="e">
        <f aca="false">IF(L158&gt;L$144,"|",IF(L157&gt;L$144,"V",""))</f>
        <v>#DIV/0!</v>
      </c>
    </row>
    <row r="159" s="1" customFormat="true" ht="15.75" hidden="false" customHeight="false" outlineLevel="0" collapsed="false">
      <c r="B159" s="58" t="n">
        <f aca="false">B158-0.25</f>
        <v>-2.05410034759077</v>
      </c>
      <c r="C159" s="61" t="e">
        <f aca="false">IF(B159&lt;-10,(0.00109375*B159^3+0.036875*B159^2+0.309375*B159+0.635)*(G$111-IF(G$102&lt;40,0.95,IF(G$102&lt;160,-0.0025*G$102+1.05,0.65))*G$102)+IF(G$102&lt;40,0.95,IF(G$102&lt;160,-0.0025*G$102+1.05,0.65))*G$102,IF(B159&lt;-7.5,(0.00128*B159^3+0.0536*B159^2+0.588*B159+1.935)*(G$111-IF(G$102&lt;40,0.95,IF(G$102&lt;160,-0.0025*G$102+1.05,0.65))*G$102)+IF(G$102&lt;40,0.95,IF(G$102&lt;160,-0.0025*G$102+1.05,0.65))*G$102,0))+IF(B159&lt;-7.5,0,IF(B159&lt;-4,(-0.00583090379*B159^3-0.02915451895*B159^2+0.5466472303*B159+3.279883382)*((IF(G$102&lt;40,0.95,IF(G$102&lt;160,-0.0025*G$102+1.05,0.65))*0.7+0.3)-IF(G$102&lt;40,0.95,IF(G$102&lt;160,-0.0025*G$102+1.05,0.65)))+IF(G$102&lt;40,0.95,IF(G$102&lt;160,-0.0025*G$102+1.05,0.65)),0))*G$102+IF(B159&lt;-4,0,(0.00125*((4/(B$150+4))*(B159-B$150))^3+0.0225*((4/(B$150+4))*(B159-B$150))^2+0.32*((4/(B$150+4))*(B159-B$150))+1)*(1-(IF(G$102&lt;40,0.95,IF(G$102&lt;160,-0.0025*G$102+1.05,0.65))*0.7+0.3))+(IF(G$102&lt;40,0.95,IF(G$102&lt;160,-0.0025*G$102+1.05,0.65))*0.7+0.3))*G$102+IF(B159&gt;-4,0.0625*((4/(B$150+4))*(B159-B$150))^2+0.5*((4/(B$150+4))*(B159-B$150))+1,0)*(G$112+G$113-D$151*(-2000*G$87+2000))+IF(G$44&gt;0,IF(B159&lt;-8,0,IF(B159&lt;-4.5,-0.04664723032*B159^3-0.8746355685*B159^2-5.037900875*B159-8.209912536,IF(B159&lt;IF(LOG(G$44)&lt;0,2/3*LOG(G$44)-1,-1),-2*(1/(-4.5-IF(LOG(G$44)&lt;0,2/3*LOG(G$44)-1,-1))*(B159-IF(LOG(G$44)&lt;0,2/3*LOG(G$44)-1,-1)))^3+3*(1/(-4.5-IF(LOG(G$44)&lt;0,2/3*LOG(G$44)-1,-1))*(B159-IF(LOG(G$44)&lt;0,2/3*LOG(G$44)-1,-1)))^2,0))),0)*IF(G$102&gt;81,9*G$102^0.5,G$102)*IF(G$82="None",0,G$82)+IF(B159&lt;-5,0,IF(B159&lt;-3,-0.25*B159^3-3*B159^2-11.25*B159-12.5,IF(B159&lt;-1,0.25*B159^3+1.5*B159^2+2.25*B159+1,0)))*IF((G$44/G$99*F$61)&lt;1,0.3645833333*(G$44/G$99*F$61)^3-1.0625*(G$44/G$99*F$61)^2+1.03125*(G$44/G$99*F$61),1/3)*G$102*IF(G$82="None",1,1-G$82)</f>
        <v>#DIV/0!</v>
      </c>
      <c r="D159" s="60" t="e">
        <f aca="false">(C159-C158)/(E159-E158)</f>
        <v>#DIV/0!</v>
      </c>
      <c r="E159" s="57" t="e">
        <f aca="false">IF(D159=0,(8314.4621*C158*LN(H159/H158)/(-G$99*9.80665*G$103)),C158/D159*(1/(H159/H158)^(8314.4621*D159/(G$99*9.80665*G$103))-1))+E158</f>
        <v>#DIV/0!</v>
      </c>
      <c r="F159" s="57" t="e">
        <f aca="false">F$38*E159/(F$38-E159)</f>
        <v>#DIV/0!</v>
      </c>
      <c r="G159" s="57" t="e">
        <f aca="false">8314.4621*C159/(G$103*G$99*9.80665)</f>
        <v>#DIV/0!</v>
      </c>
      <c r="H159" s="60" t="n">
        <f aca="false">10^B159*101325</f>
        <v>894.573985966121</v>
      </c>
      <c r="I159" s="60" t="e">
        <f aca="false">H159/(8314.4621/G$103*C159)</f>
        <v>#DIV/0!</v>
      </c>
      <c r="J159" s="57" t="e">
        <f aca="false">SQRT(8314.4621/G$103*G$105*C159)</f>
        <v>#DIV/0!</v>
      </c>
      <c r="K159" s="57" t="e">
        <f aca="false">IF(F$20&gt;0,SQRT(2*G$98/(F$20+N159)),10000)</f>
        <v>#DIV/0!</v>
      </c>
      <c r="L159" s="60" t="e">
        <f aca="false">I159*K159^2/2</f>
        <v>#DIV/0!</v>
      </c>
      <c r="M159" s="60" t="e">
        <f aca="false">I159*K159^3/2</f>
        <v>#DIV/0!</v>
      </c>
      <c r="N159" s="57" t="e">
        <f aca="false">F159*IF(G$128&gt;0,G$128,0.5)</f>
        <v>#DIV/0!</v>
      </c>
      <c r="O159" s="57" t="e">
        <f aca="false">C159-P159*(G$115+(G$114-G$115)*COS(RADIANS(38)))/2</f>
        <v>#DIV/0!</v>
      </c>
      <c r="P159" s="82" t="e">
        <f aca="false">IF(IF(G$129&lt;100000,G$129,100000)&gt;0,IF(N159&lt;IF(G$129&lt;100000,G$129,100000)/3,0.6*(N159*3/IF(G$129&lt;100000,G$129,100000))^3+0.1*(N159*3/IF(G$129&lt;100000,G$129,100000))^2-2*(N159*3/IF(G$129&lt;100000,G$129,100000))+1,0)+IF(N159&lt;IF(G$129&lt;100000,G$129,100000)/3,0,IF(ROUND(N159,-3)&lt;=IF(G$129&lt;100000,G$129,100000),(-2*((N159-IF(G$129&lt;100000,G$129,100000)/3)/(2/3*IF(G$129&lt;100000,G$129,100000)))^3+3*((N159-IF(G$129&lt;100000,G$129,100000)/3)/(2/3*IF(G$129&lt;100000,G$129,100000)))^2)*(G$101^0.25*5/IF(G$114+G$116&gt;5,G$114+G$116,5)+0.3)-0.3,5*G$101^0.25/IF(G$114+G$116&gt;5,G$114+G$116,5))),0)</f>
        <v>#DIV/0!</v>
      </c>
      <c r="Q159" s="104" t="e">
        <f aca="false">IF(L159&gt;L$144,"|",IF(L158&gt;L$144,"V",""))</f>
        <v>#DIV/0!</v>
      </c>
    </row>
    <row r="160" customFormat="false" ht="15.75" hidden="false" customHeight="false" outlineLevel="0" collapsed="false">
      <c r="B160" s="58" t="n">
        <f aca="false">B159-0.25</f>
        <v>-2.30410034759077</v>
      </c>
      <c r="C160" s="61" t="e">
        <f aca="false">IF(B160&lt;-10,(0.00109375*B160^3+0.036875*B160^2+0.309375*B160+0.635)*(G$111-IF(G$102&lt;40,0.95,IF(G$102&lt;160,-0.0025*G$102+1.05,0.65))*G$102)+IF(G$102&lt;40,0.95,IF(G$102&lt;160,-0.0025*G$102+1.05,0.65))*G$102,IF(B160&lt;-7.5,(0.00128*B160^3+0.0536*B160^2+0.588*B160+1.935)*(G$111-IF(G$102&lt;40,0.95,IF(G$102&lt;160,-0.0025*G$102+1.05,0.65))*G$102)+IF(G$102&lt;40,0.95,IF(G$102&lt;160,-0.0025*G$102+1.05,0.65))*G$102,0))+IF(B160&lt;-7.5,0,IF(B160&lt;-4,(-0.00583090379*B160^3-0.02915451895*B160^2+0.5466472303*B160+3.279883382)*((IF(G$102&lt;40,0.95,IF(G$102&lt;160,-0.0025*G$102+1.05,0.65))*0.7+0.3)-IF(G$102&lt;40,0.95,IF(G$102&lt;160,-0.0025*G$102+1.05,0.65)))+IF(G$102&lt;40,0.95,IF(G$102&lt;160,-0.0025*G$102+1.05,0.65)),0))*G$102+IF(B160&lt;-4,0,(0.00125*((4/(B$150+4))*(B160-B$150))^3+0.0225*((4/(B$150+4))*(B160-B$150))^2+0.32*((4/(B$150+4))*(B160-B$150))+1)*(1-(IF(G$102&lt;40,0.95,IF(G$102&lt;160,-0.0025*G$102+1.05,0.65))*0.7+0.3))+(IF(G$102&lt;40,0.95,IF(G$102&lt;160,-0.0025*G$102+1.05,0.65))*0.7+0.3))*G$102+IF(B160&gt;-4,0.0625*((4/(B$150+4))*(B160-B$150))^2+0.5*((4/(B$150+4))*(B160-B$150))+1,0)*(G$112+G$113-D$151*(-2000*G$87+2000))+IF(G$44&gt;0,IF(B160&lt;-8,0,IF(B160&lt;-4.5,-0.04664723032*B160^3-0.8746355685*B160^2-5.037900875*B160-8.209912536,IF(B160&lt;IF(LOG(G$44)&lt;0,2/3*LOG(G$44)-1,-1),-2*(1/(-4.5-IF(LOG(G$44)&lt;0,2/3*LOG(G$44)-1,-1))*(B160-IF(LOG(G$44)&lt;0,2/3*LOG(G$44)-1,-1)))^3+3*(1/(-4.5-IF(LOG(G$44)&lt;0,2/3*LOG(G$44)-1,-1))*(B160-IF(LOG(G$44)&lt;0,2/3*LOG(G$44)-1,-1)))^2,0))),0)*IF(G$102&gt;81,9*G$102^0.5,G$102)*IF(G$82="None",0,G$82)+IF(B160&lt;-5,0,IF(B160&lt;-3,-0.25*B160^3-3*B160^2-11.25*B160-12.5,IF(B160&lt;-1,0.25*B160^3+1.5*B160^2+2.25*B160+1,0)))*IF((G$44/G$99*F$61)&lt;1,0.3645833333*(G$44/G$99*F$61)^3-1.0625*(G$44/G$99*F$61)^2+1.03125*(G$44/G$99*F$61),1/3)*G$102*IF(G$82="None",1,1-G$82)</f>
        <v>#DIV/0!</v>
      </c>
      <c r="D160" s="60" t="e">
        <f aca="false">(C160-C159)/(E160-E159)</f>
        <v>#DIV/0!</v>
      </c>
      <c r="E160" s="57" t="e">
        <f aca="false">IF(D160=0,(8314.4621*C159*LN(H160/H159)/(-G$99*9.80665*G$103)),C159/D160*(1/(H160/H159)^(8314.4621*D160/(G$99*9.80665*G$103))-1))+E159</f>
        <v>#DIV/0!</v>
      </c>
      <c r="F160" s="57" t="e">
        <f aca="false">F$38*E160/(F$38-E160)</f>
        <v>#DIV/0!</v>
      </c>
      <c r="G160" s="57" t="e">
        <f aca="false">8314.4621*C160/(G$103*G$99*9.80665)</f>
        <v>#DIV/0!</v>
      </c>
      <c r="H160" s="60" t="n">
        <f aca="false">10^B160*101325</f>
        <v>503.055920749001</v>
      </c>
      <c r="I160" s="60" t="e">
        <f aca="false">H160/(8314.4621/G$103*C160)</f>
        <v>#DIV/0!</v>
      </c>
      <c r="J160" s="57" t="e">
        <f aca="false">SQRT(8314.4621/G$103*G$105*C160)</f>
        <v>#DIV/0!</v>
      </c>
      <c r="K160" s="57" t="e">
        <f aca="false">IF(F$20&gt;0,SQRT(2*G$98/(F$20+N160)),10000)</f>
        <v>#DIV/0!</v>
      </c>
      <c r="L160" s="60" t="e">
        <f aca="false">I160*K160^2/2</f>
        <v>#DIV/0!</v>
      </c>
      <c r="M160" s="60" t="e">
        <f aca="false">I160*K160^3/2</f>
        <v>#DIV/0!</v>
      </c>
      <c r="N160" s="57" t="e">
        <f aca="false">F160*IF(G$128&gt;0,G$128,0.5)</f>
        <v>#DIV/0!</v>
      </c>
      <c r="O160" s="57" t="e">
        <f aca="false">C160-P160*(G$115+(G$114-G$115)*COS(RADIANS(38)))/2</f>
        <v>#DIV/0!</v>
      </c>
      <c r="P160" s="82" t="e">
        <f aca="false">IF(IF(G$129&lt;100000,G$129,100000)&gt;0,IF(N160&lt;IF(G$129&lt;100000,G$129,100000)/3,0.6*(N160*3/IF(G$129&lt;100000,G$129,100000))^3+0.1*(N160*3/IF(G$129&lt;100000,G$129,100000))^2-2*(N160*3/IF(G$129&lt;100000,G$129,100000))+1,0)+IF(N160&lt;IF(G$129&lt;100000,G$129,100000)/3,0,IF(ROUND(N160,-3)&lt;=IF(G$129&lt;100000,G$129,100000),(-2*((N160-IF(G$129&lt;100000,G$129,100000)/3)/(2/3*IF(G$129&lt;100000,G$129,100000)))^3+3*((N160-IF(G$129&lt;100000,G$129,100000)/3)/(2/3*IF(G$129&lt;100000,G$129,100000)))^2)*(G$101^0.25*5/IF(G$114+G$116&gt;5,G$114+G$116,5)+0.3)-0.3,5*G$101^0.25/IF(G$114+G$116&gt;5,G$114+G$116,5))),0)</f>
        <v>#DIV/0!</v>
      </c>
      <c r="Q160" s="104" t="e">
        <f aca="false">IF(L160&gt;L$144,"|",IF(L159&gt;L$144,"V",""))</f>
        <v>#DIV/0!</v>
      </c>
    </row>
    <row r="161" customFormat="false" ht="15.75" hidden="false" customHeight="false" outlineLevel="0" collapsed="false">
      <c r="B161" s="58" t="n">
        <f aca="false">B160-0.25</f>
        <v>-2.55410034759077</v>
      </c>
      <c r="C161" s="61" t="e">
        <f aca="false">IF(B161&lt;-10,(0.00109375*B161^3+0.036875*B161^2+0.309375*B161+0.635)*(G$111-IF(G$102&lt;40,0.95,IF(G$102&lt;160,-0.0025*G$102+1.05,0.65))*G$102)+IF(G$102&lt;40,0.95,IF(G$102&lt;160,-0.0025*G$102+1.05,0.65))*G$102,IF(B161&lt;-7.5,(0.00128*B161^3+0.0536*B161^2+0.588*B161+1.935)*(G$111-IF(G$102&lt;40,0.95,IF(G$102&lt;160,-0.0025*G$102+1.05,0.65))*G$102)+IF(G$102&lt;40,0.95,IF(G$102&lt;160,-0.0025*G$102+1.05,0.65))*G$102,0))+IF(B161&lt;-7.5,0,IF(B161&lt;-4,(-0.00583090379*B161^3-0.02915451895*B161^2+0.5466472303*B161+3.279883382)*((IF(G$102&lt;40,0.95,IF(G$102&lt;160,-0.0025*G$102+1.05,0.65))*0.7+0.3)-IF(G$102&lt;40,0.95,IF(G$102&lt;160,-0.0025*G$102+1.05,0.65)))+IF(G$102&lt;40,0.95,IF(G$102&lt;160,-0.0025*G$102+1.05,0.65)),0))*G$102+IF(B161&lt;-4,0,(0.00125*((4/(B$150+4))*(B161-B$150))^3+0.0225*((4/(B$150+4))*(B161-B$150))^2+0.32*((4/(B$150+4))*(B161-B$150))+1)*(1-(IF(G$102&lt;40,0.95,IF(G$102&lt;160,-0.0025*G$102+1.05,0.65))*0.7+0.3))+(IF(G$102&lt;40,0.95,IF(G$102&lt;160,-0.0025*G$102+1.05,0.65))*0.7+0.3))*G$102+IF(B161&gt;-4,0.0625*((4/(B$150+4))*(B161-B$150))^2+0.5*((4/(B$150+4))*(B161-B$150))+1,0)*(G$112+G$113-D$151*(-2000*G$87+2000))+IF(G$44&gt;0,IF(B161&lt;-8,0,IF(B161&lt;-4.5,-0.04664723032*B161^3-0.8746355685*B161^2-5.037900875*B161-8.209912536,IF(B161&lt;IF(LOG(G$44)&lt;0,2/3*LOG(G$44)-1,-1),-2*(1/(-4.5-IF(LOG(G$44)&lt;0,2/3*LOG(G$44)-1,-1))*(B161-IF(LOG(G$44)&lt;0,2/3*LOG(G$44)-1,-1)))^3+3*(1/(-4.5-IF(LOG(G$44)&lt;0,2/3*LOG(G$44)-1,-1))*(B161-IF(LOG(G$44)&lt;0,2/3*LOG(G$44)-1,-1)))^2,0))),0)*IF(G$102&gt;81,9*G$102^0.5,G$102)*IF(G$82="None",0,G$82)+IF(B161&lt;-5,0,IF(B161&lt;-3,-0.25*B161^3-3*B161^2-11.25*B161-12.5,IF(B161&lt;-1,0.25*B161^3+1.5*B161^2+2.25*B161+1,0)))*IF((G$44/G$99*F$61)&lt;1,0.3645833333*(G$44/G$99*F$61)^3-1.0625*(G$44/G$99*F$61)^2+1.03125*(G$44/G$99*F$61),1/3)*G$102*IF(G$82="None",1,1-G$82)</f>
        <v>#DIV/0!</v>
      </c>
      <c r="D161" s="60" t="e">
        <f aca="false">(C161-C160)/(E161-E160)</f>
        <v>#DIV/0!</v>
      </c>
      <c r="E161" s="57" t="e">
        <f aca="false">IF(D161=0,(8314.4621*C160*LN(H161/H160)/(-G$99*9.80665*G$103)),C160/D161*(1/(H161/H160)^(8314.4621*D161/(G$99*9.80665*G$103))-1))+E160</f>
        <v>#DIV/0!</v>
      </c>
      <c r="F161" s="57" t="e">
        <f aca="false">F$38*E161/(F$38-E161)</f>
        <v>#DIV/0!</v>
      </c>
      <c r="G161" s="57" t="e">
        <f aca="false">8314.4621*C161/(G$103*G$99*9.80665)</f>
        <v>#DIV/0!</v>
      </c>
      <c r="H161" s="60" t="n">
        <f aca="false">10^B161*101325</f>
        <v>282.889133118844</v>
      </c>
      <c r="I161" s="60" t="e">
        <f aca="false">H161/(8314.4621/G$103*C161)</f>
        <v>#DIV/0!</v>
      </c>
      <c r="J161" s="57" t="e">
        <f aca="false">SQRT(8314.4621/G$103*G$105*C161)</f>
        <v>#DIV/0!</v>
      </c>
      <c r="K161" s="57" t="e">
        <f aca="false">IF(F$20&gt;0,SQRT(2*G$98/(F$20+N161)),10000)</f>
        <v>#DIV/0!</v>
      </c>
      <c r="L161" s="60" t="e">
        <f aca="false">I161*K161^2/2</f>
        <v>#DIV/0!</v>
      </c>
      <c r="M161" s="60" t="e">
        <f aca="false">I161*K161^3/2</f>
        <v>#DIV/0!</v>
      </c>
      <c r="N161" s="57" t="e">
        <f aca="false">F161*IF(G$128&gt;0,G$128,0.5)</f>
        <v>#DIV/0!</v>
      </c>
      <c r="O161" s="57" t="e">
        <f aca="false">C161-P161*(G$115+(G$114-G$115)*COS(RADIANS(38)))/2</f>
        <v>#DIV/0!</v>
      </c>
      <c r="P161" s="82" t="e">
        <f aca="false">IF(IF(G$129&lt;100000,G$129,100000)&gt;0,IF(N161&lt;IF(G$129&lt;100000,G$129,100000)/3,0.6*(N161*3/IF(G$129&lt;100000,G$129,100000))^3+0.1*(N161*3/IF(G$129&lt;100000,G$129,100000))^2-2*(N161*3/IF(G$129&lt;100000,G$129,100000))+1,0)+IF(N161&lt;IF(G$129&lt;100000,G$129,100000)/3,0,IF(ROUND(N161,-3)&lt;=IF(G$129&lt;100000,G$129,100000),(-2*((N161-IF(G$129&lt;100000,G$129,100000)/3)/(2/3*IF(G$129&lt;100000,G$129,100000)))^3+3*((N161-IF(G$129&lt;100000,G$129,100000)/3)/(2/3*IF(G$129&lt;100000,G$129,100000)))^2)*(G$101^0.25*5/IF(G$114+G$116&gt;5,G$114+G$116,5)+0.3)-0.3,5*G$101^0.25/IF(G$114+G$116&gt;5,G$114+G$116,5))),0)</f>
        <v>#DIV/0!</v>
      </c>
      <c r="Q161" s="104" t="e">
        <f aca="false">IF(L161&gt;L$144,"|",IF(L160&gt;L$144,"V",""))</f>
        <v>#DIV/0!</v>
      </c>
    </row>
    <row r="162" customFormat="false" ht="15.75" hidden="false" customHeight="false" outlineLevel="0" collapsed="false">
      <c r="B162" s="58" t="n">
        <f aca="false">B161-0.25</f>
        <v>-2.80410034759077</v>
      </c>
      <c r="C162" s="61" t="e">
        <f aca="false">IF(B162&lt;-10,(0.00109375*B162^3+0.036875*B162^2+0.309375*B162+0.635)*(G$111-IF(G$102&lt;40,0.95,IF(G$102&lt;160,-0.0025*G$102+1.05,0.65))*G$102)+IF(G$102&lt;40,0.95,IF(G$102&lt;160,-0.0025*G$102+1.05,0.65))*G$102,IF(B162&lt;-7.5,(0.00128*B162^3+0.0536*B162^2+0.588*B162+1.935)*(G$111-IF(G$102&lt;40,0.95,IF(G$102&lt;160,-0.0025*G$102+1.05,0.65))*G$102)+IF(G$102&lt;40,0.95,IF(G$102&lt;160,-0.0025*G$102+1.05,0.65))*G$102,0))+IF(B162&lt;-7.5,0,IF(B162&lt;-4,(-0.00583090379*B162^3-0.02915451895*B162^2+0.5466472303*B162+3.279883382)*((IF(G$102&lt;40,0.95,IF(G$102&lt;160,-0.0025*G$102+1.05,0.65))*0.7+0.3)-IF(G$102&lt;40,0.95,IF(G$102&lt;160,-0.0025*G$102+1.05,0.65)))+IF(G$102&lt;40,0.95,IF(G$102&lt;160,-0.0025*G$102+1.05,0.65)),0))*G$102+IF(B162&lt;-4,0,(0.00125*((4/(B$150+4))*(B162-B$150))^3+0.0225*((4/(B$150+4))*(B162-B$150))^2+0.32*((4/(B$150+4))*(B162-B$150))+1)*(1-(IF(G$102&lt;40,0.95,IF(G$102&lt;160,-0.0025*G$102+1.05,0.65))*0.7+0.3))+(IF(G$102&lt;40,0.95,IF(G$102&lt;160,-0.0025*G$102+1.05,0.65))*0.7+0.3))*G$102+IF(B162&gt;-4,0.0625*((4/(B$150+4))*(B162-B$150))^2+0.5*((4/(B$150+4))*(B162-B$150))+1,0)*(G$112+G$113-D$151*(-2000*G$87+2000))+IF(G$44&gt;0,IF(B162&lt;-8,0,IF(B162&lt;-4.5,-0.04664723032*B162^3-0.8746355685*B162^2-5.037900875*B162-8.209912536,IF(B162&lt;IF(LOG(G$44)&lt;0,2/3*LOG(G$44)-1,-1),-2*(1/(-4.5-IF(LOG(G$44)&lt;0,2/3*LOG(G$44)-1,-1))*(B162-IF(LOG(G$44)&lt;0,2/3*LOG(G$44)-1,-1)))^3+3*(1/(-4.5-IF(LOG(G$44)&lt;0,2/3*LOG(G$44)-1,-1))*(B162-IF(LOG(G$44)&lt;0,2/3*LOG(G$44)-1,-1)))^2,0))),0)*IF(G$102&gt;81,9*G$102^0.5,G$102)*IF(G$82="None",0,G$82)+IF(B162&lt;-5,0,IF(B162&lt;-3,-0.25*B162^3-3*B162^2-11.25*B162-12.5,IF(B162&lt;-1,0.25*B162^3+1.5*B162^2+2.25*B162+1,0)))*IF((G$44/G$99*F$61)&lt;1,0.3645833333*(G$44/G$99*F$61)^3-1.0625*(G$44/G$99*F$61)^2+1.03125*(G$44/G$99*F$61),1/3)*G$102*IF(G$82="None",1,1-G$82)</f>
        <v>#DIV/0!</v>
      </c>
      <c r="D162" s="60" t="e">
        <f aca="false">(C162-C161)/(E162-E161)</f>
        <v>#DIV/0!</v>
      </c>
      <c r="E162" s="57" t="e">
        <f aca="false">IF(D162=0,(8314.4621*C161*LN(H162/H161)/(-G$99*9.80665*G$103)),C161/D162*(1/(H162/H161)^(8314.4621*D162/(G$99*9.80665*G$103))-1))+E161</f>
        <v>#DIV/0!</v>
      </c>
      <c r="F162" s="57" t="e">
        <f aca="false">F$38*E162/(F$38-E162)</f>
        <v>#DIV/0!</v>
      </c>
      <c r="G162" s="57" t="e">
        <f aca="false">8314.4621*C162/(G$103*G$99*9.80665)</f>
        <v>#DIV/0!</v>
      </c>
      <c r="H162" s="60" t="n">
        <f aca="false">10^B162*101325</f>
        <v>159.08025</v>
      </c>
      <c r="I162" s="60" t="e">
        <f aca="false">H162/(8314.4621/G$103*C162)</f>
        <v>#DIV/0!</v>
      </c>
      <c r="J162" s="57" t="e">
        <f aca="false">SQRT(8314.4621/G$103*G$105*C162)</f>
        <v>#DIV/0!</v>
      </c>
      <c r="K162" s="57" t="e">
        <f aca="false">IF(F$20&gt;0,SQRT(2*G$98/(F$20+N162)),10000)</f>
        <v>#DIV/0!</v>
      </c>
      <c r="L162" s="60" t="e">
        <f aca="false">I162*K162^2/2</f>
        <v>#DIV/0!</v>
      </c>
      <c r="M162" s="60" t="e">
        <f aca="false">I162*K162^3/2</f>
        <v>#DIV/0!</v>
      </c>
      <c r="N162" s="57" t="e">
        <f aca="false">F162*IF(G$128&gt;0,G$128,0.5)</f>
        <v>#DIV/0!</v>
      </c>
      <c r="O162" s="57" t="e">
        <f aca="false">C162-P162*(G$115+(G$114-G$115)*COS(RADIANS(38)))/2</f>
        <v>#DIV/0!</v>
      </c>
      <c r="P162" s="82" t="e">
        <f aca="false">IF(IF(G$129&lt;100000,G$129,100000)&gt;0,IF(N162&lt;IF(G$129&lt;100000,G$129,100000)/3,0.6*(N162*3/IF(G$129&lt;100000,G$129,100000))^3+0.1*(N162*3/IF(G$129&lt;100000,G$129,100000))^2-2*(N162*3/IF(G$129&lt;100000,G$129,100000))+1,0)+IF(N162&lt;IF(G$129&lt;100000,G$129,100000)/3,0,IF(ROUND(N162,-3)&lt;=IF(G$129&lt;100000,G$129,100000),(-2*((N162-IF(G$129&lt;100000,G$129,100000)/3)/(2/3*IF(G$129&lt;100000,G$129,100000)))^3+3*((N162-IF(G$129&lt;100000,G$129,100000)/3)/(2/3*IF(G$129&lt;100000,G$129,100000)))^2)*(G$101^0.25*5/IF(G$114+G$116&gt;5,G$114+G$116,5)+0.3)-0.3,5*G$101^0.25/IF(G$114+G$116&gt;5,G$114+G$116,5))),0)</f>
        <v>#DIV/0!</v>
      </c>
      <c r="Q162" s="104" t="e">
        <f aca="false">IF(L162&gt;L$144,"|",IF(L161&gt;L$144,"V",""))</f>
        <v>#DIV/0!</v>
      </c>
    </row>
    <row r="163" customFormat="false" ht="15.75" hidden="false" customHeight="false" outlineLevel="0" collapsed="false">
      <c r="B163" s="58" t="n">
        <f aca="false">B162-0.25</f>
        <v>-3.05410034759077</v>
      </c>
      <c r="C163" s="61" t="e">
        <f aca="false">IF(B163&lt;-10,(0.00109375*B163^3+0.036875*B163^2+0.309375*B163+0.635)*(G$111-IF(G$102&lt;40,0.95,IF(G$102&lt;160,-0.0025*G$102+1.05,0.65))*G$102)+IF(G$102&lt;40,0.95,IF(G$102&lt;160,-0.0025*G$102+1.05,0.65))*G$102,IF(B163&lt;-7.5,(0.00128*B163^3+0.0536*B163^2+0.588*B163+1.935)*(G$111-IF(G$102&lt;40,0.95,IF(G$102&lt;160,-0.0025*G$102+1.05,0.65))*G$102)+IF(G$102&lt;40,0.95,IF(G$102&lt;160,-0.0025*G$102+1.05,0.65))*G$102,0))+IF(B163&lt;-7.5,0,IF(B163&lt;-4,(-0.00583090379*B163^3-0.02915451895*B163^2+0.5466472303*B163+3.279883382)*((IF(G$102&lt;40,0.95,IF(G$102&lt;160,-0.0025*G$102+1.05,0.65))*0.7+0.3)-IF(G$102&lt;40,0.95,IF(G$102&lt;160,-0.0025*G$102+1.05,0.65)))+IF(G$102&lt;40,0.95,IF(G$102&lt;160,-0.0025*G$102+1.05,0.65)),0))*G$102+IF(B163&lt;-4,0,(0.00125*((4/(B$150+4))*(B163-B$150))^3+0.0225*((4/(B$150+4))*(B163-B$150))^2+0.32*((4/(B$150+4))*(B163-B$150))+1)*(1-(IF(G$102&lt;40,0.95,IF(G$102&lt;160,-0.0025*G$102+1.05,0.65))*0.7+0.3))+(IF(G$102&lt;40,0.95,IF(G$102&lt;160,-0.0025*G$102+1.05,0.65))*0.7+0.3))*G$102+IF(B163&gt;-4,0.0625*((4/(B$150+4))*(B163-B$150))^2+0.5*((4/(B$150+4))*(B163-B$150))+1,0)*(G$112+G$113-D$151*(-2000*G$87+2000))+IF(G$44&gt;0,IF(B163&lt;-8,0,IF(B163&lt;-4.5,-0.04664723032*B163^3-0.8746355685*B163^2-5.037900875*B163-8.209912536,IF(B163&lt;IF(LOG(G$44)&lt;0,2/3*LOG(G$44)-1,-1),-2*(1/(-4.5-IF(LOG(G$44)&lt;0,2/3*LOG(G$44)-1,-1))*(B163-IF(LOG(G$44)&lt;0,2/3*LOG(G$44)-1,-1)))^3+3*(1/(-4.5-IF(LOG(G$44)&lt;0,2/3*LOG(G$44)-1,-1))*(B163-IF(LOG(G$44)&lt;0,2/3*LOG(G$44)-1,-1)))^2,0))),0)*IF(G$102&gt;81,9*G$102^0.5,G$102)*IF(G$82="None",0,G$82)+IF(B163&lt;-5,0,IF(B163&lt;-3,-0.25*B163^3-3*B163^2-11.25*B163-12.5,IF(B163&lt;-1,0.25*B163^3+1.5*B163^2+2.25*B163+1,0)))*IF((G$44/G$99*F$61)&lt;1,0.3645833333*(G$44/G$99*F$61)^3-1.0625*(G$44/G$99*F$61)^2+1.03125*(G$44/G$99*F$61),1/3)*G$102*IF(G$82="None",1,1-G$82)</f>
        <v>#DIV/0!</v>
      </c>
      <c r="D163" s="60" t="e">
        <f aca="false">(C163-C162)/(E163-E162)</f>
        <v>#DIV/0!</v>
      </c>
      <c r="E163" s="57" t="e">
        <f aca="false">IF(D163=0,(8314.4621*C162*LN(H163/H162)/(-G$99*9.80665*G$103)),C162/D163*(1/(H163/H162)^(8314.4621*D163/(G$99*9.80665*G$103))-1))+E162</f>
        <v>#DIV/0!</v>
      </c>
      <c r="F163" s="57" t="e">
        <f aca="false">F$38*E163/(F$38-E163)</f>
        <v>#DIV/0!</v>
      </c>
      <c r="G163" s="57" t="e">
        <f aca="false">8314.4621*C163/(G$103*G$99*9.80665)</f>
        <v>#DIV/0!</v>
      </c>
      <c r="H163" s="60" t="n">
        <f aca="false">10^B163*101325</f>
        <v>89.4573985966121</v>
      </c>
      <c r="I163" s="60" t="e">
        <f aca="false">H163/(8314.4621/G$103*C163)</f>
        <v>#DIV/0!</v>
      </c>
      <c r="J163" s="57" t="e">
        <f aca="false">SQRT(8314.4621/G$103*G$105*C163)</f>
        <v>#DIV/0!</v>
      </c>
      <c r="K163" s="57" t="e">
        <f aca="false">IF(F$20&gt;0,SQRT(2*G$98/(F$20+N163)),10000)</f>
        <v>#DIV/0!</v>
      </c>
      <c r="L163" s="60" t="e">
        <f aca="false">I163*K163^2/2</f>
        <v>#DIV/0!</v>
      </c>
      <c r="M163" s="60" t="e">
        <f aca="false">I163*K163^3/2</f>
        <v>#DIV/0!</v>
      </c>
      <c r="N163" s="57" t="e">
        <f aca="false">F163*IF(G$128&gt;0,G$128,0.5)</f>
        <v>#DIV/0!</v>
      </c>
      <c r="O163" s="57" t="e">
        <f aca="false">C163-P163*(G$115+(G$114-G$115)*COS(RADIANS(38)))/2</f>
        <v>#DIV/0!</v>
      </c>
      <c r="P163" s="82" t="e">
        <f aca="false">IF(IF(G$129&lt;100000,G$129,100000)&gt;0,IF(N163&lt;IF(G$129&lt;100000,G$129,100000)/3,0.6*(N163*3/IF(G$129&lt;100000,G$129,100000))^3+0.1*(N163*3/IF(G$129&lt;100000,G$129,100000))^2-2*(N163*3/IF(G$129&lt;100000,G$129,100000))+1,0)+IF(N163&lt;IF(G$129&lt;100000,G$129,100000)/3,0,IF(ROUND(N163,-3)&lt;=IF(G$129&lt;100000,G$129,100000),(-2*((N163-IF(G$129&lt;100000,G$129,100000)/3)/(2/3*IF(G$129&lt;100000,G$129,100000)))^3+3*((N163-IF(G$129&lt;100000,G$129,100000)/3)/(2/3*IF(G$129&lt;100000,G$129,100000)))^2)*(G$101^0.25*5/IF(G$114+G$116&gt;5,G$114+G$116,5)+0.3)-0.3,5*G$101^0.25/IF(G$114+G$116&gt;5,G$114+G$116,5))),0)</f>
        <v>#DIV/0!</v>
      </c>
      <c r="Q163" s="104" t="e">
        <f aca="false">IF(L163&gt;L$144,"|",IF(L162&gt;L$144,"V",""))</f>
        <v>#DIV/0!</v>
      </c>
    </row>
    <row r="164" s="1" customFormat="true" ht="15.75" hidden="false" customHeight="false" outlineLevel="0" collapsed="false">
      <c r="B164" s="58" t="n">
        <f aca="false">B163-0.25</f>
        <v>-3.30410034759077</v>
      </c>
      <c r="C164" s="61" t="e">
        <f aca="false">IF(B164&lt;-10,(0.00109375*B164^3+0.036875*B164^2+0.309375*B164+0.635)*(G$111-IF(G$102&lt;40,0.95,IF(G$102&lt;160,-0.0025*G$102+1.05,0.65))*G$102)+IF(G$102&lt;40,0.95,IF(G$102&lt;160,-0.0025*G$102+1.05,0.65))*G$102,IF(B164&lt;-7.5,(0.00128*B164^3+0.0536*B164^2+0.588*B164+1.935)*(G$111-IF(G$102&lt;40,0.95,IF(G$102&lt;160,-0.0025*G$102+1.05,0.65))*G$102)+IF(G$102&lt;40,0.95,IF(G$102&lt;160,-0.0025*G$102+1.05,0.65))*G$102,0))+IF(B164&lt;-7.5,0,IF(B164&lt;-4,(-0.00583090379*B164^3-0.02915451895*B164^2+0.5466472303*B164+3.279883382)*((IF(G$102&lt;40,0.95,IF(G$102&lt;160,-0.0025*G$102+1.05,0.65))*0.7+0.3)-IF(G$102&lt;40,0.95,IF(G$102&lt;160,-0.0025*G$102+1.05,0.65)))+IF(G$102&lt;40,0.95,IF(G$102&lt;160,-0.0025*G$102+1.05,0.65)),0))*G$102+IF(B164&lt;-4,0,(0.00125*((4/(B$150+4))*(B164-B$150))^3+0.0225*((4/(B$150+4))*(B164-B$150))^2+0.32*((4/(B$150+4))*(B164-B$150))+1)*(1-(IF(G$102&lt;40,0.95,IF(G$102&lt;160,-0.0025*G$102+1.05,0.65))*0.7+0.3))+(IF(G$102&lt;40,0.95,IF(G$102&lt;160,-0.0025*G$102+1.05,0.65))*0.7+0.3))*G$102+IF(B164&gt;-4,0.0625*((4/(B$150+4))*(B164-B$150))^2+0.5*((4/(B$150+4))*(B164-B$150))+1,0)*(G$112+G$113-D$151*(-2000*G$87+2000))+IF(G$44&gt;0,IF(B164&lt;-8,0,IF(B164&lt;-4.5,-0.04664723032*B164^3-0.8746355685*B164^2-5.037900875*B164-8.209912536,IF(B164&lt;IF(LOG(G$44)&lt;0,2/3*LOG(G$44)-1,-1),-2*(1/(-4.5-IF(LOG(G$44)&lt;0,2/3*LOG(G$44)-1,-1))*(B164-IF(LOG(G$44)&lt;0,2/3*LOG(G$44)-1,-1)))^3+3*(1/(-4.5-IF(LOG(G$44)&lt;0,2/3*LOG(G$44)-1,-1))*(B164-IF(LOG(G$44)&lt;0,2/3*LOG(G$44)-1,-1)))^2,0))),0)*IF(G$102&gt;81,9*G$102^0.5,G$102)*IF(G$82="None",0,G$82)+IF(B164&lt;-5,0,IF(B164&lt;-3,-0.25*B164^3-3*B164^2-11.25*B164-12.5,IF(B164&lt;-1,0.25*B164^3+1.5*B164^2+2.25*B164+1,0)))*IF((G$44/G$99*F$61)&lt;1,0.3645833333*(G$44/G$99*F$61)^3-1.0625*(G$44/G$99*F$61)^2+1.03125*(G$44/G$99*F$61),1/3)*G$102*IF(G$82="None",1,1-G$82)</f>
        <v>#DIV/0!</v>
      </c>
      <c r="D164" s="60" t="e">
        <f aca="false">(C164-C163)/(E164-E163)</f>
        <v>#DIV/0!</v>
      </c>
      <c r="E164" s="57" t="e">
        <f aca="false">IF(D164=0,(8314.4621*C163*LN(H164/H163)/(-G$99*9.80665*G$103)),C163/D164*(1/(H164/H163)^(8314.4621*D164/(G$99*9.80665*G$103))-1))+E163</f>
        <v>#DIV/0!</v>
      </c>
      <c r="F164" s="57" t="e">
        <f aca="false">F$38*E164/(F$38-E164)</f>
        <v>#DIV/0!</v>
      </c>
      <c r="G164" s="57" t="e">
        <f aca="false">8314.4621*C164/(G$103*G$99*9.80665)</f>
        <v>#DIV/0!</v>
      </c>
      <c r="H164" s="60" t="n">
        <f aca="false">10^B164*101325</f>
        <v>50.3055920749001</v>
      </c>
      <c r="I164" s="60" t="e">
        <f aca="false">H164/(8314.4621/G$103*C164)</f>
        <v>#DIV/0!</v>
      </c>
      <c r="J164" s="57" t="e">
        <f aca="false">SQRT(8314.4621/G$103*G$105*C164)</f>
        <v>#DIV/0!</v>
      </c>
      <c r="K164" s="57" t="e">
        <f aca="false">IF(F$20&gt;0,SQRT(2*G$98/(F$20+N164)),10000)</f>
        <v>#DIV/0!</v>
      </c>
      <c r="L164" s="60" t="e">
        <f aca="false">I164*K164^2/2</f>
        <v>#DIV/0!</v>
      </c>
      <c r="M164" s="60" t="e">
        <f aca="false">I164*K164^3/2</f>
        <v>#DIV/0!</v>
      </c>
      <c r="N164" s="57" t="e">
        <f aca="false">F164*IF(G$128&gt;0,G$128,0.5)</f>
        <v>#DIV/0!</v>
      </c>
      <c r="O164" s="57" t="e">
        <f aca="false">C164-P164*(G$115+(G$114-G$115)*COS(RADIANS(38)))/2</f>
        <v>#DIV/0!</v>
      </c>
      <c r="P164" s="82" t="e">
        <f aca="false">IF(IF(G$129&lt;100000,G$129,100000)&gt;0,IF(N164&lt;IF(G$129&lt;100000,G$129,100000)/3,0.6*(N164*3/IF(G$129&lt;100000,G$129,100000))^3+0.1*(N164*3/IF(G$129&lt;100000,G$129,100000))^2-2*(N164*3/IF(G$129&lt;100000,G$129,100000))+1,0)+IF(N164&lt;IF(G$129&lt;100000,G$129,100000)/3,0,IF(ROUND(N164,-3)&lt;=IF(G$129&lt;100000,G$129,100000),(-2*((N164-IF(G$129&lt;100000,G$129,100000)/3)/(2/3*IF(G$129&lt;100000,G$129,100000)))^3+3*((N164-IF(G$129&lt;100000,G$129,100000)/3)/(2/3*IF(G$129&lt;100000,G$129,100000)))^2)*(G$101^0.25*5/IF(G$114+G$116&gt;5,G$114+G$116,5)+0.3)-0.3,5*G$101^0.25/IF(G$114+G$116&gt;5,G$114+G$116,5))),0)</f>
        <v>#DIV/0!</v>
      </c>
      <c r="Q164" s="104" t="e">
        <f aca="false">IF(L164&gt;L$144,"|",IF(L163&gt;L$144,"V",""))</f>
        <v>#DIV/0!</v>
      </c>
    </row>
    <row r="165" s="1" customFormat="true" ht="15.75" hidden="false" customHeight="false" outlineLevel="0" collapsed="false">
      <c r="B165" s="58" t="n">
        <f aca="false">B164-0.25</f>
        <v>-3.55410034759077</v>
      </c>
      <c r="C165" s="61" t="e">
        <f aca="false">IF(B165&lt;-10,(0.00109375*B165^3+0.036875*B165^2+0.309375*B165+0.635)*(G$111-IF(G$102&lt;40,0.95,IF(G$102&lt;160,-0.0025*G$102+1.05,0.65))*G$102)+IF(G$102&lt;40,0.95,IF(G$102&lt;160,-0.0025*G$102+1.05,0.65))*G$102,IF(B165&lt;-7.5,(0.00128*B165^3+0.0536*B165^2+0.588*B165+1.935)*(G$111-IF(G$102&lt;40,0.95,IF(G$102&lt;160,-0.0025*G$102+1.05,0.65))*G$102)+IF(G$102&lt;40,0.95,IF(G$102&lt;160,-0.0025*G$102+1.05,0.65))*G$102,0))+IF(B165&lt;-7.5,0,IF(B165&lt;-4,(-0.00583090379*B165^3-0.02915451895*B165^2+0.5466472303*B165+3.279883382)*((IF(G$102&lt;40,0.95,IF(G$102&lt;160,-0.0025*G$102+1.05,0.65))*0.7+0.3)-IF(G$102&lt;40,0.95,IF(G$102&lt;160,-0.0025*G$102+1.05,0.65)))+IF(G$102&lt;40,0.95,IF(G$102&lt;160,-0.0025*G$102+1.05,0.65)),0))*G$102+IF(B165&lt;-4,0,(0.00125*((4/(B$150+4))*(B165-B$150))^3+0.0225*((4/(B$150+4))*(B165-B$150))^2+0.32*((4/(B$150+4))*(B165-B$150))+1)*(1-(IF(G$102&lt;40,0.95,IF(G$102&lt;160,-0.0025*G$102+1.05,0.65))*0.7+0.3))+(IF(G$102&lt;40,0.95,IF(G$102&lt;160,-0.0025*G$102+1.05,0.65))*0.7+0.3))*G$102+IF(B165&gt;-4,0.0625*((4/(B$150+4))*(B165-B$150))^2+0.5*((4/(B$150+4))*(B165-B$150))+1,0)*(G$112+G$113-D$151*(-2000*G$87+2000))+IF(G$44&gt;0,IF(B165&lt;-8,0,IF(B165&lt;-4.5,-0.04664723032*B165^3-0.8746355685*B165^2-5.037900875*B165-8.209912536,IF(B165&lt;IF(LOG(G$44)&lt;0,2/3*LOG(G$44)-1,-1),-2*(1/(-4.5-IF(LOG(G$44)&lt;0,2/3*LOG(G$44)-1,-1))*(B165-IF(LOG(G$44)&lt;0,2/3*LOG(G$44)-1,-1)))^3+3*(1/(-4.5-IF(LOG(G$44)&lt;0,2/3*LOG(G$44)-1,-1))*(B165-IF(LOG(G$44)&lt;0,2/3*LOG(G$44)-1,-1)))^2,0))),0)*IF(G$102&gt;81,9*G$102^0.5,G$102)*IF(G$82="None",0,G$82)+IF(B165&lt;-5,0,IF(B165&lt;-3,-0.25*B165^3-3*B165^2-11.25*B165-12.5,IF(B165&lt;-1,0.25*B165^3+1.5*B165^2+2.25*B165+1,0)))*IF((G$44/G$99*F$61)&lt;1,0.3645833333*(G$44/G$99*F$61)^3-1.0625*(G$44/G$99*F$61)^2+1.03125*(G$44/G$99*F$61),1/3)*G$102*IF(G$82="None",1,1-G$82)</f>
        <v>#DIV/0!</v>
      </c>
      <c r="D165" s="60" t="e">
        <f aca="false">(C165-C164)/(E165-E164)</f>
        <v>#DIV/0!</v>
      </c>
      <c r="E165" s="57" t="e">
        <f aca="false">IF(D165=0,(8314.4621*C164*LN(H165/H164)/(-G$99*9.80665*G$103)),C164/D165*(1/(H165/H164)^(8314.4621*D165/(G$99*9.80665*G$103))-1))+E164</f>
        <v>#DIV/0!</v>
      </c>
      <c r="F165" s="57" t="e">
        <f aca="false">F$38*E165/(F$38-E165)</f>
        <v>#DIV/0!</v>
      </c>
      <c r="G165" s="57" t="e">
        <f aca="false">8314.4621*C165/(G$103*G$99*9.80665)</f>
        <v>#DIV/0!</v>
      </c>
      <c r="H165" s="60" t="n">
        <f aca="false">10^B165*101325</f>
        <v>28.2889133118844</v>
      </c>
      <c r="I165" s="60" t="e">
        <f aca="false">H165/(8314.4621/G$103*C165)</f>
        <v>#DIV/0!</v>
      </c>
      <c r="J165" s="57" t="e">
        <f aca="false">SQRT(8314.4621/G$103*G$105*C165)</f>
        <v>#DIV/0!</v>
      </c>
      <c r="K165" s="57" t="e">
        <f aca="false">IF(F$20&gt;0,SQRT(2*G$98/(F$20+N165)),10000)</f>
        <v>#DIV/0!</v>
      </c>
      <c r="L165" s="60" t="e">
        <f aca="false">I165*K165^2/2</f>
        <v>#DIV/0!</v>
      </c>
      <c r="M165" s="60" t="e">
        <f aca="false">I165*K165^3/2</f>
        <v>#DIV/0!</v>
      </c>
      <c r="N165" s="57" t="e">
        <f aca="false">F165*IF(G$128&gt;0,G$128,0.5)</f>
        <v>#DIV/0!</v>
      </c>
      <c r="O165" s="57" t="e">
        <f aca="false">C165-P165*(G$115+(G$114-G$115)*COS(RADIANS(38)))/2</f>
        <v>#DIV/0!</v>
      </c>
      <c r="P165" s="82" t="e">
        <f aca="false">IF(IF(G$129&lt;100000,G$129,100000)&gt;0,IF(N165&lt;IF(G$129&lt;100000,G$129,100000)/3,0.6*(N165*3/IF(G$129&lt;100000,G$129,100000))^3+0.1*(N165*3/IF(G$129&lt;100000,G$129,100000))^2-2*(N165*3/IF(G$129&lt;100000,G$129,100000))+1,0)+IF(N165&lt;IF(G$129&lt;100000,G$129,100000)/3,0,IF(ROUND(N165,-3)&lt;=IF(G$129&lt;100000,G$129,100000),(-2*((N165-IF(G$129&lt;100000,G$129,100000)/3)/(2/3*IF(G$129&lt;100000,G$129,100000)))^3+3*((N165-IF(G$129&lt;100000,G$129,100000)/3)/(2/3*IF(G$129&lt;100000,G$129,100000)))^2)*(G$101^0.25*5/IF(G$114+G$116&gt;5,G$114+G$116,5)+0.3)-0.3,5*G$101^0.25/IF(G$114+G$116&gt;5,G$114+G$116,5))),0)</f>
        <v>#DIV/0!</v>
      </c>
      <c r="Q165" s="104" t="e">
        <f aca="false">IF(L165&gt;L$144,"|",IF(L164&gt;L$144,"V",""))</f>
        <v>#DIV/0!</v>
      </c>
    </row>
    <row r="166" s="1" customFormat="true" ht="15.75" hidden="false" customHeight="false" outlineLevel="0" collapsed="false">
      <c r="B166" s="58" t="n">
        <f aca="false">B165-0.25</f>
        <v>-3.80410034759077</v>
      </c>
      <c r="C166" s="61" t="e">
        <f aca="false">IF(B166&lt;-10,(0.00109375*B166^3+0.036875*B166^2+0.309375*B166+0.635)*(G$111-IF(G$102&lt;40,0.95,IF(G$102&lt;160,-0.0025*G$102+1.05,0.65))*G$102)+IF(G$102&lt;40,0.95,IF(G$102&lt;160,-0.0025*G$102+1.05,0.65))*G$102,IF(B166&lt;-7.5,(0.00128*B166^3+0.0536*B166^2+0.588*B166+1.935)*(G$111-IF(G$102&lt;40,0.95,IF(G$102&lt;160,-0.0025*G$102+1.05,0.65))*G$102)+IF(G$102&lt;40,0.95,IF(G$102&lt;160,-0.0025*G$102+1.05,0.65))*G$102,0))+IF(B166&lt;-7.5,0,IF(B166&lt;-4,(-0.00583090379*B166^3-0.02915451895*B166^2+0.5466472303*B166+3.279883382)*((IF(G$102&lt;40,0.95,IF(G$102&lt;160,-0.0025*G$102+1.05,0.65))*0.7+0.3)-IF(G$102&lt;40,0.95,IF(G$102&lt;160,-0.0025*G$102+1.05,0.65)))+IF(G$102&lt;40,0.95,IF(G$102&lt;160,-0.0025*G$102+1.05,0.65)),0))*G$102+IF(B166&lt;-4,0,(0.00125*((4/(B$150+4))*(B166-B$150))^3+0.0225*((4/(B$150+4))*(B166-B$150))^2+0.32*((4/(B$150+4))*(B166-B$150))+1)*(1-(IF(G$102&lt;40,0.95,IF(G$102&lt;160,-0.0025*G$102+1.05,0.65))*0.7+0.3))+(IF(G$102&lt;40,0.95,IF(G$102&lt;160,-0.0025*G$102+1.05,0.65))*0.7+0.3))*G$102+IF(B166&gt;-4,0.0625*((4/(B$150+4))*(B166-B$150))^2+0.5*((4/(B$150+4))*(B166-B$150))+1,0)*(G$112+G$113-D$151*(-2000*G$87+2000))+IF(G$44&gt;0,IF(B166&lt;-8,0,IF(B166&lt;-4.5,-0.04664723032*B166^3-0.8746355685*B166^2-5.037900875*B166-8.209912536,IF(B166&lt;IF(LOG(G$44)&lt;0,2/3*LOG(G$44)-1,-1),-2*(1/(-4.5-IF(LOG(G$44)&lt;0,2/3*LOG(G$44)-1,-1))*(B166-IF(LOG(G$44)&lt;0,2/3*LOG(G$44)-1,-1)))^3+3*(1/(-4.5-IF(LOG(G$44)&lt;0,2/3*LOG(G$44)-1,-1))*(B166-IF(LOG(G$44)&lt;0,2/3*LOG(G$44)-1,-1)))^2,0))),0)*IF(G$102&gt;81,9*G$102^0.5,G$102)*IF(G$82="None",0,G$82)+IF(B166&lt;-5,0,IF(B166&lt;-3,-0.25*B166^3-3*B166^2-11.25*B166-12.5,IF(B166&lt;-1,0.25*B166^3+1.5*B166^2+2.25*B166+1,0)))*IF((G$44/G$99*F$61)&lt;1,0.3645833333*(G$44/G$99*F$61)^3-1.0625*(G$44/G$99*F$61)^2+1.03125*(G$44/G$99*F$61),1/3)*G$102*IF(G$82="None",1,1-G$82)</f>
        <v>#DIV/0!</v>
      </c>
      <c r="D166" s="60" t="e">
        <f aca="false">(C166-C165)/(E166-E165)</f>
        <v>#DIV/0!</v>
      </c>
      <c r="E166" s="57" t="e">
        <f aca="false">IF(D166=0,(8314.4621*C165*LN(H166/H165)/(-G$99*9.80665*G$103)),C165/D166*(1/(H166/H165)^(8314.4621*D166/(G$99*9.80665*G$103))-1))+E165</f>
        <v>#DIV/0!</v>
      </c>
      <c r="F166" s="57" t="e">
        <f aca="false">F$38*E166/(F$38-E166)</f>
        <v>#DIV/0!</v>
      </c>
      <c r="G166" s="57" t="e">
        <f aca="false">8314.4621*C166/(G$103*G$99*9.80665)</f>
        <v>#DIV/0!</v>
      </c>
      <c r="H166" s="60" t="n">
        <f aca="false">10^B166*101325</f>
        <v>15.908025</v>
      </c>
      <c r="I166" s="60" t="e">
        <f aca="false">H166/(8314.4621/G$103*C166)</f>
        <v>#DIV/0!</v>
      </c>
      <c r="J166" s="57" t="e">
        <f aca="false">SQRT(8314.4621/G$103*G$105*C166)</f>
        <v>#DIV/0!</v>
      </c>
      <c r="K166" s="57" t="e">
        <f aca="false">IF(F$20&gt;0,SQRT(2*G$98/(F$20+N166)),10000)</f>
        <v>#DIV/0!</v>
      </c>
      <c r="L166" s="60" t="e">
        <f aca="false">I166*K166^2/2</f>
        <v>#DIV/0!</v>
      </c>
      <c r="M166" s="60" t="e">
        <f aca="false">I166*K166^3/2</f>
        <v>#DIV/0!</v>
      </c>
      <c r="N166" s="57" t="e">
        <f aca="false">F166*IF(G$128&gt;0,G$128,0.5)</f>
        <v>#DIV/0!</v>
      </c>
      <c r="O166" s="57" t="e">
        <f aca="false">C166-P166*(G$115+(G$114-G$115)*COS(RADIANS(38)))/2</f>
        <v>#DIV/0!</v>
      </c>
      <c r="P166" s="82" t="e">
        <f aca="false">IF(IF(G$129&lt;100000,G$129,100000)&gt;0,IF(N166&lt;IF(G$129&lt;100000,G$129,100000)/3,0.6*(N166*3/IF(G$129&lt;100000,G$129,100000))^3+0.1*(N166*3/IF(G$129&lt;100000,G$129,100000))^2-2*(N166*3/IF(G$129&lt;100000,G$129,100000))+1,0)+IF(N166&lt;IF(G$129&lt;100000,G$129,100000)/3,0,IF(ROUND(N166,-3)&lt;=IF(G$129&lt;100000,G$129,100000),(-2*((N166-IF(G$129&lt;100000,G$129,100000)/3)/(2/3*IF(G$129&lt;100000,G$129,100000)))^3+3*((N166-IF(G$129&lt;100000,G$129,100000)/3)/(2/3*IF(G$129&lt;100000,G$129,100000)))^2)*(G$101^0.25*5/IF(G$114+G$116&gt;5,G$114+G$116,5)+0.3)-0.3,5*G$101^0.25/IF(G$114+G$116&gt;5,G$114+G$116,5))),0)</f>
        <v>#DIV/0!</v>
      </c>
      <c r="Q166" s="104" t="e">
        <f aca="false">IF(L166&gt;L$144,"|",IF(L165&gt;L$144,"V",""))</f>
        <v>#DIV/0!</v>
      </c>
    </row>
    <row r="167" s="1" customFormat="true" ht="15.75" hidden="false" customHeight="false" outlineLevel="0" collapsed="false">
      <c r="B167" s="58" t="n">
        <f aca="false">B166-0.25</f>
        <v>-4.05410034759077</v>
      </c>
      <c r="C167" s="61" t="e">
        <f aca="false">IF(B167&lt;-10,(0.00109375*B167^3+0.036875*B167^2+0.309375*B167+0.635)*(G$111-IF(G$102&lt;40,0.95,IF(G$102&lt;160,-0.0025*G$102+1.05,0.65))*G$102)+IF(G$102&lt;40,0.95,IF(G$102&lt;160,-0.0025*G$102+1.05,0.65))*G$102,IF(B167&lt;-7.5,(0.00128*B167^3+0.0536*B167^2+0.588*B167+1.935)*(G$111-IF(G$102&lt;40,0.95,IF(G$102&lt;160,-0.0025*G$102+1.05,0.65))*G$102)+IF(G$102&lt;40,0.95,IF(G$102&lt;160,-0.0025*G$102+1.05,0.65))*G$102,0))+IF(B167&lt;-7.5,0,IF(B167&lt;-4,(-0.00583090379*B167^3-0.02915451895*B167^2+0.5466472303*B167+3.279883382)*((IF(G$102&lt;40,0.95,IF(G$102&lt;160,-0.0025*G$102+1.05,0.65))*0.7+0.3)-IF(G$102&lt;40,0.95,IF(G$102&lt;160,-0.0025*G$102+1.05,0.65)))+IF(G$102&lt;40,0.95,IF(G$102&lt;160,-0.0025*G$102+1.05,0.65)),0))*G$102+IF(B167&lt;-4,0,(0.00125*((4/(B$150+4))*(B167-B$150))^3+0.0225*((4/(B$150+4))*(B167-B$150))^2+0.32*((4/(B$150+4))*(B167-B$150))+1)*(1-(IF(G$102&lt;40,0.95,IF(G$102&lt;160,-0.0025*G$102+1.05,0.65))*0.7+0.3))+(IF(G$102&lt;40,0.95,IF(G$102&lt;160,-0.0025*G$102+1.05,0.65))*0.7+0.3))*G$102+IF(B167&gt;-4,0.0625*((4/(B$150+4))*(B167-B$150))^2+0.5*((4/(B$150+4))*(B167-B$150))+1,0)*(G$112+G$113-D$151*(-2000*G$87+2000))+IF(G$44&gt;0,IF(B167&lt;-8,0,IF(B167&lt;-4.5,-0.04664723032*B167^3-0.8746355685*B167^2-5.037900875*B167-8.209912536,IF(B167&lt;IF(LOG(G$44)&lt;0,2/3*LOG(G$44)-1,-1),-2*(1/(-4.5-IF(LOG(G$44)&lt;0,2/3*LOG(G$44)-1,-1))*(B167-IF(LOG(G$44)&lt;0,2/3*LOG(G$44)-1,-1)))^3+3*(1/(-4.5-IF(LOG(G$44)&lt;0,2/3*LOG(G$44)-1,-1))*(B167-IF(LOG(G$44)&lt;0,2/3*LOG(G$44)-1,-1)))^2,0))),0)*IF(G$102&gt;81,9*G$102^0.5,G$102)*IF(G$82="None",0,G$82)+IF(B167&lt;-5,0,IF(B167&lt;-3,-0.25*B167^3-3*B167^2-11.25*B167-12.5,IF(B167&lt;-1,0.25*B167^3+1.5*B167^2+2.25*B167+1,0)))*IF((G$44/G$99*F$61)&lt;1,0.3645833333*(G$44/G$99*F$61)^3-1.0625*(G$44/G$99*F$61)^2+1.03125*(G$44/G$99*F$61),1/3)*G$102*IF(G$82="None",1,1-G$82)</f>
        <v>#DIV/0!</v>
      </c>
      <c r="D167" s="60" t="e">
        <f aca="false">(C167-C166)/(E167-E166)</f>
        <v>#DIV/0!</v>
      </c>
      <c r="E167" s="57" t="e">
        <f aca="false">IF(D167=0,(8314.4621*C166*LN(H167/H166)/(-G$99*9.80665*G$103)),C166/D167*(1/(H167/H166)^(8314.4621*D167/(G$99*9.80665*G$103))-1))+E166</f>
        <v>#DIV/0!</v>
      </c>
      <c r="F167" s="57" t="e">
        <f aca="false">F$38*E167/(F$38-E167)</f>
        <v>#DIV/0!</v>
      </c>
      <c r="G167" s="57" t="e">
        <f aca="false">8314.4621*C167/(G$103*G$99*9.80665)</f>
        <v>#DIV/0!</v>
      </c>
      <c r="H167" s="60" t="n">
        <f aca="false">10^B167*101325</f>
        <v>8.94573985966121</v>
      </c>
      <c r="I167" s="60" t="e">
        <f aca="false">H167/(8314.4621/G$103*C167)</f>
        <v>#DIV/0!</v>
      </c>
      <c r="J167" s="57" t="e">
        <f aca="false">SQRT(8314.4621/G$103*G$105*C167)</f>
        <v>#DIV/0!</v>
      </c>
      <c r="K167" s="57" t="e">
        <f aca="false">IF(F$20&gt;0,SQRT(2*G$98/(F$20+N167)),10000)</f>
        <v>#DIV/0!</v>
      </c>
      <c r="L167" s="60" t="e">
        <f aca="false">I167*K167^2/2</f>
        <v>#DIV/0!</v>
      </c>
      <c r="M167" s="60" t="e">
        <f aca="false">I167*K167^3/2</f>
        <v>#DIV/0!</v>
      </c>
      <c r="N167" s="57" t="e">
        <f aca="false">F167*IF(G$128&gt;0,G$128,0.5)</f>
        <v>#DIV/0!</v>
      </c>
      <c r="O167" s="57" t="e">
        <f aca="false">C167-P167*(G$115+(G$114-G$115)*COS(RADIANS(38)))/2</f>
        <v>#DIV/0!</v>
      </c>
      <c r="P167" s="82" t="e">
        <f aca="false">IF(IF(G$129&lt;100000,G$129,100000)&gt;0,IF(N167&lt;IF(G$129&lt;100000,G$129,100000)/3,0.6*(N167*3/IF(G$129&lt;100000,G$129,100000))^3+0.1*(N167*3/IF(G$129&lt;100000,G$129,100000))^2-2*(N167*3/IF(G$129&lt;100000,G$129,100000))+1,0)+IF(N167&lt;IF(G$129&lt;100000,G$129,100000)/3,0,IF(ROUND(N167,-3)&lt;=IF(G$129&lt;100000,G$129,100000),(-2*((N167-IF(G$129&lt;100000,G$129,100000)/3)/(2/3*IF(G$129&lt;100000,G$129,100000)))^3+3*((N167-IF(G$129&lt;100000,G$129,100000)/3)/(2/3*IF(G$129&lt;100000,G$129,100000)))^2)*(G$101^0.25*5/IF(G$114+G$116&gt;5,G$114+G$116,5)+0.3)-0.3,5*G$101^0.25/IF(G$114+G$116&gt;5,G$114+G$116,5))),0)</f>
        <v>#DIV/0!</v>
      </c>
      <c r="Q167" s="104" t="e">
        <f aca="false">IF(L167&gt;L$144,"|",IF(L166&gt;L$144,"V",""))</f>
        <v>#DIV/0!</v>
      </c>
    </row>
    <row r="168" s="1" customFormat="true" ht="15.75" hidden="false" customHeight="false" outlineLevel="0" collapsed="false">
      <c r="B168" s="58" t="n">
        <f aca="false">B167-0.25</f>
        <v>-4.30410034759077</v>
      </c>
      <c r="C168" s="61" t="e">
        <f aca="false">IF(B168&lt;-10,(0.00109375*B168^3+0.036875*B168^2+0.309375*B168+0.635)*(G$111-IF(G$102&lt;40,0.95,IF(G$102&lt;160,-0.0025*G$102+1.05,0.65))*G$102)+IF(G$102&lt;40,0.95,IF(G$102&lt;160,-0.0025*G$102+1.05,0.65))*G$102,IF(B168&lt;-7.5,(0.00128*B168^3+0.0536*B168^2+0.588*B168+1.935)*(G$111-IF(G$102&lt;40,0.95,IF(G$102&lt;160,-0.0025*G$102+1.05,0.65))*G$102)+IF(G$102&lt;40,0.95,IF(G$102&lt;160,-0.0025*G$102+1.05,0.65))*G$102,0))+IF(B168&lt;-7.5,0,IF(B168&lt;-4,(-0.00583090379*B168^3-0.02915451895*B168^2+0.5466472303*B168+3.279883382)*((IF(G$102&lt;40,0.95,IF(G$102&lt;160,-0.0025*G$102+1.05,0.65))*0.7+0.3)-IF(G$102&lt;40,0.95,IF(G$102&lt;160,-0.0025*G$102+1.05,0.65)))+IF(G$102&lt;40,0.95,IF(G$102&lt;160,-0.0025*G$102+1.05,0.65)),0))*G$102+IF(B168&lt;-4,0,(0.00125*((4/(B$150+4))*(B168-B$150))^3+0.0225*((4/(B$150+4))*(B168-B$150))^2+0.32*((4/(B$150+4))*(B168-B$150))+1)*(1-(IF(G$102&lt;40,0.95,IF(G$102&lt;160,-0.0025*G$102+1.05,0.65))*0.7+0.3))+(IF(G$102&lt;40,0.95,IF(G$102&lt;160,-0.0025*G$102+1.05,0.65))*0.7+0.3))*G$102+IF(B168&gt;-4,0.0625*((4/(B$150+4))*(B168-B$150))^2+0.5*((4/(B$150+4))*(B168-B$150))+1,0)*(G$112+G$113-D$151*(-2000*G$87+2000))+IF(G$44&gt;0,IF(B168&lt;-8,0,IF(B168&lt;-4.5,-0.04664723032*B168^3-0.8746355685*B168^2-5.037900875*B168-8.209912536,IF(B168&lt;IF(LOG(G$44)&lt;0,2/3*LOG(G$44)-1,-1),-2*(1/(-4.5-IF(LOG(G$44)&lt;0,2/3*LOG(G$44)-1,-1))*(B168-IF(LOG(G$44)&lt;0,2/3*LOG(G$44)-1,-1)))^3+3*(1/(-4.5-IF(LOG(G$44)&lt;0,2/3*LOG(G$44)-1,-1))*(B168-IF(LOG(G$44)&lt;0,2/3*LOG(G$44)-1,-1)))^2,0))),0)*IF(G$102&gt;81,9*G$102^0.5,G$102)*IF(G$82="None",0,G$82)+IF(B168&lt;-5,0,IF(B168&lt;-3,-0.25*B168^3-3*B168^2-11.25*B168-12.5,IF(B168&lt;-1,0.25*B168^3+1.5*B168^2+2.25*B168+1,0)))*IF((G$44/G$99*F$61)&lt;1,0.3645833333*(G$44/G$99*F$61)^3-1.0625*(G$44/G$99*F$61)^2+1.03125*(G$44/G$99*F$61),1/3)*G$102*IF(G$82="None",1,1-G$82)</f>
        <v>#DIV/0!</v>
      </c>
      <c r="D168" s="60" t="e">
        <f aca="false">(C168-C167)/(E168-E167)</f>
        <v>#DIV/0!</v>
      </c>
      <c r="E168" s="57" t="e">
        <f aca="false">IF(D168=0,(8314.4621*C167*LN(H168/H167)/(-G$99*9.80665*G$103)),C167/D168*(1/(H168/H167)^(8314.4621*D168/(G$99*9.80665*G$103))-1))+E167</f>
        <v>#DIV/0!</v>
      </c>
      <c r="F168" s="57" t="e">
        <f aca="false">F$38*E168/(F$38-E168)</f>
        <v>#DIV/0!</v>
      </c>
      <c r="G168" s="57" t="e">
        <f aca="false">8314.4621*C168/(G$103*G$99*9.80665)</f>
        <v>#DIV/0!</v>
      </c>
      <c r="H168" s="60" t="n">
        <f aca="false">10^B168*101325</f>
        <v>5.03055920749001</v>
      </c>
      <c r="I168" s="60" t="e">
        <f aca="false">H168/(8314.4621/G$103*C168)</f>
        <v>#DIV/0!</v>
      </c>
      <c r="J168" s="57" t="e">
        <f aca="false">SQRT(8314.4621/G$103*G$105*C168)</f>
        <v>#DIV/0!</v>
      </c>
      <c r="K168" s="57" t="e">
        <f aca="false">IF(F$20&gt;0,SQRT(2*G$98/(F$20+N168)),10000)</f>
        <v>#DIV/0!</v>
      </c>
      <c r="L168" s="60" t="e">
        <f aca="false">I168*K168^2/2</f>
        <v>#DIV/0!</v>
      </c>
      <c r="M168" s="60" t="e">
        <f aca="false">I168*K168^3/2</f>
        <v>#DIV/0!</v>
      </c>
      <c r="N168" s="57" t="e">
        <f aca="false">F168*IF(G$128&gt;0,G$128,0.5)</f>
        <v>#DIV/0!</v>
      </c>
      <c r="O168" s="57" t="e">
        <f aca="false">C168-P168*(G$115+(G$114-G$115)*COS(RADIANS(38)))/2</f>
        <v>#DIV/0!</v>
      </c>
      <c r="P168" s="82" t="e">
        <f aca="false">IF(IF(G$129&lt;100000,G$129,100000)&gt;0,IF(N168&lt;IF(G$129&lt;100000,G$129,100000)/3,0.6*(N168*3/IF(G$129&lt;100000,G$129,100000))^3+0.1*(N168*3/IF(G$129&lt;100000,G$129,100000))^2-2*(N168*3/IF(G$129&lt;100000,G$129,100000))+1,0)+IF(N168&lt;IF(G$129&lt;100000,G$129,100000)/3,0,IF(ROUND(N168,-3)&lt;=IF(G$129&lt;100000,G$129,100000),(-2*((N168-IF(G$129&lt;100000,G$129,100000)/3)/(2/3*IF(G$129&lt;100000,G$129,100000)))^3+3*((N168-IF(G$129&lt;100000,G$129,100000)/3)/(2/3*IF(G$129&lt;100000,G$129,100000)))^2)*(G$101^0.25*5/IF(G$114+G$116&gt;5,G$114+G$116,5)+0.3)-0.3,5*G$101^0.25/IF(G$114+G$116&gt;5,G$114+G$116,5))),0)</f>
        <v>#DIV/0!</v>
      </c>
      <c r="Q168" s="104" t="e">
        <f aca="false">IF(L168&gt;L$144,"|",IF(L167&gt;L$144,"V",""))</f>
        <v>#DIV/0!</v>
      </c>
    </row>
    <row r="169" s="1" customFormat="true" ht="15.75" hidden="false" customHeight="false" outlineLevel="0" collapsed="false">
      <c r="B169" s="58" t="n">
        <f aca="false">B168-0.25</f>
        <v>-4.55410034759077</v>
      </c>
      <c r="C169" s="61" t="e">
        <f aca="false">IF(B169&lt;-10,(0.00109375*B169^3+0.036875*B169^2+0.309375*B169+0.635)*(G$111-IF(G$102&lt;40,0.95,IF(G$102&lt;160,-0.0025*G$102+1.05,0.65))*G$102)+IF(G$102&lt;40,0.95,IF(G$102&lt;160,-0.0025*G$102+1.05,0.65))*G$102,IF(B169&lt;-7.5,(0.00128*B169^3+0.0536*B169^2+0.588*B169+1.935)*(G$111-IF(G$102&lt;40,0.95,IF(G$102&lt;160,-0.0025*G$102+1.05,0.65))*G$102)+IF(G$102&lt;40,0.95,IF(G$102&lt;160,-0.0025*G$102+1.05,0.65))*G$102,0))+IF(B169&lt;-7.5,0,IF(B169&lt;-4,(-0.00583090379*B169^3-0.02915451895*B169^2+0.5466472303*B169+3.279883382)*((IF(G$102&lt;40,0.95,IF(G$102&lt;160,-0.0025*G$102+1.05,0.65))*0.7+0.3)-IF(G$102&lt;40,0.95,IF(G$102&lt;160,-0.0025*G$102+1.05,0.65)))+IF(G$102&lt;40,0.95,IF(G$102&lt;160,-0.0025*G$102+1.05,0.65)),0))*G$102+IF(B169&lt;-4,0,(0.00125*((4/(B$150+4))*(B169-B$150))^3+0.0225*((4/(B$150+4))*(B169-B$150))^2+0.32*((4/(B$150+4))*(B169-B$150))+1)*(1-(IF(G$102&lt;40,0.95,IF(G$102&lt;160,-0.0025*G$102+1.05,0.65))*0.7+0.3))+(IF(G$102&lt;40,0.95,IF(G$102&lt;160,-0.0025*G$102+1.05,0.65))*0.7+0.3))*G$102+IF(B169&gt;-4,0.0625*((4/(B$150+4))*(B169-B$150))^2+0.5*((4/(B$150+4))*(B169-B$150))+1,0)*(G$112+G$113-D$151*(-2000*G$87+2000))+IF(G$44&gt;0,IF(B169&lt;-8,0,IF(B169&lt;-4.5,-0.04664723032*B169^3-0.8746355685*B169^2-5.037900875*B169-8.209912536,IF(B169&lt;IF(LOG(G$44)&lt;0,2/3*LOG(G$44)-1,-1),-2*(1/(-4.5-IF(LOG(G$44)&lt;0,2/3*LOG(G$44)-1,-1))*(B169-IF(LOG(G$44)&lt;0,2/3*LOG(G$44)-1,-1)))^3+3*(1/(-4.5-IF(LOG(G$44)&lt;0,2/3*LOG(G$44)-1,-1))*(B169-IF(LOG(G$44)&lt;0,2/3*LOG(G$44)-1,-1)))^2,0))),0)*IF(G$102&gt;81,9*G$102^0.5,G$102)*IF(G$82="None",0,G$82)+IF(B169&lt;-5,0,IF(B169&lt;-3,-0.25*B169^3-3*B169^2-11.25*B169-12.5,IF(B169&lt;-1,0.25*B169^3+1.5*B169^2+2.25*B169+1,0)))*IF((G$44/G$99*F$61)&lt;1,0.3645833333*(G$44/G$99*F$61)^3-1.0625*(G$44/G$99*F$61)^2+1.03125*(G$44/G$99*F$61),1/3)*G$102*IF(G$82="None",1,1-G$82)</f>
        <v>#DIV/0!</v>
      </c>
      <c r="D169" s="60" t="e">
        <f aca="false">(C169-C168)/(E169-E168)</f>
        <v>#DIV/0!</v>
      </c>
      <c r="E169" s="57" t="e">
        <f aca="false">IF(D169=0,(8314.4621*C168*LN(H169/H168)/(-G$99*9.80665*G$103)),C168/D169*(1/(H169/H168)^(8314.4621*D169/(G$99*9.80665*G$103))-1))+E168</f>
        <v>#DIV/0!</v>
      </c>
      <c r="F169" s="57" t="e">
        <f aca="false">F$38*E169/(F$38-E169)</f>
        <v>#DIV/0!</v>
      </c>
      <c r="G169" s="57" t="e">
        <f aca="false">8314.4621*C169/(G$103*G$99*9.80665)</f>
        <v>#DIV/0!</v>
      </c>
      <c r="H169" s="60" t="n">
        <f aca="false">10^B169*101325</f>
        <v>2.82889133118845</v>
      </c>
      <c r="I169" s="60" t="e">
        <f aca="false">H169/(8314.4621/G$103*C169)</f>
        <v>#DIV/0!</v>
      </c>
      <c r="J169" s="57" t="e">
        <f aca="false">SQRT(8314.4621/G$103*G$105*C169)</f>
        <v>#DIV/0!</v>
      </c>
      <c r="K169" s="57" t="e">
        <f aca="false">IF(F$20&gt;0,SQRT(2*G$98/(F$20+N169)),10000)</f>
        <v>#DIV/0!</v>
      </c>
      <c r="L169" s="60" t="e">
        <f aca="false">I169*K169^2/2</f>
        <v>#DIV/0!</v>
      </c>
      <c r="M169" s="60" t="e">
        <f aca="false">I169*K169^3/2</f>
        <v>#DIV/0!</v>
      </c>
      <c r="N169" s="57" t="e">
        <f aca="false">F169*IF(G$128&gt;0,G$128,0.5)</f>
        <v>#DIV/0!</v>
      </c>
      <c r="O169" s="57" t="e">
        <f aca="false">C169-P169*(G$115+(G$114-G$115)*COS(RADIANS(38)))/2</f>
        <v>#DIV/0!</v>
      </c>
      <c r="P169" s="82" t="e">
        <f aca="false">IF(IF(G$129&lt;100000,G$129,100000)&gt;0,IF(N169&lt;IF(G$129&lt;100000,G$129,100000)/3,0.6*(N169*3/IF(G$129&lt;100000,G$129,100000))^3+0.1*(N169*3/IF(G$129&lt;100000,G$129,100000))^2-2*(N169*3/IF(G$129&lt;100000,G$129,100000))+1,0)+IF(N169&lt;IF(G$129&lt;100000,G$129,100000)/3,0,IF(ROUND(N169,-3)&lt;=IF(G$129&lt;100000,G$129,100000),(-2*((N169-IF(G$129&lt;100000,G$129,100000)/3)/(2/3*IF(G$129&lt;100000,G$129,100000)))^3+3*((N169-IF(G$129&lt;100000,G$129,100000)/3)/(2/3*IF(G$129&lt;100000,G$129,100000)))^2)*(G$101^0.25*5/IF(G$114+G$116&gt;5,G$114+G$116,5)+0.3)-0.3,5*G$101^0.25/IF(G$114+G$116&gt;5,G$114+G$116,5))),0)</f>
        <v>#DIV/0!</v>
      </c>
      <c r="Q169" s="104" t="e">
        <f aca="false">IF(L169&gt;L$144,"|",IF(L168&gt;L$144,"V",""))</f>
        <v>#DIV/0!</v>
      </c>
    </row>
    <row r="170" s="1" customFormat="true" ht="15.75" hidden="false" customHeight="false" outlineLevel="0" collapsed="false">
      <c r="B170" s="58" t="n">
        <f aca="false">B169-0.25</f>
        <v>-4.80410034759077</v>
      </c>
      <c r="C170" s="61" t="e">
        <f aca="false">IF(B170&lt;-10,(0.00109375*B170^3+0.036875*B170^2+0.309375*B170+0.635)*(G$111-IF(G$102&lt;40,0.95,IF(G$102&lt;160,-0.0025*G$102+1.05,0.65))*G$102)+IF(G$102&lt;40,0.95,IF(G$102&lt;160,-0.0025*G$102+1.05,0.65))*G$102,IF(B170&lt;-7.5,(0.00128*B170^3+0.0536*B170^2+0.588*B170+1.935)*(G$111-IF(G$102&lt;40,0.95,IF(G$102&lt;160,-0.0025*G$102+1.05,0.65))*G$102)+IF(G$102&lt;40,0.95,IF(G$102&lt;160,-0.0025*G$102+1.05,0.65))*G$102,0))+IF(B170&lt;-7.5,0,IF(B170&lt;-4,(-0.00583090379*B170^3-0.02915451895*B170^2+0.5466472303*B170+3.279883382)*((IF(G$102&lt;40,0.95,IF(G$102&lt;160,-0.0025*G$102+1.05,0.65))*0.7+0.3)-IF(G$102&lt;40,0.95,IF(G$102&lt;160,-0.0025*G$102+1.05,0.65)))+IF(G$102&lt;40,0.95,IF(G$102&lt;160,-0.0025*G$102+1.05,0.65)),0))*G$102+IF(B170&lt;-4,0,(0.00125*((4/(B$150+4))*(B170-B$150))^3+0.0225*((4/(B$150+4))*(B170-B$150))^2+0.32*((4/(B$150+4))*(B170-B$150))+1)*(1-(IF(G$102&lt;40,0.95,IF(G$102&lt;160,-0.0025*G$102+1.05,0.65))*0.7+0.3))+(IF(G$102&lt;40,0.95,IF(G$102&lt;160,-0.0025*G$102+1.05,0.65))*0.7+0.3))*G$102+IF(B170&gt;-4,0.0625*((4/(B$150+4))*(B170-B$150))^2+0.5*((4/(B$150+4))*(B170-B$150))+1,0)*(G$112+G$113-D$151*(-2000*G$87+2000))+IF(G$44&gt;0,IF(B170&lt;-8,0,IF(B170&lt;-4.5,-0.04664723032*B170^3-0.8746355685*B170^2-5.037900875*B170-8.209912536,IF(B170&lt;IF(LOG(G$44)&lt;0,2/3*LOG(G$44)-1,-1),-2*(1/(-4.5-IF(LOG(G$44)&lt;0,2/3*LOG(G$44)-1,-1))*(B170-IF(LOG(G$44)&lt;0,2/3*LOG(G$44)-1,-1)))^3+3*(1/(-4.5-IF(LOG(G$44)&lt;0,2/3*LOG(G$44)-1,-1))*(B170-IF(LOG(G$44)&lt;0,2/3*LOG(G$44)-1,-1)))^2,0))),0)*IF(G$102&gt;81,9*G$102^0.5,G$102)*IF(G$82="None",0,G$82)+IF(B170&lt;-5,0,IF(B170&lt;-3,-0.25*B170^3-3*B170^2-11.25*B170-12.5,IF(B170&lt;-1,0.25*B170^3+1.5*B170^2+2.25*B170+1,0)))*IF((G$44/G$99*F$61)&lt;1,0.3645833333*(G$44/G$99*F$61)^3-1.0625*(G$44/G$99*F$61)^2+1.03125*(G$44/G$99*F$61),1/3)*G$102*IF(G$82="None",1,1-G$82)</f>
        <v>#DIV/0!</v>
      </c>
      <c r="D170" s="60" t="e">
        <f aca="false">(C170-C169)/(E170-E169)</f>
        <v>#DIV/0!</v>
      </c>
      <c r="E170" s="57" t="e">
        <f aca="false">IF(D170=0,(8314.4621*C169*LN(H170/H169)/(-G$99*9.80665*G$103)),C169/D170*(1/(H170/H169)^(8314.4621*D170/(G$99*9.80665*G$103))-1))+E169</f>
        <v>#DIV/0!</v>
      </c>
      <c r="F170" s="57" t="e">
        <f aca="false">F$38*E170/(F$38-E170)</f>
        <v>#DIV/0!</v>
      </c>
      <c r="G170" s="57" t="e">
        <f aca="false">8314.4621*C170/(G$103*G$99*9.80665)</f>
        <v>#DIV/0!</v>
      </c>
      <c r="H170" s="60" t="n">
        <f aca="false">10^B170*101325</f>
        <v>1.5908025</v>
      </c>
      <c r="I170" s="60" t="e">
        <f aca="false">H170/(8314.4621/G$103*C170)</f>
        <v>#DIV/0!</v>
      </c>
      <c r="J170" s="57" t="e">
        <f aca="false">SQRT(8314.4621/G$103*G$105*C170)</f>
        <v>#DIV/0!</v>
      </c>
      <c r="K170" s="57" t="e">
        <f aca="false">IF(F$20&gt;0,SQRT(2*G$98/(F$20+N170)),10000)</f>
        <v>#DIV/0!</v>
      </c>
      <c r="L170" s="60" t="e">
        <f aca="false">I170*K170^2/2</f>
        <v>#DIV/0!</v>
      </c>
      <c r="M170" s="60" t="e">
        <f aca="false">I170*K170^3/2</f>
        <v>#DIV/0!</v>
      </c>
      <c r="N170" s="57" t="e">
        <f aca="false">F170*IF(G$128&gt;0,G$128,0.5)</f>
        <v>#DIV/0!</v>
      </c>
      <c r="O170" s="57" t="e">
        <f aca="false">C170-P170*(G$115+(G$114-G$115)*COS(RADIANS(38)))/2</f>
        <v>#DIV/0!</v>
      </c>
      <c r="P170" s="82" t="e">
        <f aca="false">IF(IF(G$129&lt;100000,G$129,100000)&gt;0,IF(N170&lt;IF(G$129&lt;100000,G$129,100000)/3,0.6*(N170*3/IF(G$129&lt;100000,G$129,100000))^3+0.1*(N170*3/IF(G$129&lt;100000,G$129,100000))^2-2*(N170*3/IF(G$129&lt;100000,G$129,100000))+1,0)+IF(N170&lt;IF(G$129&lt;100000,G$129,100000)/3,0,IF(ROUND(N170,-3)&lt;=IF(G$129&lt;100000,G$129,100000),(-2*((N170-IF(G$129&lt;100000,G$129,100000)/3)/(2/3*IF(G$129&lt;100000,G$129,100000)))^3+3*((N170-IF(G$129&lt;100000,G$129,100000)/3)/(2/3*IF(G$129&lt;100000,G$129,100000)))^2)*(G$101^0.25*5/IF(G$114+G$116&gt;5,G$114+G$116,5)+0.3)-0.3,5*G$101^0.25/IF(G$114+G$116&gt;5,G$114+G$116,5))),0)</f>
        <v>#DIV/0!</v>
      </c>
      <c r="Q170" s="104" t="e">
        <f aca="false">IF(L170&gt;L$144,"|",IF(L169&gt;L$144,"V",""))</f>
        <v>#DIV/0!</v>
      </c>
    </row>
    <row r="171" s="1" customFormat="true" ht="15.75" hidden="false" customHeight="false" outlineLevel="0" collapsed="false">
      <c r="B171" s="58" t="n">
        <f aca="false">B170-0.25</f>
        <v>-5.05410034759077</v>
      </c>
      <c r="C171" s="61" t="e">
        <f aca="false">IF(B171&lt;-10,(0.00109375*B171^3+0.036875*B171^2+0.309375*B171+0.635)*(G$111-IF(G$102&lt;40,0.95,IF(G$102&lt;160,-0.0025*G$102+1.05,0.65))*G$102)+IF(G$102&lt;40,0.95,IF(G$102&lt;160,-0.0025*G$102+1.05,0.65))*G$102,IF(B171&lt;-7.5,(0.00128*B171^3+0.0536*B171^2+0.588*B171+1.935)*(G$111-IF(G$102&lt;40,0.95,IF(G$102&lt;160,-0.0025*G$102+1.05,0.65))*G$102)+IF(G$102&lt;40,0.95,IF(G$102&lt;160,-0.0025*G$102+1.05,0.65))*G$102,0))+IF(B171&lt;-7.5,0,IF(B171&lt;-4,(-0.00583090379*B171^3-0.02915451895*B171^2+0.5466472303*B171+3.279883382)*((IF(G$102&lt;40,0.95,IF(G$102&lt;160,-0.0025*G$102+1.05,0.65))*0.7+0.3)-IF(G$102&lt;40,0.95,IF(G$102&lt;160,-0.0025*G$102+1.05,0.65)))+IF(G$102&lt;40,0.95,IF(G$102&lt;160,-0.0025*G$102+1.05,0.65)),0))*G$102+IF(B171&lt;-4,0,(0.00125*((4/(B$150+4))*(B171-B$150))^3+0.0225*((4/(B$150+4))*(B171-B$150))^2+0.32*((4/(B$150+4))*(B171-B$150))+1)*(1-(IF(G$102&lt;40,0.95,IF(G$102&lt;160,-0.0025*G$102+1.05,0.65))*0.7+0.3))+(IF(G$102&lt;40,0.95,IF(G$102&lt;160,-0.0025*G$102+1.05,0.65))*0.7+0.3))*G$102+IF(B171&gt;-4,0.0625*((4/(B$150+4))*(B171-B$150))^2+0.5*((4/(B$150+4))*(B171-B$150))+1,0)*(G$112+G$113-D$151*(-2000*G$87+2000))+IF(G$44&gt;0,IF(B171&lt;-8,0,IF(B171&lt;-4.5,-0.04664723032*B171^3-0.8746355685*B171^2-5.037900875*B171-8.209912536,IF(B171&lt;IF(LOG(G$44)&lt;0,2/3*LOG(G$44)-1,-1),-2*(1/(-4.5-IF(LOG(G$44)&lt;0,2/3*LOG(G$44)-1,-1))*(B171-IF(LOG(G$44)&lt;0,2/3*LOG(G$44)-1,-1)))^3+3*(1/(-4.5-IF(LOG(G$44)&lt;0,2/3*LOG(G$44)-1,-1))*(B171-IF(LOG(G$44)&lt;0,2/3*LOG(G$44)-1,-1)))^2,0))),0)*IF(G$102&gt;81,9*G$102^0.5,G$102)*IF(G$82="None",0,G$82)+IF(B171&lt;-5,0,IF(B171&lt;-3,-0.25*B171^3-3*B171^2-11.25*B171-12.5,IF(B171&lt;-1,0.25*B171^3+1.5*B171^2+2.25*B171+1,0)))*IF((G$44/G$99*F$61)&lt;1,0.3645833333*(G$44/G$99*F$61)^3-1.0625*(G$44/G$99*F$61)^2+1.03125*(G$44/G$99*F$61),1/3)*G$102*IF(G$82="None",1,1-G$82)</f>
        <v>#DIV/0!</v>
      </c>
      <c r="D171" s="60" t="e">
        <f aca="false">(C171-C170)/(E171-E170)</f>
        <v>#DIV/0!</v>
      </c>
      <c r="E171" s="57" t="e">
        <f aca="false">IF(D171=0,(8314.4621*C170*LN(H171/H170)/(-G$99*9.80665*G$103)),C170/D171*(1/(H171/H170)^(8314.4621*D171/(G$99*9.80665*G$103))-1))+E170</f>
        <v>#DIV/0!</v>
      </c>
      <c r="F171" s="57" t="e">
        <f aca="false">F$38*E171/(F$38-E171)</f>
        <v>#DIV/0!</v>
      </c>
      <c r="G171" s="57" t="e">
        <f aca="false">8314.4621*C171/(G$103*G$99*9.80665)</f>
        <v>#DIV/0!</v>
      </c>
      <c r="H171" s="60" t="n">
        <f aca="false">10^B171*101325</f>
        <v>0.894573985966121</v>
      </c>
      <c r="I171" s="60" t="e">
        <f aca="false">H171/(8314.4621/G$103*C171)</f>
        <v>#DIV/0!</v>
      </c>
      <c r="J171" s="57" t="e">
        <f aca="false">SQRT(8314.4621/G$103*G$105*C171)</f>
        <v>#DIV/0!</v>
      </c>
      <c r="K171" s="57" t="e">
        <f aca="false">IF(F$20&gt;0,SQRT(2*G$98/(F$20+N171)),10000)</f>
        <v>#DIV/0!</v>
      </c>
      <c r="L171" s="60" t="e">
        <f aca="false">I171*K171^2/2</f>
        <v>#DIV/0!</v>
      </c>
      <c r="M171" s="60" t="e">
        <f aca="false">I171*K171^3/2</f>
        <v>#DIV/0!</v>
      </c>
      <c r="N171" s="57" t="e">
        <f aca="false">F171*IF(G$128&gt;0,G$128,0.5)</f>
        <v>#DIV/0!</v>
      </c>
      <c r="O171" s="57" t="e">
        <f aca="false">C171-P171*(G$115+(G$114-G$115)*COS(RADIANS(38)))/2</f>
        <v>#DIV/0!</v>
      </c>
      <c r="P171" s="82" t="e">
        <f aca="false">IF(IF(G$129&lt;100000,G$129,100000)&gt;0,IF(N171&lt;IF(G$129&lt;100000,G$129,100000)/3,0.6*(N171*3/IF(G$129&lt;100000,G$129,100000))^3+0.1*(N171*3/IF(G$129&lt;100000,G$129,100000))^2-2*(N171*3/IF(G$129&lt;100000,G$129,100000))+1,0)+IF(N171&lt;IF(G$129&lt;100000,G$129,100000)/3,0,IF(ROUND(N171,-3)&lt;=IF(G$129&lt;100000,G$129,100000),(-2*((N171-IF(G$129&lt;100000,G$129,100000)/3)/(2/3*IF(G$129&lt;100000,G$129,100000)))^3+3*((N171-IF(G$129&lt;100000,G$129,100000)/3)/(2/3*IF(G$129&lt;100000,G$129,100000)))^2)*(G$101^0.25*5/IF(G$114+G$116&gt;5,G$114+G$116,5)+0.3)-0.3,5*G$101^0.25/IF(G$114+G$116&gt;5,G$114+G$116,5))),0)</f>
        <v>#DIV/0!</v>
      </c>
      <c r="Q171" s="104" t="e">
        <f aca="false">IF(L171&gt;L$144,"|",IF(L170&gt;L$144,"V",""))</f>
        <v>#DIV/0!</v>
      </c>
    </row>
    <row r="172" s="1" customFormat="true" ht="15.75" hidden="false" customHeight="false" outlineLevel="0" collapsed="false">
      <c r="B172" s="58" t="n">
        <f aca="false">B171-0.25</f>
        <v>-5.30410034759077</v>
      </c>
      <c r="C172" s="61" t="e">
        <f aca="false">IF(B172&lt;-10,(0.00109375*B172^3+0.036875*B172^2+0.309375*B172+0.635)*(G$111-IF(G$102&lt;40,0.95,IF(G$102&lt;160,-0.0025*G$102+1.05,0.65))*G$102)+IF(G$102&lt;40,0.95,IF(G$102&lt;160,-0.0025*G$102+1.05,0.65))*G$102,IF(B172&lt;-7.5,(0.00128*B172^3+0.0536*B172^2+0.588*B172+1.935)*(G$111-IF(G$102&lt;40,0.95,IF(G$102&lt;160,-0.0025*G$102+1.05,0.65))*G$102)+IF(G$102&lt;40,0.95,IF(G$102&lt;160,-0.0025*G$102+1.05,0.65))*G$102,0))+IF(B172&lt;-7.5,0,IF(B172&lt;-4,(-0.00583090379*B172^3-0.02915451895*B172^2+0.5466472303*B172+3.279883382)*((IF(G$102&lt;40,0.95,IF(G$102&lt;160,-0.0025*G$102+1.05,0.65))*0.7+0.3)-IF(G$102&lt;40,0.95,IF(G$102&lt;160,-0.0025*G$102+1.05,0.65)))+IF(G$102&lt;40,0.95,IF(G$102&lt;160,-0.0025*G$102+1.05,0.65)),0))*G$102+IF(B172&lt;-4,0,(0.00125*((4/(B$150+4))*(B172-B$150))^3+0.0225*((4/(B$150+4))*(B172-B$150))^2+0.32*((4/(B$150+4))*(B172-B$150))+1)*(1-(IF(G$102&lt;40,0.95,IF(G$102&lt;160,-0.0025*G$102+1.05,0.65))*0.7+0.3))+(IF(G$102&lt;40,0.95,IF(G$102&lt;160,-0.0025*G$102+1.05,0.65))*0.7+0.3))*G$102+IF(B172&gt;-4,0.0625*((4/(B$150+4))*(B172-B$150))^2+0.5*((4/(B$150+4))*(B172-B$150))+1,0)*(G$112+G$113-D$151*(-2000*G$87+2000))+IF(G$44&gt;0,IF(B172&lt;-8,0,IF(B172&lt;-4.5,-0.04664723032*B172^3-0.8746355685*B172^2-5.037900875*B172-8.209912536,IF(B172&lt;IF(LOG(G$44)&lt;0,2/3*LOG(G$44)-1,-1),-2*(1/(-4.5-IF(LOG(G$44)&lt;0,2/3*LOG(G$44)-1,-1))*(B172-IF(LOG(G$44)&lt;0,2/3*LOG(G$44)-1,-1)))^3+3*(1/(-4.5-IF(LOG(G$44)&lt;0,2/3*LOG(G$44)-1,-1))*(B172-IF(LOG(G$44)&lt;0,2/3*LOG(G$44)-1,-1)))^2,0))),0)*IF(G$102&gt;81,9*G$102^0.5,G$102)*IF(G$82="None",0,G$82)+IF(B172&lt;-5,0,IF(B172&lt;-3,-0.25*B172^3-3*B172^2-11.25*B172-12.5,IF(B172&lt;-1,0.25*B172^3+1.5*B172^2+2.25*B172+1,0)))*IF((G$44/G$99*F$61)&lt;1,0.3645833333*(G$44/G$99*F$61)^3-1.0625*(G$44/G$99*F$61)^2+1.03125*(G$44/G$99*F$61),1/3)*G$102*IF(G$82="None",1,1-G$82)</f>
        <v>#DIV/0!</v>
      </c>
      <c r="D172" s="60" t="e">
        <f aca="false">(C172-C171)/(E172-E171)</f>
        <v>#DIV/0!</v>
      </c>
      <c r="E172" s="57" t="e">
        <f aca="false">IF(D172=0,(8314.4621*C171*LN(H172/H171)/(-G$99*9.80665*G$103)),C171/D172*(1/(H172/H171)^(8314.4621*D172/(G$99*9.80665*G$103))-1))+E171</f>
        <v>#DIV/0!</v>
      </c>
      <c r="F172" s="57" t="e">
        <f aca="false">F$38*E172/(F$38-E172)</f>
        <v>#DIV/0!</v>
      </c>
      <c r="G172" s="57" t="e">
        <f aca="false">8314.4621*C172/(G$103*G$99*9.80665)</f>
        <v>#DIV/0!</v>
      </c>
      <c r="H172" s="60" t="n">
        <f aca="false">10^B172*101325</f>
        <v>0.503055920749001</v>
      </c>
      <c r="I172" s="60" t="e">
        <f aca="false">H172/(8314.4621/G$103*C172)</f>
        <v>#DIV/0!</v>
      </c>
      <c r="J172" s="57" t="e">
        <f aca="false">SQRT(8314.4621/G$103*G$105*C172)</f>
        <v>#DIV/0!</v>
      </c>
      <c r="K172" s="57" t="e">
        <f aca="false">IF(F$20&gt;0,SQRT(2*G$98/(F$20+N172)),10000)</f>
        <v>#DIV/0!</v>
      </c>
      <c r="L172" s="60" t="e">
        <f aca="false">I172*K172^2/2</f>
        <v>#DIV/0!</v>
      </c>
      <c r="M172" s="60" t="e">
        <f aca="false">I172*K172^3/2</f>
        <v>#DIV/0!</v>
      </c>
      <c r="N172" s="57" t="e">
        <f aca="false">F172*IF(G$128&gt;0,G$128,0.5)</f>
        <v>#DIV/0!</v>
      </c>
      <c r="O172" s="57" t="e">
        <f aca="false">C172-P172*(G$115+(G$114-G$115)*COS(RADIANS(38)))/2</f>
        <v>#DIV/0!</v>
      </c>
      <c r="P172" s="82" t="e">
        <f aca="false">IF(IF(G$129&lt;100000,G$129,100000)&gt;0,IF(N172&lt;IF(G$129&lt;100000,G$129,100000)/3,0.6*(N172*3/IF(G$129&lt;100000,G$129,100000))^3+0.1*(N172*3/IF(G$129&lt;100000,G$129,100000))^2-2*(N172*3/IF(G$129&lt;100000,G$129,100000))+1,0)+IF(N172&lt;IF(G$129&lt;100000,G$129,100000)/3,0,IF(ROUND(N172,-3)&lt;=IF(G$129&lt;100000,G$129,100000),(-2*((N172-IF(G$129&lt;100000,G$129,100000)/3)/(2/3*IF(G$129&lt;100000,G$129,100000)))^3+3*((N172-IF(G$129&lt;100000,G$129,100000)/3)/(2/3*IF(G$129&lt;100000,G$129,100000)))^2)*(G$101^0.25*5/IF(G$114+G$116&gt;5,G$114+G$116,5)+0.3)-0.3,5*G$101^0.25/IF(G$114+G$116&gt;5,G$114+G$116,5))),0)</f>
        <v>#DIV/0!</v>
      </c>
      <c r="Q172" s="104" t="e">
        <f aca="false">IF(L172&gt;L$144,"|",IF(L171&gt;L$144,"V",""))</f>
        <v>#DIV/0!</v>
      </c>
    </row>
    <row r="173" s="1" customFormat="true" ht="15.75" hidden="false" customHeight="false" outlineLevel="0" collapsed="false">
      <c r="B173" s="58" t="n">
        <f aca="false">B172-0.25</f>
        <v>-5.55410034759077</v>
      </c>
      <c r="C173" s="61" t="e">
        <f aca="false">IF(B173&lt;-10,(0.00109375*B173^3+0.036875*B173^2+0.309375*B173+0.635)*(G$111-IF(G$102&lt;40,0.95,IF(G$102&lt;160,-0.0025*G$102+1.05,0.65))*G$102)+IF(G$102&lt;40,0.95,IF(G$102&lt;160,-0.0025*G$102+1.05,0.65))*G$102,IF(B173&lt;-7.5,(0.00128*B173^3+0.0536*B173^2+0.588*B173+1.935)*(G$111-IF(G$102&lt;40,0.95,IF(G$102&lt;160,-0.0025*G$102+1.05,0.65))*G$102)+IF(G$102&lt;40,0.95,IF(G$102&lt;160,-0.0025*G$102+1.05,0.65))*G$102,0))+IF(B173&lt;-7.5,0,IF(B173&lt;-4,(-0.00583090379*B173^3-0.02915451895*B173^2+0.5466472303*B173+3.279883382)*((IF(G$102&lt;40,0.95,IF(G$102&lt;160,-0.0025*G$102+1.05,0.65))*0.7+0.3)-IF(G$102&lt;40,0.95,IF(G$102&lt;160,-0.0025*G$102+1.05,0.65)))+IF(G$102&lt;40,0.95,IF(G$102&lt;160,-0.0025*G$102+1.05,0.65)),0))*G$102+IF(B173&lt;-4,0,(0.00125*((4/(B$150+4))*(B173-B$150))^3+0.0225*((4/(B$150+4))*(B173-B$150))^2+0.32*((4/(B$150+4))*(B173-B$150))+1)*(1-(IF(G$102&lt;40,0.95,IF(G$102&lt;160,-0.0025*G$102+1.05,0.65))*0.7+0.3))+(IF(G$102&lt;40,0.95,IF(G$102&lt;160,-0.0025*G$102+1.05,0.65))*0.7+0.3))*G$102+IF(B173&gt;-4,0.0625*((4/(B$150+4))*(B173-B$150))^2+0.5*((4/(B$150+4))*(B173-B$150))+1,0)*(G$112+G$113-D$151*(-2000*G$87+2000))+IF(G$44&gt;0,IF(B173&lt;-8,0,IF(B173&lt;-4.5,-0.04664723032*B173^3-0.8746355685*B173^2-5.037900875*B173-8.209912536,IF(B173&lt;IF(LOG(G$44)&lt;0,2/3*LOG(G$44)-1,-1),-2*(1/(-4.5-IF(LOG(G$44)&lt;0,2/3*LOG(G$44)-1,-1))*(B173-IF(LOG(G$44)&lt;0,2/3*LOG(G$44)-1,-1)))^3+3*(1/(-4.5-IF(LOG(G$44)&lt;0,2/3*LOG(G$44)-1,-1))*(B173-IF(LOG(G$44)&lt;0,2/3*LOG(G$44)-1,-1)))^2,0))),0)*IF(G$102&gt;81,9*G$102^0.5,G$102)*IF(G$82="None",0,G$82)+IF(B173&lt;-5,0,IF(B173&lt;-3,-0.25*B173^3-3*B173^2-11.25*B173-12.5,IF(B173&lt;-1,0.25*B173^3+1.5*B173^2+2.25*B173+1,0)))*IF((G$44/G$99*F$61)&lt;1,0.3645833333*(G$44/G$99*F$61)^3-1.0625*(G$44/G$99*F$61)^2+1.03125*(G$44/G$99*F$61),1/3)*G$102*IF(G$82="None",1,1-G$82)</f>
        <v>#DIV/0!</v>
      </c>
      <c r="D173" s="60" t="e">
        <f aca="false">(C173-C172)/(E173-E172)</f>
        <v>#DIV/0!</v>
      </c>
      <c r="E173" s="57" t="e">
        <f aca="false">IF(D173=0,(8314.4621*C172*LN(H173/H172)/(-G$99*9.80665*G$103)),C172/D173*(1/(H173/H172)^(8314.4621*D173/(G$99*9.80665*G$103))-1))+E172</f>
        <v>#DIV/0!</v>
      </c>
      <c r="F173" s="57" t="e">
        <f aca="false">F$38*E173/(F$38-E173)</f>
        <v>#DIV/0!</v>
      </c>
      <c r="G173" s="57" t="e">
        <f aca="false">8314.4621*C173/(G$103*G$99*9.80665)</f>
        <v>#DIV/0!</v>
      </c>
      <c r="H173" s="60" t="n">
        <f aca="false">10^B173*101325</f>
        <v>0.282889133118844</v>
      </c>
      <c r="I173" s="60" t="e">
        <f aca="false">H173/(8314.4621/G$103*C173)</f>
        <v>#DIV/0!</v>
      </c>
      <c r="J173" s="57" t="e">
        <f aca="false">SQRT(8314.4621/G$103*G$105*C173)</f>
        <v>#DIV/0!</v>
      </c>
      <c r="K173" s="57" t="e">
        <f aca="false">IF(F$20&gt;0,SQRT(2*G$98/(F$20+N173)),10000)</f>
        <v>#DIV/0!</v>
      </c>
      <c r="L173" s="60" t="e">
        <f aca="false">I173*K173^2/2</f>
        <v>#DIV/0!</v>
      </c>
      <c r="M173" s="60" t="e">
        <f aca="false">I173*K173^3/2</f>
        <v>#DIV/0!</v>
      </c>
      <c r="N173" s="57" t="e">
        <f aca="false">F173*IF(G$128&gt;0,G$128,0.5)</f>
        <v>#DIV/0!</v>
      </c>
      <c r="O173" s="57" t="e">
        <f aca="false">C173-P173*(G$115+(G$114-G$115)*COS(RADIANS(38)))/2</f>
        <v>#DIV/0!</v>
      </c>
      <c r="P173" s="82" t="e">
        <f aca="false">IF(IF(G$129&lt;100000,G$129,100000)&gt;0,IF(N173&lt;IF(G$129&lt;100000,G$129,100000)/3,0.6*(N173*3/IF(G$129&lt;100000,G$129,100000))^3+0.1*(N173*3/IF(G$129&lt;100000,G$129,100000))^2-2*(N173*3/IF(G$129&lt;100000,G$129,100000))+1,0)+IF(N173&lt;IF(G$129&lt;100000,G$129,100000)/3,0,IF(ROUND(N173,-3)&lt;=IF(G$129&lt;100000,G$129,100000),(-2*((N173-IF(G$129&lt;100000,G$129,100000)/3)/(2/3*IF(G$129&lt;100000,G$129,100000)))^3+3*((N173-IF(G$129&lt;100000,G$129,100000)/3)/(2/3*IF(G$129&lt;100000,G$129,100000)))^2)*(G$101^0.25*5/IF(G$114+G$116&gt;5,G$114+G$116,5)+0.3)-0.3,5*G$101^0.25/IF(G$114+G$116&gt;5,G$114+G$116,5))),0)</f>
        <v>#DIV/0!</v>
      </c>
      <c r="Q173" s="104" t="e">
        <f aca="false">IF(L173&gt;L$144,"|",IF(L172&gt;L$144,"V",""))</f>
        <v>#DIV/0!</v>
      </c>
    </row>
    <row r="174" s="1" customFormat="true" ht="15.75" hidden="false" customHeight="false" outlineLevel="0" collapsed="false">
      <c r="B174" s="58" t="n">
        <f aca="false">B173-0.25</f>
        <v>-5.80410034759077</v>
      </c>
      <c r="C174" s="61" t="e">
        <f aca="false">IF(B174&lt;-10,(0.00109375*B174^3+0.036875*B174^2+0.309375*B174+0.635)*(G$111-IF(G$102&lt;40,0.95,IF(G$102&lt;160,-0.0025*G$102+1.05,0.65))*G$102)+IF(G$102&lt;40,0.95,IF(G$102&lt;160,-0.0025*G$102+1.05,0.65))*G$102,IF(B174&lt;-7.5,(0.00128*B174^3+0.0536*B174^2+0.588*B174+1.935)*(G$111-IF(G$102&lt;40,0.95,IF(G$102&lt;160,-0.0025*G$102+1.05,0.65))*G$102)+IF(G$102&lt;40,0.95,IF(G$102&lt;160,-0.0025*G$102+1.05,0.65))*G$102,0))+IF(B174&lt;-7.5,0,IF(B174&lt;-4,(-0.00583090379*B174^3-0.02915451895*B174^2+0.5466472303*B174+3.279883382)*((IF(G$102&lt;40,0.95,IF(G$102&lt;160,-0.0025*G$102+1.05,0.65))*0.7+0.3)-IF(G$102&lt;40,0.95,IF(G$102&lt;160,-0.0025*G$102+1.05,0.65)))+IF(G$102&lt;40,0.95,IF(G$102&lt;160,-0.0025*G$102+1.05,0.65)),0))*G$102+IF(B174&lt;-4,0,(0.00125*((4/(B$150+4))*(B174-B$150))^3+0.0225*((4/(B$150+4))*(B174-B$150))^2+0.32*((4/(B$150+4))*(B174-B$150))+1)*(1-(IF(G$102&lt;40,0.95,IF(G$102&lt;160,-0.0025*G$102+1.05,0.65))*0.7+0.3))+(IF(G$102&lt;40,0.95,IF(G$102&lt;160,-0.0025*G$102+1.05,0.65))*0.7+0.3))*G$102+IF(B174&gt;-4,0.0625*((4/(B$150+4))*(B174-B$150))^2+0.5*((4/(B$150+4))*(B174-B$150))+1,0)*(G$112+G$113-D$151*(-2000*G$87+2000))+IF(G$44&gt;0,IF(B174&lt;-8,0,IF(B174&lt;-4.5,-0.04664723032*B174^3-0.8746355685*B174^2-5.037900875*B174-8.209912536,IF(B174&lt;IF(LOG(G$44)&lt;0,2/3*LOG(G$44)-1,-1),-2*(1/(-4.5-IF(LOG(G$44)&lt;0,2/3*LOG(G$44)-1,-1))*(B174-IF(LOG(G$44)&lt;0,2/3*LOG(G$44)-1,-1)))^3+3*(1/(-4.5-IF(LOG(G$44)&lt;0,2/3*LOG(G$44)-1,-1))*(B174-IF(LOG(G$44)&lt;0,2/3*LOG(G$44)-1,-1)))^2,0))),0)*IF(G$102&gt;81,9*G$102^0.5,G$102)*IF(G$82="None",0,G$82)+IF(B174&lt;-5,0,IF(B174&lt;-3,-0.25*B174^3-3*B174^2-11.25*B174-12.5,IF(B174&lt;-1,0.25*B174^3+1.5*B174^2+2.25*B174+1,0)))*IF((G$44/G$99*F$61)&lt;1,0.3645833333*(G$44/G$99*F$61)^3-1.0625*(G$44/G$99*F$61)^2+1.03125*(G$44/G$99*F$61),1/3)*G$102*IF(G$82="None",1,1-G$82)</f>
        <v>#DIV/0!</v>
      </c>
      <c r="D174" s="60" t="e">
        <f aca="false">(C174-C173)/(E174-E173)</f>
        <v>#DIV/0!</v>
      </c>
      <c r="E174" s="57" t="e">
        <f aca="false">IF(D174=0,(8314.4621*C173*LN(H174/H173)/(-G$99*9.80665*G$103)),C173/D174*(1/(H174/H173)^(8314.4621*D174/(G$99*9.80665*G$103))-1))+E173</f>
        <v>#DIV/0!</v>
      </c>
      <c r="F174" s="57" t="e">
        <f aca="false">F$38*E174/(F$38-E174)</f>
        <v>#DIV/0!</v>
      </c>
      <c r="G174" s="57" t="e">
        <f aca="false">8314.4621*C174/(G$103*G$99*9.80665)</f>
        <v>#DIV/0!</v>
      </c>
      <c r="H174" s="60" t="n">
        <f aca="false">10^B174*101325</f>
        <v>0.15908025</v>
      </c>
      <c r="I174" s="60" t="e">
        <f aca="false">H174/(8314.4621/G$103*C174)</f>
        <v>#DIV/0!</v>
      </c>
      <c r="J174" s="57" t="e">
        <f aca="false">SQRT(8314.4621/G$103*G$105*C174)</f>
        <v>#DIV/0!</v>
      </c>
      <c r="K174" s="57" t="e">
        <f aca="false">IF(F$20&gt;0,SQRT(2*G$98/(F$20+N174)),10000)</f>
        <v>#DIV/0!</v>
      </c>
      <c r="L174" s="60" t="e">
        <f aca="false">I174*K174^2/2</f>
        <v>#DIV/0!</v>
      </c>
      <c r="M174" s="60" t="e">
        <f aca="false">I174*K174^3/2</f>
        <v>#DIV/0!</v>
      </c>
      <c r="N174" s="57" t="e">
        <f aca="false">F174*IF(G$128&gt;0,G$128,0.5)</f>
        <v>#DIV/0!</v>
      </c>
      <c r="O174" s="57" t="e">
        <f aca="false">C174-P174*(G$115+(G$114-G$115)*COS(RADIANS(38)))/2</f>
        <v>#DIV/0!</v>
      </c>
      <c r="P174" s="82" t="e">
        <f aca="false">IF(IF(G$129&lt;100000,G$129,100000)&gt;0,IF(N174&lt;IF(G$129&lt;100000,G$129,100000)/3,0.6*(N174*3/IF(G$129&lt;100000,G$129,100000))^3+0.1*(N174*3/IF(G$129&lt;100000,G$129,100000))^2-2*(N174*3/IF(G$129&lt;100000,G$129,100000))+1,0)+IF(N174&lt;IF(G$129&lt;100000,G$129,100000)/3,0,IF(ROUND(N174,-3)&lt;=IF(G$129&lt;100000,G$129,100000),(-2*((N174-IF(G$129&lt;100000,G$129,100000)/3)/(2/3*IF(G$129&lt;100000,G$129,100000)))^3+3*((N174-IF(G$129&lt;100000,G$129,100000)/3)/(2/3*IF(G$129&lt;100000,G$129,100000)))^2)*(G$101^0.25*5/IF(G$114+G$116&gt;5,G$114+G$116,5)+0.3)-0.3,5*G$101^0.25/IF(G$114+G$116&gt;5,G$114+G$116,5))),0)</f>
        <v>#DIV/0!</v>
      </c>
      <c r="Q174" s="104" t="e">
        <f aca="false">IF(L174&gt;L$144,"|",IF(L173&gt;L$144,"V",""))</f>
        <v>#DIV/0!</v>
      </c>
    </row>
    <row r="175" s="1" customFormat="true" ht="15.75" hidden="false" customHeight="false" outlineLevel="0" collapsed="false">
      <c r="B175" s="58" t="n">
        <f aca="false">B174-0.25</f>
        <v>-6.05410034759077</v>
      </c>
      <c r="C175" s="61" t="e">
        <f aca="false">IF(B175&lt;-10,(0.00109375*B175^3+0.036875*B175^2+0.309375*B175+0.635)*(G$111-IF(G$102&lt;40,0.95,IF(G$102&lt;160,-0.0025*G$102+1.05,0.65))*G$102)+IF(G$102&lt;40,0.95,IF(G$102&lt;160,-0.0025*G$102+1.05,0.65))*G$102,IF(B175&lt;-7.5,(0.00128*B175^3+0.0536*B175^2+0.588*B175+1.935)*(G$111-IF(G$102&lt;40,0.95,IF(G$102&lt;160,-0.0025*G$102+1.05,0.65))*G$102)+IF(G$102&lt;40,0.95,IF(G$102&lt;160,-0.0025*G$102+1.05,0.65))*G$102,0))+IF(B175&lt;-7.5,0,IF(B175&lt;-4,(-0.00583090379*B175^3-0.02915451895*B175^2+0.5466472303*B175+3.279883382)*((IF(G$102&lt;40,0.95,IF(G$102&lt;160,-0.0025*G$102+1.05,0.65))*0.7+0.3)-IF(G$102&lt;40,0.95,IF(G$102&lt;160,-0.0025*G$102+1.05,0.65)))+IF(G$102&lt;40,0.95,IF(G$102&lt;160,-0.0025*G$102+1.05,0.65)),0))*G$102+IF(B175&lt;-4,0,(0.00125*((4/(B$150+4))*(B175-B$150))^3+0.0225*((4/(B$150+4))*(B175-B$150))^2+0.32*((4/(B$150+4))*(B175-B$150))+1)*(1-(IF(G$102&lt;40,0.95,IF(G$102&lt;160,-0.0025*G$102+1.05,0.65))*0.7+0.3))+(IF(G$102&lt;40,0.95,IF(G$102&lt;160,-0.0025*G$102+1.05,0.65))*0.7+0.3))*G$102+IF(B175&gt;-4,0.0625*((4/(B$150+4))*(B175-B$150))^2+0.5*((4/(B$150+4))*(B175-B$150))+1,0)*(G$112+G$113-D$151*(-2000*G$87+2000))+IF(G$44&gt;0,IF(B175&lt;-8,0,IF(B175&lt;-4.5,-0.04664723032*B175^3-0.8746355685*B175^2-5.037900875*B175-8.209912536,IF(B175&lt;IF(LOG(G$44)&lt;0,2/3*LOG(G$44)-1,-1),-2*(1/(-4.5-IF(LOG(G$44)&lt;0,2/3*LOG(G$44)-1,-1))*(B175-IF(LOG(G$44)&lt;0,2/3*LOG(G$44)-1,-1)))^3+3*(1/(-4.5-IF(LOG(G$44)&lt;0,2/3*LOG(G$44)-1,-1))*(B175-IF(LOG(G$44)&lt;0,2/3*LOG(G$44)-1,-1)))^2,0))),0)*IF(G$102&gt;81,9*G$102^0.5,G$102)*IF(G$82="None",0,G$82)+IF(B175&lt;-5,0,IF(B175&lt;-3,-0.25*B175^3-3*B175^2-11.25*B175-12.5,IF(B175&lt;-1,0.25*B175^3+1.5*B175^2+2.25*B175+1,0)))*IF((G$44/G$99*F$61)&lt;1,0.3645833333*(G$44/G$99*F$61)^3-1.0625*(G$44/G$99*F$61)^2+1.03125*(G$44/G$99*F$61),1/3)*G$102*IF(G$82="None",1,1-G$82)</f>
        <v>#DIV/0!</v>
      </c>
      <c r="D175" s="60" t="e">
        <f aca="false">(C175-C174)/(E175-E174)</f>
        <v>#DIV/0!</v>
      </c>
      <c r="E175" s="57" t="e">
        <f aca="false">IF(D175=0,(8314.4621*C174*LN(H175/H174)/(-G$99*9.80665*G$103)),C174/D175*(1/(H175/H174)^(8314.4621*D175/(G$99*9.80665*G$103))-1))+E174</f>
        <v>#DIV/0!</v>
      </c>
      <c r="F175" s="57" t="e">
        <f aca="false">F$38*E175/(F$38-E175)</f>
        <v>#DIV/0!</v>
      </c>
      <c r="G175" s="57" t="e">
        <f aca="false">8314.4621*C175/(G$103*G$99*9.80665)</f>
        <v>#DIV/0!</v>
      </c>
      <c r="H175" s="60" t="n">
        <f aca="false">10^B175*101325</f>
        <v>0.0894573985966121</v>
      </c>
      <c r="I175" s="60" t="e">
        <f aca="false">H175/(8314.4621/G$103*C175)</f>
        <v>#DIV/0!</v>
      </c>
      <c r="J175" s="57" t="e">
        <f aca="false">SQRT(8314.4621/G$103*G$105*C175)</f>
        <v>#DIV/0!</v>
      </c>
      <c r="K175" s="57" t="e">
        <f aca="false">IF(F$20&gt;0,SQRT(2*G$98/(F$20+N175)),10000)</f>
        <v>#DIV/0!</v>
      </c>
      <c r="L175" s="60" t="e">
        <f aca="false">I175*K175^2/2</f>
        <v>#DIV/0!</v>
      </c>
      <c r="M175" s="60" t="e">
        <f aca="false">I175*K175^3/2</f>
        <v>#DIV/0!</v>
      </c>
      <c r="N175" s="57" t="e">
        <f aca="false">F175*IF(G$128&gt;0,G$128,0.5)</f>
        <v>#DIV/0!</v>
      </c>
      <c r="O175" s="57" t="e">
        <f aca="false">C175-P175*(G$115+(G$114-G$115)*COS(RADIANS(38)))/2</f>
        <v>#DIV/0!</v>
      </c>
      <c r="P175" s="82" t="e">
        <f aca="false">IF(IF(G$129&lt;100000,G$129,100000)&gt;0,IF(N175&lt;IF(G$129&lt;100000,G$129,100000)/3,0.6*(N175*3/IF(G$129&lt;100000,G$129,100000))^3+0.1*(N175*3/IF(G$129&lt;100000,G$129,100000))^2-2*(N175*3/IF(G$129&lt;100000,G$129,100000))+1,0)+IF(N175&lt;IF(G$129&lt;100000,G$129,100000)/3,0,IF(ROUND(N175,-3)&lt;=IF(G$129&lt;100000,G$129,100000),(-2*((N175-IF(G$129&lt;100000,G$129,100000)/3)/(2/3*IF(G$129&lt;100000,G$129,100000)))^3+3*((N175-IF(G$129&lt;100000,G$129,100000)/3)/(2/3*IF(G$129&lt;100000,G$129,100000)))^2)*(G$101^0.25*5/IF(G$114+G$116&gt;5,G$114+G$116,5)+0.3)-0.3,5*G$101^0.25/IF(G$114+G$116&gt;5,G$114+G$116,5))),0)</f>
        <v>#DIV/0!</v>
      </c>
      <c r="Q175" s="104" t="e">
        <f aca="false">IF(L175&gt;L$144,"|",IF(L174&gt;L$144,"V",""))</f>
        <v>#DIV/0!</v>
      </c>
    </row>
    <row r="176" s="1" customFormat="true" ht="15.75" hidden="false" customHeight="false" outlineLevel="0" collapsed="false">
      <c r="B176" s="58" t="n">
        <f aca="false">B175-0.25</f>
        <v>-6.30410034759077</v>
      </c>
      <c r="C176" s="61" t="e">
        <f aca="false">IF(B176&lt;-10,(0.00109375*B176^3+0.036875*B176^2+0.309375*B176+0.635)*(G$111-IF(G$102&lt;40,0.95,IF(G$102&lt;160,-0.0025*G$102+1.05,0.65))*G$102)+IF(G$102&lt;40,0.95,IF(G$102&lt;160,-0.0025*G$102+1.05,0.65))*G$102,IF(B176&lt;-7.5,(0.00128*B176^3+0.0536*B176^2+0.588*B176+1.935)*(G$111-IF(G$102&lt;40,0.95,IF(G$102&lt;160,-0.0025*G$102+1.05,0.65))*G$102)+IF(G$102&lt;40,0.95,IF(G$102&lt;160,-0.0025*G$102+1.05,0.65))*G$102,0))+IF(B176&lt;-7.5,0,IF(B176&lt;-4,(-0.00583090379*B176^3-0.02915451895*B176^2+0.5466472303*B176+3.279883382)*((IF(G$102&lt;40,0.95,IF(G$102&lt;160,-0.0025*G$102+1.05,0.65))*0.7+0.3)-IF(G$102&lt;40,0.95,IF(G$102&lt;160,-0.0025*G$102+1.05,0.65)))+IF(G$102&lt;40,0.95,IF(G$102&lt;160,-0.0025*G$102+1.05,0.65)),0))*G$102+IF(B176&lt;-4,0,(0.00125*((4/(B$150+4))*(B176-B$150))^3+0.0225*((4/(B$150+4))*(B176-B$150))^2+0.32*((4/(B$150+4))*(B176-B$150))+1)*(1-(IF(G$102&lt;40,0.95,IF(G$102&lt;160,-0.0025*G$102+1.05,0.65))*0.7+0.3))+(IF(G$102&lt;40,0.95,IF(G$102&lt;160,-0.0025*G$102+1.05,0.65))*0.7+0.3))*G$102+IF(B176&gt;-4,0.0625*((4/(B$150+4))*(B176-B$150))^2+0.5*((4/(B$150+4))*(B176-B$150))+1,0)*(G$112+G$113-D$151*(-2000*G$87+2000))+IF(G$44&gt;0,IF(B176&lt;-8,0,IF(B176&lt;-4.5,-0.04664723032*B176^3-0.8746355685*B176^2-5.037900875*B176-8.209912536,IF(B176&lt;IF(LOG(G$44)&lt;0,2/3*LOG(G$44)-1,-1),-2*(1/(-4.5-IF(LOG(G$44)&lt;0,2/3*LOG(G$44)-1,-1))*(B176-IF(LOG(G$44)&lt;0,2/3*LOG(G$44)-1,-1)))^3+3*(1/(-4.5-IF(LOG(G$44)&lt;0,2/3*LOG(G$44)-1,-1))*(B176-IF(LOG(G$44)&lt;0,2/3*LOG(G$44)-1,-1)))^2,0))),0)*IF(G$102&gt;81,9*G$102^0.5,G$102)*IF(G$82="None",0,G$82)+IF(B176&lt;-5,0,IF(B176&lt;-3,-0.25*B176^3-3*B176^2-11.25*B176-12.5,IF(B176&lt;-1,0.25*B176^3+1.5*B176^2+2.25*B176+1,0)))*IF((G$44/G$99*F$61)&lt;1,0.3645833333*(G$44/G$99*F$61)^3-1.0625*(G$44/G$99*F$61)^2+1.03125*(G$44/G$99*F$61),1/3)*G$102*IF(G$82="None",1,1-G$82)</f>
        <v>#DIV/0!</v>
      </c>
      <c r="D176" s="60" t="e">
        <f aca="false">(C176-C175)/(E176-E175)</f>
        <v>#DIV/0!</v>
      </c>
      <c r="E176" s="57" t="e">
        <f aca="false">IF(D176=0,(8314.4621*C175*LN(H176/H175)/(-G$99*9.80665*G$103)),C175/D176*(1/(H176/H175)^(8314.4621*D176/(G$99*9.80665*G$103))-1))+E175</f>
        <v>#DIV/0!</v>
      </c>
      <c r="F176" s="57" t="e">
        <f aca="false">F$38*E176/(F$38-E176)</f>
        <v>#DIV/0!</v>
      </c>
      <c r="G176" s="57" t="e">
        <f aca="false">8314.4621*C176/(G$103*G$99*9.80665)</f>
        <v>#DIV/0!</v>
      </c>
      <c r="H176" s="60" t="n">
        <f aca="false">10^B176*101325</f>
        <v>0.0503055920749001</v>
      </c>
      <c r="I176" s="60" t="e">
        <f aca="false">H176/(8314.4621/G$103*C176)</f>
        <v>#DIV/0!</v>
      </c>
      <c r="J176" s="57" t="e">
        <f aca="false">SQRT(8314.4621/G$103*G$105*C176)</f>
        <v>#DIV/0!</v>
      </c>
      <c r="K176" s="57" t="e">
        <f aca="false">IF(F$20&gt;0,SQRT(2*G$98/(F$20+N176)),10000)</f>
        <v>#DIV/0!</v>
      </c>
      <c r="L176" s="60" t="e">
        <f aca="false">I176*K176^2/2</f>
        <v>#DIV/0!</v>
      </c>
      <c r="M176" s="60" t="e">
        <f aca="false">I176*K176^3/2</f>
        <v>#DIV/0!</v>
      </c>
      <c r="N176" s="57" t="e">
        <f aca="false">F176*IF(G$128&gt;0,G$128,0.5)</f>
        <v>#DIV/0!</v>
      </c>
      <c r="O176" s="57" t="e">
        <f aca="false">C176-P176*(G$115+(G$114-G$115)*COS(RADIANS(38)))/2</f>
        <v>#DIV/0!</v>
      </c>
      <c r="P176" s="82" t="e">
        <f aca="false">IF(IF(G$129&lt;100000,G$129,100000)&gt;0,IF(N176&lt;IF(G$129&lt;100000,G$129,100000)/3,0.6*(N176*3/IF(G$129&lt;100000,G$129,100000))^3+0.1*(N176*3/IF(G$129&lt;100000,G$129,100000))^2-2*(N176*3/IF(G$129&lt;100000,G$129,100000))+1,0)+IF(N176&lt;IF(G$129&lt;100000,G$129,100000)/3,0,IF(ROUND(N176,-3)&lt;=IF(G$129&lt;100000,G$129,100000),(-2*((N176-IF(G$129&lt;100000,G$129,100000)/3)/(2/3*IF(G$129&lt;100000,G$129,100000)))^3+3*((N176-IF(G$129&lt;100000,G$129,100000)/3)/(2/3*IF(G$129&lt;100000,G$129,100000)))^2)*(G$101^0.25*5/IF(G$114+G$116&gt;5,G$114+G$116,5)+0.3)-0.3,5*G$101^0.25/IF(G$114+G$116&gt;5,G$114+G$116,5))),0)</f>
        <v>#DIV/0!</v>
      </c>
      <c r="Q176" s="104" t="e">
        <f aca="false">IF(L176&gt;L$144,"|",IF(L175&gt;L$144,"V",""))</f>
        <v>#DIV/0!</v>
      </c>
    </row>
    <row r="177" s="1" customFormat="true" ht="15.75" hidden="false" customHeight="false" outlineLevel="0" collapsed="false">
      <c r="B177" s="58" t="n">
        <f aca="false">B176-0.25</f>
        <v>-6.55410034759077</v>
      </c>
      <c r="C177" s="61" t="e">
        <f aca="false">IF(B177&lt;-10,(0.00109375*B177^3+0.036875*B177^2+0.309375*B177+0.635)*(G$111-IF(G$102&lt;40,0.95,IF(G$102&lt;160,-0.0025*G$102+1.05,0.65))*G$102)+IF(G$102&lt;40,0.95,IF(G$102&lt;160,-0.0025*G$102+1.05,0.65))*G$102,IF(B177&lt;-7.5,(0.00128*B177^3+0.0536*B177^2+0.588*B177+1.935)*(G$111-IF(G$102&lt;40,0.95,IF(G$102&lt;160,-0.0025*G$102+1.05,0.65))*G$102)+IF(G$102&lt;40,0.95,IF(G$102&lt;160,-0.0025*G$102+1.05,0.65))*G$102,0))+IF(B177&lt;-7.5,0,IF(B177&lt;-4,(-0.00583090379*B177^3-0.02915451895*B177^2+0.5466472303*B177+3.279883382)*((IF(G$102&lt;40,0.95,IF(G$102&lt;160,-0.0025*G$102+1.05,0.65))*0.7+0.3)-IF(G$102&lt;40,0.95,IF(G$102&lt;160,-0.0025*G$102+1.05,0.65)))+IF(G$102&lt;40,0.95,IF(G$102&lt;160,-0.0025*G$102+1.05,0.65)),0))*G$102+IF(B177&lt;-4,0,(0.00125*((4/(B$150+4))*(B177-B$150))^3+0.0225*((4/(B$150+4))*(B177-B$150))^2+0.32*((4/(B$150+4))*(B177-B$150))+1)*(1-(IF(G$102&lt;40,0.95,IF(G$102&lt;160,-0.0025*G$102+1.05,0.65))*0.7+0.3))+(IF(G$102&lt;40,0.95,IF(G$102&lt;160,-0.0025*G$102+1.05,0.65))*0.7+0.3))*G$102+IF(B177&gt;-4,0.0625*((4/(B$150+4))*(B177-B$150))^2+0.5*((4/(B$150+4))*(B177-B$150))+1,0)*(G$112+G$113-D$151*(-2000*G$87+2000))+IF(G$44&gt;0,IF(B177&lt;-8,0,IF(B177&lt;-4.5,-0.04664723032*B177^3-0.8746355685*B177^2-5.037900875*B177-8.209912536,IF(B177&lt;IF(LOG(G$44)&lt;0,2/3*LOG(G$44)-1,-1),-2*(1/(-4.5-IF(LOG(G$44)&lt;0,2/3*LOG(G$44)-1,-1))*(B177-IF(LOG(G$44)&lt;0,2/3*LOG(G$44)-1,-1)))^3+3*(1/(-4.5-IF(LOG(G$44)&lt;0,2/3*LOG(G$44)-1,-1))*(B177-IF(LOG(G$44)&lt;0,2/3*LOG(G$44)-1,-1)))^2,0))),0)*IF(G$102&gt;81,9*G$102^0.5,G$102)*IF(G$82="None",0,G$82)+IF(B177&lt;-5,0,IF(B177&lt;-3,-0.25*B177^3-3*B177^2-11.25*B177-12.5,IF(B177&lt;-1,0.25*B177^3+1.5*B177^2+2.25*B177+1,0)))*IF((G$44/G$99*F$61)&lt;1,0.3645833333*(G$44/G$99*F$61)^3-1.0625*(G$44/G$99*F$61)^2+1.03125*(G$44/G$99*F$61),1/3)*G$102*IF(G$82="None",1,1-G$82)</f>
        <v>#DIV/0!</v>
      </c>
      <c r="D177" s="60" t="e">
        <f aca="false">(C177-C176)/(E177-E176)</f>
        <v>#DIV/0!</v>
      </c>
      <c r="E177" s="57" t="e">
        <f aca="false">IF(D177=0,(8314.4621*C176*LN(H177/H176)/(-G$99*9.80665*G$103)),C176/D177*(1/(H177/H176)^(8314.4621*D177/(G$99*9.80665*G$103))-1))+E176</f>
        <v>#DIV/0!</v>
      </c>
      <c r="F177" s="57" t="e">
        <f aca="false">F$38*E177/(F$38-E177)</f>
        <v>#DIV/0!</v>
      </c>
      <c r="G177" s="57" t="e">
        <f aca="false">8314.4621*C177/(G$103*G$99*9.80665)</f>
        <v>#DIV/0!</v>
      </c>
      <c r="H177" s="60" t="n">
        <f aca="false">10^B177*101325</f>
        <v>0.0282889133118844</v>
      </c>
      <c r="I177" s="60" t="e">
        <f aca="false">H177/(8314.4621/G$103*C177)</f>
        <v>#DIV/0!</v>
      </c>
      <c r="J177" s="57" t="e">
        <f aca="false">SQRT(8314.4621/G$103*G$105*C177)</f>
        <v>#DIV/0!</v>
      </c>
      <c r="K177" s="57" t="e">
        <f aca="false">IF(F$20&gt;0,SQRT(2*G$98/(F$20+N177)),10000)</f>
        <v>#DIV/0!</v>
      </c>
      <c r="L177" s="60" t="e">
        <f aca="false">I177*K177^2/2</f>
        <v>#DIV/0!</v>
      </c>
      <c r="M177" s="60" t="e">
        <f aca="false">I177*K177^3/2</f>
        <v>#DIV/0!</v>
      </c>
      <c r="N177" s="57" t="e">
        <f aca="false">F177*IF(G$128&gt;0,G$128,0.5)</f>
        <v>#DIV/0!</v>
      </c>
      <c r="O177" s="57" t="e">
        <f aca="false">C177-P177*(G$115+(G$114-G$115)*COS(RADIANS(38)))/2</f>
        <v>#DIV/0!</v>
      </c>
      <c r="P177" s="82" t="e">
        <f aca="false">IF(IF(G$129&lt;100000,G$129,100000)&gt;0,IF(N177&lt;IF(G$129&lt;100000,G$129,100000)/3,0.6*(N177*3/IF(G$129&lt;100000,G$129,100000))^3+0.1*(N177*3/IF(G$129&lt;100000,G$129,100000))^2-2*(N177*3/IF(G$129&lt;100000,G$129,100000))+1,0)+IF(N177&lt;IF(G$129&lt;100000,G$129,100000)/3,0,IF(ROUND(N177,-3)&lt;=IF(G$129&lt;100000,G$129,100000),(-2*((N177-IF(G$129&lt;100000,G$129,100000)/3)/(2/3*IF(G$129&lt;100000,G$129,100000)))^3+3*((N177-IF(G$129&lt;100000,G$129,100000)/3)/(2/3*IF(G$129&lt;100000,G$129,100000)))^2)*(G$101^0.25*5/IF(G$114+G$116&gt;5,G$114+G$116,5)+0.3)-0.3,5*G$101^0.25/IF(G$114+G$116&gt;5,G$114+G$116,5))),0)</f>
        <v>#DIV/0!</v>
      </c>
      <c r="Q177" s="104" t="e">
        <f aca="false">IF(L177&gt;L$144,"|",IF(L176&gt;L$144,"V",""))</f>
        <v>#DIV/0!</v>
      </c>
    </row>
    <row r="178" s="1" customFormat="true" ht="15.75" hidden="false" customHeight="false" outlineLevel="0" collapsed="false">
      <c r="B178" s="58" t="n">
        <f aca="false">B177-0.25</f>
        <v>-6.80410034759077</v>
      </c>
      <c r="C178" s="61" t="e">
        <f aca="false">IF(B178&lt;-10,(0.00109375*B178^3+0.036875*B178^2+0.309375*B178+0.635)*(G$111-IF(G$102&lt;40,0.95,IF(G$102&lt;160,-0.0025*G$102+1.05,0.65))*G$102)+IF(G$102&lt;40,0.95,IF(G$102&lt;160,-0.0025*G$102+1.05,0.65))*G$102,IF(B178&lt;-7.5,(0.00128*B178^3+0.0536*B178^2+0.588*B178+1.935)*(G$111-IF(G$102&lt;40,0.95,IF(G$102&lt;160,-0.0025*G$102+1.05,0.65))*G$102)+IF(G$102&lt;40,0.95,IF(G$102&lt;160,-0.0025*G$102+1.05,0.65))*G$102,0))+IF(B178&lt;-7.5,0,IF(B178&lt;-4,(-0.00583090379*B178^3-0.02915451895*B178^2+0.5466472303*B178+3.279883382)*((IF(G$102&lt;40,0.95,IF(G$102&lt;160,-0.0025*G$102+1.05,0.65))*0.7+0.3)-IF(G$102&lt;40,0.95,IF(G$102&lt;160,-0.0025*G$102+1.05,0.65)))+IF(G$102&lt;40,0.95,IF(G$102&lt;160,-0.0025*G$102+1.05,0.65)),0))*G$102+IF(B178&lt;-4,0,(0.00125*((4/(B$150+4))*(B178-B$150))^3+0.0225*((4/(B$150+4))*(B178-B$150))^2+0.32*((4/(B$150+4))*(B178-B$150))+1)*(1-(IF(G$102&lt;40,0.95,IF(G$102&lt;160,-0.0025*G$102+1.05,0.65))*0.7+0.3))+(IF(G$102&lt;40,0.95,IF(G$102&lt;160,-0.0025*G$102+1.05,0.65))*0.7+0.3))*G$102+IF(B178&gt;-4,0.0625*((4/(B$150+4))*(B178-B$150))^2+0.5*((4/(B$150+4))*(B178-B$150))+1,0)*(G$112+G$113-D$151*(-2000*G$87+2000))+IF(G$44&gt;0,IF(B178&lt;-8,0,IF(B178&lt;-4.5,-0.04664723032*B178^3-0.8746355685*B178^2-5.037900875*B178-8.209912536,IF(B178&lt;IF(LOG(G$44)&lt;0,2/3*LOG(G$44)-1,-1),-2*(1/(-4.5-IF(LOG(G$44)&lt;0,2/3*LOG(G$44)-1,-1))*(B178-IF(LOG(G$44)&lt;0,2/3*LOG(G$44)-1,-1)))^3+3*(1/(-4.5-IF(LOG(G$44)&lt;0,2/3*LOG(G$44)-1,-1))*(B178-IF(LOG(G$44)&lt;0,2/3*LOG(G$44)-1,-1)))^2,0))),0)*IF(G$102&gt;81,9*G$102^0.5,G$102)*IF(G$82="None",0,G$82)+IF(B178&lt;-5,0,IF(B178&lt;-3,-0.25*B178^3-3*B178^2-11.25*B178-12.5,IF(B178&lt;-1,0.25*B178^3+1.5*B178^2+2.25*B178+1,0)))*IF((G$44/G$99*F$61)&lt;1,0.3645833333*(G$44/G$99*F$61)^3-1.0625*(G$44/G$99*F$61)^2+1.03125*(G$44/G$99*F$61),1/3)*G$102*IF(G$82="None",1,1-G$82)</f>
        <v>#DIV/0!</v>
      </c>
      <c r="D178" s="60" t="e">
        <f aca="false">(C178-C177)/(E178-E177)</f>
        <v>#DIV/0!</v>
      </c>
      <c r="E178" s="57" t="e">
        <f aca="false">IF(D178=0,(8314.4621*C177*LN(H178/H177)/(-G$99*9.80665*G$103)),C177/D178*(1/(H178/H177)^(8314.4621*D178/(G$99*9.80665*G$103))-1))+E177</f>
        <v>#DIV/0!</v>
      </c>
      <c r="F178" s="57" t="e">
        <f aca="false">F$38*E178/(F$38-E178)</f>
        <v>#DIV/0!</v>
      </c>
      <c r="G178" s="57" t="e">
        <f aca="false">8314.4621*C178/(G$103*G$99*9.80665)</f>
        <v>#DIV/0!</v>
      </c>
      <c r="H178" s="60" t="n">
        <f aca="false">10^B178*101325</f>
        <v>0.015908025</v>
      </c>
      <c r="I178" s="60" t="e">
        <f aca="false">H178/(8314.4621/G$103*C178)</f>
        <v>#DIV/0!</v>
      </c>
      <c r="J178" s="57" t="e">
        <f aca="false">SQRT(8314.4621/G$103*G$105*C178)</f>
        <v>#DIV/0!</v>
      </c>
      <c r="K178" s="57" t="e">
        <f aca="false">IF(F$20&gt;0,SQRT(2*G$98/(F$20+N178)),10000)</f>
        <v>#DIV/0!</v>
      </c>
      <c r="L178" s="60" t="e">
        <f aca="false">I178*K178^2/2</f>
        <v>#DIV/0!</v>
      </c>
      <c r="M178" s="60" t="e">
        <f aca="false">I178*K178^3/2</f>
        <v>#DIV/0!</v>
      </c>
      <c r="N178" s="57" t="e">
        <f aca="false">F178*IF(G$128&gt;0,G$128,0.5)</f>
        <v>#DIV/0!</v>
      </c>
      <c r="O178" s="57" t="e">
        <f aca="false">C178-P178*(G$115+(G$114-G$115)*COS(RADIANS(38)))/2</f>
        <v>#DIV/0!</v>
      </c>
      <c r="P178" s="82" t="e">
        <f aca="false">IF(IF(G$129&lt;100000,G$129,100000)&gt;0,IF(N178&lt;IF(G$129&lt;100000,G$129,100000)/3,0.6*(N178*3/IF(G$129&lt;100000,G$129,100000))^3+0.1*(N178*3/IF(G$129&lt;100000,G$129,100000))^2-2*(N178*3/IF(G$129&lt;100000,G$129,100000))+1,0)+IF(N178&lt;IF(G$129&lt;100000,G$129,100000)/3,0,IF(ROUND(N178,-3)&lt;=IF(G$129&lt;100000,G$129,100000),(-2*((N178-IF(G$129&lt;100000,G$129,100000)/3)/(2/3*IF(G$129&lt;100000,G$129,100000)))^3+3*((N178-IF(G$129&lt;100000,G$129,100000)/3)/(2/3*IF(G$129&lt;100000,G$129,100000)))^2)*(G$101^0.25*5/IF(G$114+G$116&gt;5,G$114+G$116,5)+0.3)-0.3,5*G$101^0.25/IF(G$114+G$116&gt;5,G$114+G$116,5))),0)</f>
        <v>#DIV/0!</v>
      </c>
      <c r="Q178" s="104" t="e">
        <f aca="false">IF(L178&gt;L$144,"|",IF(L177&gt;L$144,"V",""))</f>
        <v>#DIV/0!</v>
      </c>
    </row>
    <row r="179" s="1" customFormat="true" ht="15.75" hidden="false" customHeight="false" outlineLevel="0" collapsed="false">
      <c r="B179" s="58" t="n">
        <f aca="false">B178-0.25</f>
        <v>-7.05410034759077</v>
      </c>
      <c r="C179" s="61" t="e">
        <f aca="false">IF(B179&lt;-10,(0.00109375*B179^3+0.036875*B179^2+0.309375*B179+0.635)*(G$111-IF(G$102&lt;40,0.95,IF(G$102&lt;160,-0.0025*G$102+1.05,0.65))*G$102)+IF(G$102&lt;40,0.95,IF(G$102&lt;160,-0.0025*G$102+1.05,0.65))*G$102,IF(B179&lt;-7.5,(0.00128*B179^3+0.0536*B179^2+0.588*B179+1.935)*(G$111-IF(G$102&lt;40,0.95,IF(G$102&lt;160,-0.0025*G$102+1.05,0.65))*G$102)+IF(G$102&lt;40,0.95,IF(G$102&lt;160,-0.0025*G$102+1.05,0.65))*G$102,0))+IF(B179&lt;-7.5,0,IF(B179&lt;-4,(-0.00583090379*B179^3-0.02915451895*B179^2+0.5466472303*B179+3.279883382)*((IF(G$102&lt;40,0.95,IF(G$102&lt;160,-0.0025*G$102+1.05,0.65))*0.7+0.3)-IF(G$102&lt;40,0.95,IF(G$102&lt;160,-0.0025*G$102+1.05,0.65)))+IF(G$102&lt;40,0.95,IF(G$102&lt;160,-0.0025*G$102+1.05,0.65)),0))*G$102+IF(B179&lt;-4,0,(0.00125*((4/(B$150+4))*(B179-B$150))^3+0.0225*((4/(B$150+4))*(B179-B$150))^2+0.32*((4/(B$150+4))*(B179-B$150))+1)*(1-(IF(G$102&lt;40,0.95,IF(G$102&lt;160,-0.0025*G$102+1.05,0.65))*0.7+0.3))+(IF(G$102&lt;40,0.95,IF(G$102&lt;160,-0.0025*G$102+1.05,0.65))*0.7+0.3))*G$102+IF(B179&gt;-4,0.0625*((4/(B$150+4))*(B179-B$150))^2+0.5*((4/(B$150+4))*(B179-B$150))+1,0)*(G$112+G$113-D$151*(-2000*G$87+2000))+IF(G$44&gt;0,IF(B179&lt;-8,0,IF(B179&lt;-4.5,-0.04664723032*B179^3-0.8746355685*B179^2-5.037900875*B179-8.209912536,IF(B179&lt;IF(LOG(G$44)&lt;0,2/3*LOG(G$44)-1,-1),-2*(1/(-4.5-IF(LOG(G$44)&lt;0,2/3*LOG(G$44)-1,-1))*(B179-IF(LOG(G$44)&lt;0,2/3*LOG(G$44)-1,-1)))^3+3*(1/(-4.5-IF(LOG(G$44)&lt;0,2/3*LOG(G$44)-1,-1))*(B179-IF(LOG(G$44)&lt;0,2/3*LOG(G$44)-1,-1)))^2,0))),0)*IF(G$102&gt;81,9*G$102^0.5,G$102)*IF(G$82="None",0,G$82)+IF(B179&lt;-5,0,IF(B179&lt;-3,-0.25*B179^3-3*B179^2-11.25*B179-12.5,IF(B179&lt;-1,0.25*B179^3+1.5*B179^2+2.25*B179+1,0)))*IF((G$44/G$99*F$61)&lt;1,0.3645833333*(G$44/G$99*F$61)^3-1.0625*(G$44/G$99*F$61)^2+1.03125*(G$44/G$99*F$61),1/3)*G$102*IF(G$82="None",1,1-G$82)</f>
        <v>#DIV/0!</v>
      </c>
      <c r="D179" s="60" t="e">
        <f aca="false">(C179-C178)/(E179-E178)</f>
        <v>#DIV/0!</v>
      </c>
      <c r="E179" s="57" t="e">
        <f aca="false">IF(D179=0,(8314.4621*C178*LN(H179/H178)/(-G$99*9.80665*G$103)),C178/D179*(1/(H179/H178)^(8314.4621*D179/(G$99*9.80665*G$103))-1))+E178</f>
        <v>#DIV/0!</v>
      </c>
      <c r="F179" s="57" t="e">
        <f aca="false">F$38*E179/(F$38-E179)</f>
        <v>#DIV/0!</v>
      </c>
      <c r="G179" s="57" t="e">
        <f aca="false">8314.4621*C179/(G$103*G$99*9.80665)</f>
        <v>#DIV/0!</v>
      </c>
      <c r="H179" s="60" t="n">
        <f aca="false">10^B179*101325</f>
        <v>0.00894573985966121</v>
      </c>
      <c r="I179" s="60" t="e">
        <f aca="false">H179/(8314.4621/G$103*C179)</f>
        <v>#DIV/0!</v>
      </c>
      <c r="J179" s="57" t="e">
        <f aca="false">SQRT(8314.4621/G$103*G$105*C179)</f>
        <v>#DIV/0!</v>
      </c>
      <c r="K179" s="57" t="e">
        <f aca="false">IF(F$20&gt;0,SQRT(2*G$98/(F$20+N179)),10000)</f>
        <v>#DIV/0!</v>
      </c>
      <c r="L179" s="60" t="e">
        <f aca="false">I179*K179^2/2</f>
        <v>#DIV/0!</v>
      </c>
      <c r="M179" s="60" t="e">
        <f aca="false">I179*K179^3/2</f>
        <v>#DIV/0!</v>
      </c>
      <c r="N179" s="57" t="e">
        <f aca="false">F179*IF(G$128&gt;0,G$128,0.5)</f>
        <v>#DIV/0!</v>
      </c>
      <c r="O179" s="57" t="e">
        <f aca="false">C179-P179*(G$115+(G$114-G$115)*COS(RADIANS(38)))/2</f>
        <v>#DIV/0!</v>
      </c>
      <c r="P179" s="82" t="e">
        <f aca="false">IF(IF(G$129&lt;100000,G$129,100000)&gt;0,IF(N179&lt;IF(G$129&lt;100000,G$129,100000)/3,0.6*(N179*3/IF(G$129&lt;100000,G$129,100000))^3+0.1*(N179*3/IF(G$129&lt;100000,G$129,100000))^2-2*(N179*3/IF(G$129&lt;100000,G$129,100000))+1,0)+IF(N179&lt;IF(G$129&lt;100000,G$129,100000)/3,0,IF(ROUND(N179,-3)&lt;=IF(G$129&lt;100000,G$129,100000),(-2*((N179-IF(G$129&lt;100000,G$129,100000)/3)/(2/3*IF(G$129&lt;100000,G$129,100000)))^3+3*((N179-IF(G$129&lt;100000,G$129,100000)/3)/(2/3*IF(G$129&lt;100000,G$129,100000)))^2)*(G$101^0.25*5/IF(G$114+G$116&gt;5,G$114+G$116,5)+0.3)-0.3,5*G$101^0.25/IF(G$114+G$116&gt;5,G$114+G$116,5))),0)</f>
        <v>#DIV/0!</v>
      </c>
      <c r="Q179" s="104" t="e">
        <f aca="false">IF(L179&gt;L$144,"|",IF(L178&gt;L$144,"V",""))</f>
        <v>#DIV/0!</v>
      </c>
    </row>
    <row r="180" s="1" customFormat="true" ht="15.75" hidden="false" customHeight="false" outlineLevel="0" collapsed="false">
      <c r="B180" s="58" t="n">
        <f aca="false">B179-0.25</f>
        <v>-7.30410034759077</v>
      </c>
      <c r="C180" s="61" t="e">
        <f aca="false">IF(B180&lt;-10,(0.00109375*B180^3+0.036875*B180^2+0.309375*B180+0.635)*(G$111-IF(G$102&lt;40,0.95,IF(G$102&lt;160,-0.0025*G$102+1.05,0.65))*G$102)+IF(G$102&lt;40,0.95,IF(G$102&lt;160,-0.0025*G$102+1.05,0.65))*G$102,IF(B180&lt;-7.5,(0.00128*B180^3+0.0536*B180^2+0.588*B180+1.935)*(G$111-IF(G$102&lt;40,0.95,IF(G$102&lt;160,-0.0025*G$102+1.05,0.65))*G$102)+IF(G$102&lt;40,0.95,IF(G$102&lt;160,-0.0025*G$102+1.05,0.65))*G$102,0))+IF(B180&lt;-7.5,0,IF(B180&lt;-4,(-0.00583090379*B180^3-0.02915451895*B180^2+0.5466472303*B180+3.279883382)*((IF(G$102&lt;40,0.95,IF(G$102&lt;160,-0.0025*G$102+1.05,0.65))*0.7+0.3)-IF(G$102&lt;40,0.95,IF(G$102&lt;160,-0.0025*G$102+1.05,0.65)))+IF(G$102&lt;40,0.95,IF(G$102&lt;160,-0.0025*G$102+1.05,0.65)),0))*G$102+IF(B180&lt;-4,0,(0.00125*((4/(B$150+4))*(B180-B$150))^3+0.0225*((4/(B$150+4))*(B180-B$150))^2+0.32*((4/(B$150+4))*(B180-B$150))+1)*(1-(IF(G$102&lt;40,0.95,IF(G$102&lt;160,-0.0025*G$102+1.05,0.65))*0.7+0.3))+(IF(G$102&lt;40,0.95,IF(G$102&lt;160,-0.0025*G$102+1.05,0.65))*0.7+0.3))*G$102+IF(B180&gt;-4,0.0625*((4/(B$150+4))*(B180-B$150))^2+0.5*((4/(B$150+4))*(B180-B$150))+1,0)*(G$112+G$113-D$151*(-2000*G$87+2000))+IF(G$44&gt;0,IF(B180&lt;-8,0,IF(B180&lt;-4.5,-0.04664723032*B180^3-0.8746355685*B180^2-5.037900875*B180-8.209912536,IF(B180&lt;IF(LOG(G$44)&lt;0,2/3*LOG(G$44)-1,-1),-2*(1/(-4.5-IF(LOG(G$44)&lt;0,2/3*LOG(G$44)-1,-1))*(B180-IF(LOG(G$44)&lt;0,2/3*LOG(G$44)-1,-1)))^3+3*(1/(-4.5-IF(LOG(G$44)&lt;0,2/3*LOG(G$44)-1,-1))*(B180-IF(LOG(G$44)&lt;0,2/3*LOG(G$44)-1,-1)))^2,0))),0)*IF(G$102&gt;81,9*G$102^0.5,G$102)*IF(G$82="None",0,G$82)+IF(B180&lt;-5,0,IF(B180&lt;-3,-0.25*B180^3-3*B180^2-11.25*B180-12.5,IF(B180&lt;-1,0.25*B180^3+1.5*B180^2+2.25*B180+1,0)))*IF((G$44/G$99*F$61)&lt;1,0.3645833333*(G$44/G$99*F$61)^3-1.0625*(G$44/G$99*F$61)^2+1.03125*(G$44/G$99*F$61),1/3)*G$102*IF(G$82="None",1,1-G$82)</f>
        <v>#DIV/0!</v>
      </c>
      <c r="D180" s="60" t="e">
        <f aca="false">(C180-C179)/(E180-E179)</f>
        <v>#DIV/0!</v>
      </c>
      <c r="E180" s="57" t="e">
        <f aca="false">IF(D180=0,(8314.4621*C179*LN(H180/H179)/(-G$99*9.80665*G$103)),C179/D180*(1/(H180/H179)^(8314.4621*D180/(G$99*9.80665*G$103))-1))+E179</f>
        <v>#DIV/0!</v>
      </c>
      <c r="F180" s="57" t="e">
        <f aca="false">F$38*E180/(F$38-E180)</f>
        <v>#DIV/0!</v>
      </c>
      <c r="G180" s="57" t="e">
        <f aca="false">8314.4621*C180/(G$103*G$99*9.80665)</f>
        <v>#DIV/0!</v>
      </c>
      <c r="H180" s="60" t="n">
        <f aca="false">10^B180*101325</f>
        <v>0.00503055920749001</v>
      </c>
      <c r="I180" s="60" t="e">
        <f aca="false">H180/(8314.4621/G$103*C180)</f>
        <v>#DIV/0!</v>
      </c>
      <c r="J180" s="57" t="e">
        <f aca="false">SQRT(8314.4621/G$103*G$105*C180)</f>
        <v>#DIV/0!</v>
      </c>
      <c r="K180" s="57" t="e">
        <f aca="false">IF(F$20&gt;0,SQRT(2*G$98/(F$20+N180)),10000)</f>
        <v>#DIV/0!</v>
      </c>
      <c r="L180" s="60" t="e">
        <f aca="false">I180*K180^2/2</f>
        <v>#DIV/0!</v>
      </c>
      <c r="M180" s="60" t="e">
        <f aca="false">I180*K180^3/2</f>
        <v>#DIV/0!</v>
      </c>
      <c r="N180" s="57" t="e">
        <f aca="false">F180*IF(G$128&gt;0,G$128,0.5)</f>
        <v>#DIV/0!</v>
      </c>
      <c r="O180" s="57" t="e">
        <f aca="false">C180-P180*(G$115+(G$114-G$115)*COS(RADIANS(38)))/2</f>
        <v>#DIV/0!</v>
      </c>
      <c r="P180" s="82" t="e">
        <f aca="false">IF(IF(G$129&lt;100000,G$129,100000)&gt;0,IF(N180&lt;IF(G$129&lt;100000,G$129,100000)/3,0.6*(N180*3/IF(G$129&lt;100000,G$129,100000))^3+0.1*(N180*3/IF(G$129&lt;100000,G$129,100000))^2-2*(N180*3/IF(G$129&lt;100000,G$129,100000))+1,0)+IF(N180&lt;IF(G$129&lt;100000,G$129,100000)/3,0,IF(ROUND(N180,-3)&lt;=IF(G$129&lt;100000,G$129,100000),(-2*((N180-IF(G$129&lt;100000,G$129,100000)/3)/(2/3*IF(G$129&lt;100000,G$129,100000)))^3+3*((N180-IF(G$129&lt;100000,G$129,100000)/3)/(2/3*IF(G$129&lt;100000,G$129,100000)))^2)*(G$101^0.25*5/IF(G$114+G$116&gt;5,G$114+G$116,5)+0.3)-0.3,5*G$101^0.25/IF(G$114+G$116&gt;5,G$114+G$116,5))),0)</f>
        <v>#DIV/0!</v>
      </c>
      <c r="Q180" s="104" t="e">
        <f aca="false">IF(L180&gt;L$144,"|",IF(L179&gt;L$144,"V",""))</f>
        <v>#DIV/0!</v>
      </c>
    </row>
    <row r="181" s="1" customFormat="true" ht="15.75" hidden="false" customHeight="false" outlineLevel="0" collapsed="false">
      <c r="B181" s="58" t="n">
        <f aca="false">B180-0.25</f>
        <v>-7.55410034759077</v>
      </c>
      <c r="C181" s="61" t="e">
        <f aca="false">IF(B181&lt;-10,(0.00109375*B181^3+0.036875*B181^2+0.309375*B181+0.635)*(G$111-IF(G$102&lt;40,0.95,IF(G$102&lt;160,-0.0025*G$102+1.05,0.65))*G$102)+IF(G$102&lt;40,0.95,IF(G$102&lt;160,-0.0025*G$102+1.05,0.65))*G$102,IF(B181&lt;-7.5,(0.00128*B181^3+0.0536*B181^2+0.588*B181+1.935)*(G$111-IF(G$102&lt;40,0.95,IF(G$102&lt;160,-0.0025*G$102+1.05,0.65))*G$102)+IF(G$102&lt;40,0.95,IF(G$102&lt;160,-0.0025*G$102+1.05,0.65))*G$102,0))+IF(B181&lt;-7.5,0,IF(B181&lt;-4,(-0.00583090379*B181^3-0.02915451895*B181^2+0.5466472303*B181+3.279883382)*((IF(G$102&lt;40,0.95,IF(G$102&lt;160,-0.0025*G$102+1.05,0.65))*0.7+0.3)-IF(G$102&lt;40,0.95,IF(G$102&lt;160,-0.0025*G$102+1.05,0.65)))+IF(G$102&lt;40,0.95,IF(G$102&lt;160,-0.0025*G$102+1.05,0.65)),0))*G$102+IF(B181&lt;-4,0,(0.00125*((4/(B$150+4))*(B181-B$150))^3+0.0225*((4/(B$150+4))*(B181-B$150))^2+0.32*((4/(B$150+4))*(B181-B$150))+1)*(1-(IF(G$102&lt;40,0.95,IF(G$102&lt;160,-0.0025*G$102+1.05,0.65))*0.7+0.3))+(IF(G$102&lt;40,0.95,IF(G$102&lt;160,-0.0025*G$102+1.05,0.65))*0.7+0.3))*G$102+IF(B181&gt;-4,0.0625*((4/(B$150+4))*(B181-B$150))^2+0.5*((4/(B$150+4))*(B181-B$150))+1,0)*(G$112+G$113-D$151*(-2000*G$87+2000))+IF(G$44&gt;0,IF(B181&lt;-8,0,IF(B181&lt;-4.5,-0.04664723032*B181^3-0.8746355685*B181^2-5.037900875*B181-8.209912536,IF(B181&lt;IF(LOG(G$44)&lt;0,2/3*LOG(G$44)-1,-1),-2*(1/(-4.5-IF(LOG(G$44)&lt;0,2/3*LOG(G$44)-1,-1))*(B181-IF(LOG(G$44)&lt;0,2/3*LOG(G$44)-1,-1)))^3+3*(1/(-4.5-IF(LOG(G$44)&lt;0,2/3*LOG(G$44)-1,-1))*(B181-IF(LOG(G$44)&lt;0,2/3*LOG(G$44)-1,-1)))^2,0))),0)*IF(G$102&gt;81,9*G$102^0.5,G$102)*IF(G$82="None",0,G$82)+IF(B181&lt;-5,0,IF(B181&lt;-3,-0.25*B181^3-3*B181^2-11.25*B181-12.5,IF(B181&lt;-1,0.25*B181^3+1.5*B181^2+2.25*B181+1,0)))*IF((G$44/G$99*F$61)&lt;1,0.3645833333*(G$44/G$99*F$61)^3-1.0625*(G$44/G$99*F$61)^2+1.03125*(G$44/G$99*F$61),1/3)*G$102*IF(G$82="None",1,1-G$82)</f>
        <v>#DIV/0!</v>
      </c>
      <c r="D181" s="60" t="e">
        <f aca="false">(C181-C180)/(E181-E180)</f>
        <v>#DIV/0!</v>
      </c>
      <c r="E181" s="57" t="e">
        <f aca="false">IF(D181=0,(8314.4621*C180*LN(H181/H180)/(-G$99*9.80665*G$103)),C180/D181*(1/(H181/H180)^(8314.4621*D181/(G$99*9.80665*G$103))-1))+E180</f>
        <v>#DIV/0!</v>
      </c>
      <c r="F181" s="57" t="e">
        <f aca="false">F$38*E181/(F$38-E181)</f>
        <v>#DIV/0!</v>
      </c>
      <c r="G181" s="57" t="e">
        <f aca="false">8314.4621*C181/(G$103*G$99*9.80665)</f>
        <v>#DIV/0!</v>
      </c>
      <c r="H181" s="60" t="n">
        <f aca="false">10^B181*101325</f>
        <v>0.00282889133118844</v>
      </c>
      <c r="I181" s="60" t="e">
        <f aca="false">H181/(8314.4621/G$103*C181)</f>
        <v>#DIV/0!</v>
      </c>
      <c r="J181" s="57" t="e">
        <f aca="false">SQRT(8314.4621/G$103*G$105*C181)</f>
        <v>#DIV/0!</v>
      </c>
      <c r="K181" s="57" t="e">
        <f aca="false">IF(F$20&gt;0,SQRT(2*G$98/(F$20+N181)),10000)</f>
        <v>#DIV/0!</v>
      </c>
      <c r="L181" s="60" t="e">
        <f aca="false">I181*K181^2/2</f>
        <v>#DIV/0!</v>
      </c>
      <c r="M181" s="60" t="e">
        <f aca="false">I181*K181^3/2</f>
        <v>#DIV/0!</v>
      </c>
      <c r="N181" s="57" t="e">
        <f aca="false">F181*IF(G$128&gt;0,G$128,0.5)</f>
        <v>#DIV/0!</v>
      </c>
      <c r="O181" s="57" t="e">
        <f aca="false">C181-P181*(G$115+(G$114-G$115)*COS(RADIANS(38)))/2</f>
        <v>#DIV/0!</v>
      </c>
      <c r="P181" s="82" t="e">
        <f aca="false">IF(IF(G$129&lt;100000,G$129,100000)&gt;0,IF(N181&lt;IF(G$129&lt;100000,G$129,100000)/3,0.6*(N181*3/IF(G$129&lt;100000,G$129,100000))^3+0.1*(N181*3/IF(G$129&lt;100000,G$129,100000))^2-2*(N181*3/IF(G$129&lt;100000,G$129,100000))+1,0)+IF(N181&lt;IF(G$129&lt;100000,G$129,100000)/3,0,IF(ROUND(N181,-3)&lt;=IF(G$129&lt;100000,G$129,100000),(-2*((N181-IF(G$129&lt;100000,G$129,100000)/3)/(2/3*IF(G$129&lt;100000,G$129,100000)))^3+3*((N181-IF(G$129&lt;100000,G$129,100000)/3)/(2/3*IF(G$129&lt;100000,G$129,100000)))^2)*(G$101^0.25*5/IF(G$114+G$116&gt;5,G$114+G$116,5)+0.3)-0.3,5*G$101^0.25/IF(G$114+G$116&gt;5,G$114+G$116,5))),0)</f>
        <v>#DIV/0!</v>
      </c>
      <c r="Q181" s="104" t="e">
        <f aca="false">IF(L181&gt;L$144,"|",IF(L180&gt;L$144,"V",""))</f>
        <v>#DIV/0!</v>
      </c>
    </row>
    <row r="182" s="1" customFormat="true" ht="15.75" hidden="false" customHeight="false" outlineLevel="0" collapsed="false">
      <c r="B182" s="58" t="n">
        <f aca="false">B181-0.25</f>
        <v>-7.80410034759077</v>
      </c>
      <c r="C182" s="61" t="e">
        <f aca="false">IF(B182&lt;-10,(0.00109375*B182^3+0.036875*B182^2+0.309375*B182+0.635)*(G$111-IF(G$102&lt;40,0.95,IF(G$102&lt;160,-0.0025*G$102+1.05,0.65))*G$102)+IF(G$102&lt;40,0.95,IF(G$102&lt;160,-0.0025*G$102+1.05,0.65))*G$102,IF(B182&lt;-7.5,(0.00128*B182^3+0.0536*B182^2+0.588*B182+1.935)*(G$111-IF(G$102&lt;40,0.95,IF(G$102&lt;160,-0.0025*G$102+1.05,0.65))*G$102)+IF(G$102&lt;40,0.95,IF(G$102&lt;160,-0.0025*G$102+1.05,0.65))*G$102,0))+IF(B182&lt;-7.5,0,IF(B182&lt;-4,(-0.00583090379*B182^3-0.02915451895*B182^2+0.5466472303*B182+3.279883382)*((IF(G$102&lt;40,0.95,IF(G$102&lt;160,-0.0025*G$102+1.05,0.65))*0.7+0.3)-IF(G$102&lt;40,0.95,IF(G$102&lt;160,-0.0025*G$102+1.05,0.65)))+IF(G$102&lt;40,0.95,IF(G$102&lt;160,-0.0025*G$102+1.05,0.65)),0))*G$102+IF(B182&lt;-4,0,(0.00125*((4/(B$150+4))*(B182-B$150))^3+0.0225*((4/(B$150+4))*(B182-B$150))^2+0.32*((4/(B$150+4))*(B182-B$150))+1)*(1-(IF(G$102&lt;40,0.95,IF(G$102&lt;160,-0.0025*G$102+1.05,0.65))*0.7+0.3))+(IF(G$102&lt;40,0.95,IF(G$102&lt;160,-0.0025*G$102+1.05,0.65))*0.7+0.3))*G$102+IF(B182&gt;-4,0.0625*((4/(B$150+4))*(B182-B$150))^2+0.5*((4/(B$150+4))*(B182-B$150))+1,0)*(G$112+G$113-D$151*(-2000*G$87+2000))+IF(G$44&gt;0,IF(B182&lt;-8,0,IF(B182&lt;-4.5,-0.04664723032*B182^3-0.8746355685*B182^2-5.037900875*B182-8.209912536,IF(B182&lt;IF(LOG(G$44)&lt;0,2/3*LOG(G$44)-1,-1),-2*(1/(-4.5-IF(LOG(G$44)&lt;0,2/3*LOG(G$44)-1,-1))*(B182-IF(LOG(G$44)&lt;0,2/3*LOG(G$44)-1,-1)))^3+3*(1/(-4.5-IF(LOG(G$44)&lt;0,2/3*LOG(G$44)-1,-1))*(B182-IF(LOG(G$44)&lt;0,2/3*LOG(G$44)-1,-1)))^2,0))),0)*IF(G$102&gt;81,9*G$102^0.5,G$102)*IF(G$82="None",0,G$82)+IF(B182&lt;-5,0,IF(B182&lt;-3,-0.25*B182^3-3*B182^2-11.25*B182-12.5,IF(B182&lt;-1,0.25*B182^3+1.5*B182^2+2.25*B182+1,0)))*IF((G$44/G$99*F$61)&lt;1,0.3645833333*(G$44/G$99*F$61)^3-1.0625*(G$44/G$99*F$61)^2+1.03125*(G$44/G$99*F$61),1/3)*G$102*IF(G$82="None",1,1-G$82)</f>
        <v>#DIV/0!</v>
      </c>
      <c r="D182" s="60" t="e">
        <f aca="false">(C182-C181)/(E182-E181)</f>
        <v>#DIV/0!</v>
      </c>
      <c r="E182" s="57" t="e">
        <f aca="false">IF(D182=0,(8314.4621*C181*LN(H182/H181)/(-G$99*9.80665*G$103)),C181/D182*(1/(H182/H181)^(8314.4621*D182/(G$99*9.80665*G$103))-1))+E181</f>
        <v>#DIV/0!</v>
      </c>
      <c r="F182" s="57" t="e">
        <f aca="false">F$38*E182/(F$38-E182)</f>
        <v>#DIV/0!</v>
      </c>
      <c r="G182" s="57" t="e">
        <f aca="false">8314.4621*C182/(G$103*G$99*9.80665)</f>
        <v>#DIV/0!</v>
      </c>
      <c r="H182" s="60" t="n">
        <f aca="false">10^B182*101325</f>
        <v>0.0015908025</v>
      </c>
      <c r="I182" s="60" t="e">
        <f aca="false">H182/(8314.4621/G$103*C182)</f>
        <v>#DIV/0!</v>
      </c>
      <c r="J182" s="57" t="e">
        <f aca="false">SQRT(8314.4621/G$103*G$105*C182)</f>
        <v>#DIV/0!</v>
      </c>
      <c r="K182" s="57" t="e">
        <f aca="false">IF(F$20&gt;0,SQRT(2*G$98/(F$20+N182)),10000)</f>
        <v>#DIV/0!</v>
      </c>
      <c r="L182" s="60" t="e">
        <f aca="false">I182*K182^2/2</f>
        <v>#DIV/0!</v>
      </c>
      <c r="M182" s="60" t="e">
        <f aca="false">I182*K182^3/2</f>
        <v>#DIV/0!</v>
      </c>
      <c r="N182" s="57" t="e">
        <f aca="false">F182*IF(G$128&gt;0,G$128,0.5)</f>
        <v>#DIV/0!</v>
      </c>
      <c r="O182" s="57" t="e">
        <f aca="false">C182-P182*(G$115+(G$114-G$115)*COS(RADIANS(38)))/2</f>
        <v>#DIV/0!</v>
      </c>
      <c r="P182" s="82" t="e">
        <f aca="false">IF(IF(G$129&lt;100000,G$129,100000)&gt;0,IF(N182&lt;IF(G$129&lt;100000,G$129,100000)/3,0.6*(N182*3/IF(G$129&lt;100000,G$129,100000))^3+0.1*(N182*3/IF(G$129&lt;100000,G$129,100000))^2-2*(N182*3/IF(G$129&lt;100000,G$129,100000))+1,0)+IF(N182&lt;IF(G$129&lt;100000,G$129,100000)/3,0,IF(ROUND(N182,-3)&lt;=IF(G$129&lt;100000,G$129,100000),(-2*((N182-IF(G$129&lt;100000,G$129,100000)/3)/(2/3*IF(G$129&lt;100000,G$129,100000)))^3+3*((N182-IF(G$129&lt;100000,G$129,100000)/3)/(2/3*IF(G$129&lt;100000,G$129,100000)))^2)*(G$101^0.25*5/IF(G$114+G$116&gt;5,G$114+G$116,5)+0.3)-0.3,5*G$101^0.25/IF(G$114+G$116&gt;5,G$114+G$116,5))),0)</f>
        <v>#DIV/0!</v>
      </c>
      <c r="Q182" s="104" t="e">
        <f aca="false">IF(L182&gt;L$144,"|",IF(L181&gt;L$144,"V",""))</f>
        <v>#DIV/0!</v>
      </c>
    </row>
    <row r="183" s="1" customFormat="true" ht="15.75" hidden="false" customHeight="false" outlineLevel="0" collapsed="false">
      <c r="B183" s="58" t="n">
        <f aca="false">B182-0.25</f>
        <v>-8.05410034759077</v>
      </c>
      <c r="C183" s="61" t="e">
        <f aca="false">IF(B183&lt;-10,(0.00109375*B183^3+0.036875*B183^2+0.309375*B183+0.635)*(G$111-IF(G$102&lt;40,0.95,IF(G$102&lt;160,-0.0025*G$102+1.05,0.65))*G$102)+IF(G$102&lt;40,0.95,IF(G$102&lt;160,-0.0025*G$102+1.05,0.65))*G$102,IF(B183&lt;-7.5,(0.00128*B183^3+0.0536*B183^2+0.588*B183+1.935)*(G$111-IF(G$102&lt;40,0.95,IF(G$102&lt;160,-0.0025*G$102+1.05,0.65))*G$102)+IF(G$102&lt;40,0.95,IF(G$102&lt;160,-0.0025*G$102+1.05,0.65))*G$102,0))+IF(B183&lt;-7.5,0,IF(B183&lt;-4,(-0.00583090379*B183^3-0.02915451895*B183^2+0.5466472303*B183+3.279883382)*((IF(G$102&lt;40,0.95,IF(G$102&lt;160,-0.0025*G$102+1.05,0.65))*0.7+0.3)-IF(G$102&lt;40,0.95,IF(G$102&lt;160,-0.0025*G$102+1.05,0.65)))+IF(G$102&lt;40,0.95,IF(G$102&lt;160,-0.0025*G$102+1.05,0.65)),0))*G$102+IF(B183&lt;-4,0,(0.00125*((4/(B$150+4))*(B183-B$150))^3+0.0225*((4/(B$150+4))*(B183-B$150))^2+0.32*((4/(B$150+4))*(B183-B$150))+1)*(1-(IF(G$102&lt;40,0.95,IF(G$102&lt;160,-0.0025*G$102+1.05,0.65))*0.7+0.3))+(IF(G$102&lt;40,0.95,IF(G$102&lt;160,-0.0025*G$102+1.05,0.65))*0.7+0.3))*G$102+IF(B183&gt;-4,0.0625*((4/(B$150+4))*(B183-B$150))^2+0.5*((4/(B$150+4))*(B183-B$150))+1,0)*(G$112+G$113-D$151*(-2000*G$87+2000))+IF(G$44&gt;0,IF(B183&lt;-8,0,IF(B183&lt;-4.5,-0.04664723032*B183^3-0.8746355685*B183^2-5.037900875*B183-8.209912536,IF(B183&lt;IF(LOG(G$44)&lt;0,2/3*LOG(G$44)-1,-1),-2*(1/(-4.5-IF(LOG(G$44)&lt;0,2/3*LOG(G$44)-1,-1))*(B183-IF(LOG(G$44)&lt;0,2/3*LOG(G$44)-1,-1)))^3+3*(1/(-4.5-IF(LOG(G$44)&lt;0,2/3*LOG(G$44)-1,-1))*(B183-IF(LOG(G$44)&lt;0,2/3*LOG(G$44)-1,-1)))^2,0))),0)*IF(G$102&gt;81,9*G$102^0.5,G$102)*IF(G$82="None",0,G$82)+IF(B183&lt;-5,0,IF(B183&lt;-3,-0.25*B183^3-3*B183^2-11.25*B183-12.5,IF(B183&lt;-1,0.25*B183^3+1.5*B183^2+2.25*B183+1,0)))*IF((G$44/G$99*F$61)&lt;1,0.3645833333*(G$44/G$99*F$61)^3-1.0625*(G$44/G$99*F$61)^2+1.03125*(G$44/G$99*F$61),1/3)*G$102*IF(G$82="None",1,1-G$82)</f>
        <v>#DIV/0!</v>
      </c>
      <c r="D183" s="60" t="e">
        <f aca="false">(C183-C182)/(E183-E182)</f>
        <v>#DIV/0!</v>
      </c>
      <c r="E183" s="57" t="e">
        <f aca="false">IF(D183=0,(8314.4621*C182*LN(H183/H182)/(-G$99*9.80665*G$103)),C182/D183*(1/(H183/H182)^(8314.4621*D183/(G$99*9.80665*G$103))-1))+E182</f>
        <v>#DIV/0!</v>
      </c>
      <c r="F183" s="57" t="e">
        <f aca="false">F$38*E183/(F$38-E183)</f>
        <v>#DIV/0!</v>
      </c>
      <c r="G183" s="57" t="e">
        <f aca="false">8314.4621*C183/(G$103*G$99*9.80665)</f>
        <v>#DIV/0!</v>
      </c>
      <c r="H183" s="60" t="n">
        <f aca="false">10^B183*101325</f>
        <v>0.000894573985966123</v>
      </c>
      <c r="I183" s="60" t="e">
        <f aca="false">H183/(8314.4621/G$103*C183)</f>
        <v>#DIV/0!</v>
      </c>
      <c r="J183" s="57" t="e">
        <f aca="false">SQRT(8314.4621/G$103*G$105*C183)</f>
        <v>#DIV/0!</v>
      </c>
      <c r="K183" s="57" t="e">
        <f aca="false">IF(F$20&gt;0,SQRT(2*G$98/(F$20+N183)),10000)</f>
        <v>#DIV/0!</v>
      </c>
      <c r="L183" s="60" t="e">
        <f aca="false">I183*K183^2/2</f>
        <v>#DIV/0!</v>
      </c>
      <c r="M183" s="60" t="e">
        <f aca="false">I183*K183^3/2</f>
        <v>#DIV/0!</v>
      </c>
      <c r="N183" s="57" t="e">
        <f aca="false">F183*IF(G$128&gt;0,G$128,0.5)</f>
        <v>#DIV/0!</v>
      </c>
      <c r="O183" s="57" t="e">
        <f aca="false">C183-P183*(G$115+(G$114-G$115)*COS(RADIANS(38)))/2</f>
        <v>#DIV/0!</v>
      </c>
      <c r="P183" s="82" t="e">
        <f aca="false">IF(IF(G$129&lt;100000,G$129,100000)&gt;0,IF(N183&lt;IF(G$129&lt;100000,G$129,100000)/3,0.6*(N183*3/IF(G$129&lt;100000,G$129,100000))^3+0.1*(N183*3/IF(G$129&lt;100000,G$129,100000))^2-2*(N183*3/IF(G$129&lt;100000,G$129,100000))+1,0)+IF(N183&lt;IF(G$129&lt;100000,G$129,100000)/3,0,IF(ROUND(N183,-3)&lt;=IF(G$129&lt;100000,G$129,100000),(-2*((N183-IF(G$129&lt;100000,G$129,100000)/3)/(2/3*IF(G$129&lt;100000,G$129,100000)))^3+3*((N183-IF(G$129&lt;100000,G$129,100000)/3)/(2/3*IF(G$129&lt;100000,G$129,100000)))^2)*(G$101^0.25*5/IF(G$114+G$116&gt;5,G$114+G$116,5)+0.3)-0.3,5*G$101^0.25/IF(G$114+G$116&gt;5,G$114+G$116,5))),0)</f>
        <v>#DIV/0!</v>
      </c>
      <c r="Q183" s="104" t="e">
        <f aca="false">IF(L183&gt;L$144,"|",IF(L182&gt;L$144,"V",""))</f>
        <v>#DIV/0!</v>
      </c>
    </row>
    <row r="184" s="1" customFormat="true" ht="15.75" hidden="false" customHeight="false" outlineLevel="0" collapsed="false">
      <c r="B184" s="58" t="n">
        <f aca="false">B183-0.25</f>
        <v>-8.30410034759077</v>
      </c>
      <c r="C184" s="61" t="e">
        <f aca="false">IF(B184&lt;-10,(0.00109375*B184^3+0.036875*B184^2+0.309375*B184+0.635)*(G$111-IF(G$102&lt;40,0.95,IF(G$102&lt;160,-0.0025*G$102+1.05,0.65))*G$102)+IF(G$102&lt;40,0.95,IF(G$102&lt;160,-0.0025*G$102+1.05,0.65))*G$102,IF(B184&lt;-7.5,(0.00128*B184^3+0.0536*B184^2+0.588*B184+1.935)*(G$111-IF(G$102&lt;40,0.95,IF(G$102&lt;160,-0.0025*G$102+1.05,0.65))*G$102)+IF(G$102&lt;40,0.95,IF(G$102&lt;160,-0.0025*G$102+1.05,0.65))*G$102,0))+IF(B184&lt;-7.5,0,IF(B184&lt;-4,(-0.00583090379*B184^3-0.02915451895*B184^2+0.5466472303*B184+3.279883382)*((IF(G$102&lt;40,0.95,IF(G$102&lt;160,-0.0025*G$102+1.05,0.65))*0.7+0.3)-IF(G$102&lt;40,0.95,IF(G$102&lt;160,-0.0025*G$102+1.05,0.65)))+IF(G$102&lt;40,0.95,IF(G$102&lt;160,-0.0025*G$102+1.05,0.65)),0))*G$102+IF(B184&lt;-4,0,(0.00125*((4/(B$150+4))*(B184-B$150))^3+0.0225*((4/(B$150+4))*(B184-B$150))^2+0.32*((4/(B$150+4))*(B184-B$150))+1)*(1-(IF(G$102&lt;40,0.95,IF(G$102&lt;160,-0.0025*G$102+1.05,0.65))*0.7+0.3))+(IF(G$102&lt;40,0.95,IF(G$102&lt;160,-0.0025*G$102+1.05,0.65))*0.7+0.3))*G$102+IF(B184&gt;-4,0.0625*((4/(B$150+4))*(B184-B$150))^2+0.5*((4/(B$150+4))*(B184-B$150))+1,0)*(G$112+G$113-D$151*(-2000*G$87+2000))+IF(G$44&gt;0,IF(B184&lt;-8,0,IF(B184&lt;-4.5,-0.04664723032*B184^3-0.8746355685*B184^2-5.037900875*B184-8.209912536,IF(B184&lt;IF(LOG(G$44)&lt;0,2/3*LOG(G$44)-1,-1),-2*(1/(-4.5-IF(LOG(G$44)&lt;0,2/3*LOG(G$44)-1,-1))*(B184-IF(LOG(G$44)&lt;0,2/3*LOG(G$44)-1,-1)))^3+3*(1/(-4.5-IF(LOG(G$44)&lt;0,2/3*LOG(G$44)-1,-1))*(B184-IF(LOG(G$44)&lt;0,2/3*LOG(G$44)-1,-1)))^2,0))),0)*IF(G$102&gt;81,9*G$102^0.5,G$102)*IF(G$82="None",0,G$82)+IF(B184&lt;-5,0,IF(B184&lt;-3,-0.25*B184^3-3*B184^2-11.25*B184-12.5,IF(B184&lt;-1,0.25*B184^3+1.5*B184^2+2.25*B184+1,0)))*IF((G$44/G$99*F$61)&lt;1,0.3645833333*(G$44/G$99*F$61)^3-1.0625*(G$44/G$99*F$61)^2+1.03125*(G$44/G$99*F$61),1/3)*G$102*IF(G$82="None",1,1-G$82)</f>
        <v>#DIV/0!</v>
      </c>
      <c r="D184" s="60" t="e">
        <f aca="false">(C184-C183)/(E184-E183)</f>
        <v>#DIV/0!</v>
      </c>
      <c r="E184" s="57" t="e">
        <f aca="false">IF(D184=0,(8314.4621*C183*LN(H184/H183)/(-G$99*9.80665*G$103)),C183/D184*(1/(H184/H183)^(8314.4621*D184/(G$99*9.80665*G$103))-1))+E183</f>
        <v>#DIV/0!</v>
      </c>
      <c r="F184" s="57" t="e">
        <f aca="false">F$38*E184/(F$38-E184)</f>
        <v>#DIV/0!</v>
      </c>
      <c r="G184" s="57" t="e">
        <f aca="false">8314.4621*C184/(G$103*G$99*9.80665)</f>
        <v>#DIV/0!</v>
      </c>
      <c r="H184" s="60" t="n">
        <f aca="false">10^B184*101325</f>
        <v>0.000503055920749002</v>
      </c>
      <c r="I184" s="60" t="e">
        <f aca="false">H184/(8314.4621/G$103*C184)</f>
        <v>#DIV/0!</v>
      </c>
      <c r="J184" s="57" t="e">
        <f aca="false">SQRT(8314.4621/G$103*G$105*C184)</f>
        <v>#DIV/0!</v>
      </c>
      <c r="K184" s="57" t="e">
        <f aca="false">IF(F$20&gt;0,SQRT(2*G$98/(F$20+N184)),10000)</f>
        <v>#DIV/0!</v>
      </c>
      <c r="L184" s="60" t="e">
        <f aca="false">I184*K184^2/2</f>
        <v>#DIV/0!</v>
      </c>
      <c r="M184" s="60" t="e">
        <f aca="false">I184*K184^3/2</f>
        <v>#DIV/0!</v>
      </c>
      <c r="N184" s="57" t="e">
        <f aca="false">F184*IF(G$128&gt;0,G$128,0.5)</f>
        <v>#DIV/0!</v>
      </c>
      <c r="O184" s="57" t="e">
        <f aca="false">C184-P184*(G$115+(G$114-G$115)*COS(RADIANS(38)))/2</f>
        <v>#DIV/0!</v>
      </c>
      <c r="P184" s="82" t="e">
        <f aca="false">IF(IF(G$129&lt;100000,G$129,100000)&gt;0,IF(N184&lt;IF(G$129&lt;100000,G$129,100000)/3,0.6*(N184*3/IF(G$129&lt;100000,G$129,100000))^3+0.1*(N184*3/IF(G$129&lt;100000,G$129,100000))^2-2*(N184*3/IF(G$129&lt;100000,G$129,100000))+1,0)+IF(N184&lt;IF(G$129&lt;100000,G$129,100000)/3,0,IF(ROUND(N184,-3)&lt;=IF(G$129&lt;100000,G$129,100000),(-2*((N184-IF(G$129&lt;100000,G$129,100000)/3)/(2/3*IF(G$129&lt;100000,G$129,100000)))^3+3*((N184-IF(G$129&lt;100000,G$129,100000)/3)/(2/3*IF(G$129&lt;100000,G$129,100000)))^2)*(G$101^0.25*5/IF(G$114+G$116&gt;5,G$114+G$116,5)+0.3)-0.3,5*G$101^0.25/IF(G$114+G$116&gt;5,G$114+G$116,5))),0)</f>
        <v>#DIV/0!</v>
      </c>
      <c r="Q184" s="104" t="e">
        <f aca="false">IF(L184&gt;L$144,"|",IF(L183&gt;L$144,"V",""))</f>
        <v>#DIV/0!</v>
      </c>
    </row>
    <row r="185" s="1" customFormat="true" ht="15.75" hidden="false" customHeight="false" outlineLevel="0" collapsed="false">
      <c r="B185" s="58" t="n">
        <f aca="false">B184-0.25</f>
        <v>-8.55410034759077</v>
      </c>
      <c r="C185" s="61" t="e">
        <f aca="false">IF(B185&lt;-10,(0.00109375*B185^3+0.036875*B185^2+0.309375*B185+0.635)*(G$111-IF(G$102&lt;40,0.95,IF(G$102&lt;160,-0.0025*G$102+1.05,0.65))*G$102)+IF(G$102&lt;40,0.95,IF(G$102&lt;160,-0.0025*G$102+1.05,0.65))*G$102,IF(B185&lt;-7.5,(0.00128*B185^3+0.0536*B185^2+0.588*B185+1.935)*(G$111-IF(G$102&lt;40,0.95,IF(G$102&lt;160,-0.0025*G$102+1.05,0.65))*G$102)+IF(G$102&lt;40,0.95,IF(G$102&lt;160,-0.0025*G$102+1.05,0.65))*G$102,0))+IF(B185&lt;-7.5,0,IF(B185&lt;-4,(-0.00583090379*B185^3-0.02915451895*B185^2+0.5466472303*B185+3.279883382)*((IF(G$102&lt;40,0.95,IF(G$102&lt;160,-0.0025*G$102+1.05,0.65))*0.7+0.3)-IF(G$102&lt;40,0.95,IF(G$102&lt;160,-0.0025*G$102+1.05,0.65)))+IF(G$102&lt;40,0.95,IF(G$102&lt;160,-0.0025*G$102+1.05,0.65)),0))*G$102+IF(B185&lt;-4,0,(0.00125*((4/(B$150+4))*(B185-B$150))^3+0.0225*((4/(B$150+4))*(B185-B$150))^2+0.32*((4/(B$150+4))*(B185-B$150))+1)*(1-(IF(G$102&lt;40,0.95,IF(G$102&lt;160,-0.0025*G$102+1.05,0.65))*0.7+0.3))+(IF(G$102&lt;40,0.95,IF(G$102&lt;160,-0.0025*G$102+1.05,0.65))*0.7+0.3))*G$102+IF(B185&gt;-4,0.0625*((4/(B$150+4))*(B185-B$150))^2+0.5*((4/(B$150+4))*(B185-B$150))+1,0)*(G$112+G$113-D$151*(-2000*G$87+2000))+IF(G$44&gt;0,IF(B185&lt;-8,0,IF(B185&lt;-4.5,-0.04664723032*B185^3-0.8746355685*B185^2-5.037900875*B185-8.209912536,IF(B185&lt;IF(LOG(G$44)&lt;0,2/3*LOG(G$44)-1,-1),-2*(1/(-4.5-IF(LOG(G$44)&lt;0,2/3*LOG(G$44)-1,-1))*(B185-IF(LOG(G$44)&lt;0,2/3*LOG(G$44)-1,-1)))^3+3*(1/(-4.5-IF(LOG(G$44)&lt;0,2/3*LOG(G$44)-1,-1))*(B185-IF(LOG(G$44)&lt;0,2/3*LOG(G$44)-1,-1)))^2,0))),0)*IF(G$102&gt;81,9*G$102^0.5,G$102)*IF(G$82="None",0,G$82)+IF(B185&lt;-5,0,IF(B185&lt;-3,-0.25*B185^3-3*B185^2-11.25*B185-12.5,IF(B185&lt;-1,0.25*B185^3+1.5*B185^2+2.25*B185+1,0)))*IF((G$44/G$99*F$61)&lt;1,0.3645833333*(G$44/G$99*F$61)^3-1.0625*(G$44/G$99*F$61)^2+1.03125*(G$44/G$99*F$61),1/3)*G$102*IF(G$82="None",1,1-G$82)</f>
        <v>#DIV/0!</v>
      </c>
      <c r="D185" s="60" t="e">
        <f aca="false">(C185-C184)/(E185-E184)</f>
        <v>#DIV/0!</v>
      </c>
      <c r="E185" s="57" t="e">
        <f aca="false">IF(D185=0,(8314.4621*C184*LN(H185/H184)/(-G$99*9.80665*G$103)),C184/D185*(1/(H185/H184)^(8314.4621*D185/(G$99*9.80665*G$103))-1))+E184</f>
        <v>#DIV/0!</v>
      </c>
      <c r="F185" s="57" t="e">
        <f aca="false">F$38*E185/(F$38-E185)</f>
        <v>#DIV/0!</v>
      </c>
      <c r="G185" s="57" t="e">
        <f aca="false">8314.4621*C185/(G$103*G$99*9.80665)</f>
        <v>#DIV/0!</v>
      </c>
      <c r="H185" s="60" t="n">
        <f aca="false">10^B185*101325</f>
        <v>0.000282889133118845</v>
      </c>
      <c r="I185" s="60" t="e">
        <f aca="false">H185/(8314.4621/G$103*C185)</f>
        <v>#DIV/0!</v>
      </c>
      <c r="J185" s="57" t="e">
        <f aca="false">SQRT(8314.4621/G$103*G$105*C185)</f>
        <v>#DIV/0!</v>
      </c>
      <c r="K185" s="57" t="e">
        <f aca="false">IF(F$20&gt;0,SQRT(2*G$98/(F$20+N185)),10000)</f>
        <v>#DIV/0!</v>
      </c>
      <c r="L185" s="60" t="e">
        <f aca="false">I185*K185^2/2</f>
        <v>#DIV/0!</v>
      </c>
      <c r="M185" s="60" t="e">
        <f aca="false">I185*K185^3/2</f>
        <v>#DIV/0!</v>
      </c>
      <c r="N185" s="57" t="e">
        <f aca="false">F185*IF(G$128&gt;0,G$128,0.5)</f>
        <v>#DIV/0!</v>
      </c>
      <c r="O185" s="57" t="e">
        <f aca="false">C185-P185*(G$115+(G$114-G$115)*COS(RADIANS(38)))/2</f>
        <v>#DIV/0!</v>
      </c>
      <c r="P185" s="82" t="e">
        <f aca="false">IF(IF(G$129&lt;100000,G$129,100000)&gt;0,IF(N185&lt;IF(G$129&lt;100000,G$129,100000)/3,0.6*(N185*3/IF(G$129&lt;100000,G$129,100000))^3+0.1*(N185*3/IF(G$129&lt;100000,G$129,100000))^2-2*(N185*3/IF(G$129&lt;100000,G$129,100000))+1,0)+IF(N185&lt;IF(G$129&lt;100000,G$129,100000)/3,0,IF(ROUND(N185,-3)&lt;=IF(G$129&lt;100000,G$129,100000),(-2*((N185-IF(G$129&lt;100000,G$129,100000)/3)/(2/3*IF(G$129&lt;100000,G$129,100000)))^3+3*((N185-IF(G$129&lt;100000,G$129,100000)/3)/(2/3*IF(G$129&lt;100000,G$129,100000)))^2)*(G$101^0.25*5/IF(G$114+G$116&gt;5,G$114+G$116,5)+0.3)-0.3,5*G$101^0.25/IF(G$114+G$116&gt;5,G$114+G$116,5))),0)</f>
        <v>#DIV/0!</v>
      </c>
      <c r="Q185" s="104" t="e">
        <f aca="false">IF(L185&gt;L$144,"|",IF(L184&gt;L$144,"V",""))</f>
        <v>#DIV/0!</v>
      </c>
    </row>
    <row r="186" s="1" customFormat="true" ht="15.75" hidden="false" customHeight="false" outlineLevel="0" collapsed="false">
      <c r="B186" s="58" t="n">
        <f aca="false">B185-0.25</f>
        <v>-8.80410034759077</v>
      </c>
      <c r="C186" s="61" t="e">
        <f aca="false">IF(B186&lt;-10,(0.00109375*B186^3+0.036875*B186^2+0.309375*B186+0.635)*(G$111-IF(G$102&lt;40,0.95,IF(G$102&lt;160,-0.0025*G$102+1.05,0.65))*G$102)+IF(G$102&lt;40,0.95,IF(G$102&lt;160,-0.0025*G$102+1.05,0.65))*G$102,IF(B186&lt;-7.5,(0.00128*B186^3+0.0536*B186^2+0.588*B186+1.935)*(G$111-IF(G$102&lt;40,0.95,IF(G$102&lt;160,-0.0025*G$102+1.05,0.65))*G$102)+IF(G$102&lt;40,0.95,IF(G$102&lt;160,-0.0025*G$102+1.05,0.65))*G$102,0))+IF(B186&lt;-7.5,0,IF(B186&lt;-4,(-0.00583090379*B186^3-0.02915451895*B186^2+0.5466472303*B186+3.279883382)*((IF(G$102&lt;40,0.95,IF(G$102&lt;160,-0.0025*G$102+1.05,0.65))*0.7+0.3)-IF(G$102&lt;40,0.95,IF(G$102&lt;160,-0.0025*G$102+1.05,0.65)))+IF(G$102&lt;40,0.95,IF(G$102&lt;160,-0.0025*G$102+1.05,0.65)),0))*G$102+IF(B186&lt;-4,0,(0.00125*((4/(B$150+4))*(B186-B$150))^3+0.0225*((4/(B$150+4))*(B186-B$150))^2+0.32*((4/(B$150+4))*(B186-B$150))+1)*(1-(IF(G$102&lt;40,0.95,IF(G$102&lt;160,-0.0025*G$102+1.05,0.65))*0.7+0.3))+(IF(G$102&lt;40,0.95,IF(G$102&lt;160,-0.0025*G$102+1.05,0.65))*0.7+0.3))*G$102+IF(B186&gt;-4,0.0625*((4/(B$150+4))*(B186-B$150))^2+0.5*((4/(B$150+4))*(B186-B$150))+1,0)*(G$112+G$113-D$151*(-2000*G$87+2000))+IF(G$44&gt;0,IF(B186&lt;-8,0,IF(B186&lt;-4.5,-0.04664723032*B186^3-0.8746355685*B186^2-5.037900875*B186-8.209912536,IF(B186&lt;IF(LOG(G$44)&lt;0,2/3*LOG(G$44)-1,-1),-2*(1/(-4.5-IF(LOG(G$44)&lt;0,2/3*LOG(G$44)-1,-1))*(B186-IF(LOG(G$44)&lt;0,2/3*LOG(G$44)-1,-1)))^3+3*(1/(-4.5-IF(LOG(G$44)&lt;0,2/3*LOG(G$44)-1,-1))*(B186-IF(LOG(G$44)&lt;0,2/3*LOG(G$44)-1,-1)))^2,0))),0)*IF(G$102&gt;81,9*G$102^0.5,G$102)*IF(G$82="None",0,G$82)+IF(B186&lt;-5,0,IF(B186&lt;-3,-0.25*B186^3-3*B186^2-11.25*B186-12.5,IF(B186&lt;-1,0.25*B186^3+1.5*B186^2+2.25*B186+1,0)))*IF((G$44/G$99*F$61)&lt;1,0.3645833333*(G$44/G$99*F$61)^3-1.0625*(G$44/G$99*F$61)^2+1.03125*(G$44/G$99*F$61),1/3)*G$102*IF(G$82="None",1,1-G$82)</f>
        <v>#DIV/0!</v>
      </c>
      <c r="D186" s="60" t="e">
        <f aca="false">(C186-C185)/(E186-E185)</f>
        <v>#DIV/0!</v>
      </c>
      <c r="E186" s="57" t="e">
        <f aca="false">IF(D186=0,(8314.4621*C185*LN(H186/H185)/(-G$99*9.80665*G$103)),C185/D186*(1/(H186/H185)^(8314.4621*D186/(G$99*9.80665*G$103))-1))+E185</f>
        <v>#DIV/0!</v>
      </c>
      <c r="F186" s="57" t="e">
        <f aca="false">F$38*E186/(F$38-E186)</f>
        <v>#DIV/0!</v>
      </c>
      <c r="G186" s="57" t="e">
        <f aca="false">8314.4621*C186/(G$103*G$99*9.80665)</f>
        <v>#DIV/0!</v>
      </c>
      <c r="H186" s="60" t="n">
        <f aca="false">10^B186*101325</f>
        <v>0.00015908025</v>
      </c>
      <c r="I186" s="60" t="e">
        <f aca="false">H186/(8314.4621/G$103*C186)</f>
        <v>#DIV/0!</v>
      </c>
      <c r="J186" s="57" t="e">
        <f aca="false">SQRT(8314.4621/G$103*G$105*C186)</f>
        <v>#DIV/0!</v>
      </c>
      <c r="K186" s="57" t="e">
        <f aca="false">IF(F$20&gt;0,SQRT(2*G$98/(F$20+N186)),10000)</f>
        <v>#DIV/0!</v>
      </c>
      <c r="L186" s="60" t="e">
        <f aca="false">I186*K186^2/2</f>
        <v>#DIV/0!</v>
      </c>
      <c r="M186" s="60" t="e">
        <f aca="false">I186*K186^3/2</f>
        <v>#DIV/0!</v>
      </c>
      <c r="N186" s="57" t="e">
        <f aca="false">F186*IF(G$128&gt;0,G$128,0.5)</f>
        <v>#DIV/0!</v>
      </c>
      <c r="O186" s="57" t="e">
        <f aca="false">C186-P186*(G$115+(G$114-G$115)*COS(RADIANS(38)))/2</f>
        <v>#DIV/0!</v>
      </c>
      <c r="P186" s="82" t="e">
        <f aca="false">IF(IF(G$129&lt;100000,G$129,100000)&gt;0,IF(N186&lt;IF(G$129&lt;100000,G$129,100000)/3,0.6*(N186*3/IF(G$129&lt;100000,G$129,100000))^3+0.1*(N186*3/IF(G$129&lt;100000,G$129,100000))^2-2*(N186*3/IF(G$129&lt;100000,G$129,100000))+1,0)+IF(N186&lt;IF(G$129&lt;100000,G$129,100000)/3,0,IF(ROUND(N186,-3)&lt;=IF(G$129&lt;100000,G$129,100000),(-2*((N186-IF(G$129&lt;100000,G$129,100000)/3)/(2/3*IF(G$129&lt;100000,G$129,100000)))^3+3*((N186-IF(G$129&lt;100000,G$129,100000)/3)/(2/3*IF(G$129&lt;100000,G$129,100000)))^2)*(G$101^0.25*5/IF(G$114+G$116&gt;5,G$114+G$116,5)+0.3)-0.3,5*G$101^0.25/IF(G$114+G$116&gt;5,G$114+G$116,5))),0)</f>
        <v>#DIV/0!</v>
      </c>
      <c r="Q186" s="104" t="e">
        <f aca="false">IF(L186&gt;L$144,"|",IF(L185&gt;L$144,"V",""))</f>
        <v>#DIV/0!</v>
      </c>
    </row>
    <row r="187" s="1" customFormat="true" ht="15.75" hidden="false" customHeight="false" outlineLevel="0" collapsed="false">
      <c r="B187" s="58" t="n">
        <f aca="false">B186-0.25</f>
        <v>-9.05410034759077</v>
      </c>
      <c r="C187" s="61" t="e">
        <f aca="false">IF(B187&lt;-10,(0.00109375*B187^3+0.036875*B187^2+0.309375*B187+0.635)*(G$111-IF(G$102&lt;40,0.95,IF(G$102&lt;160,-0.0025*G$102+1.05,0.65))*G$102)+IF(G$102&lt;40,0.95,IF(G$102&lt;160,-0.0025*G$102+1.05,0.65))*G$102,IF(B187&lt;-7.5,(0.00128*B187^3+0.0536*B187^2+0.588*B187+1.935)*(G$111-IF(G$102&lt;40,0.95,IF(G$102&lt;160,-0.0025*G$102+1.05,0.65))*G$102)+IF(G$102&lt;40,0.95,IF(G$102&lt;160,-0.0025*G$102+1.05,0.65))*G$102,0))+IF(B187&lt;-7.5,0,IF(B187&lt;-4,(-0.00583090379*B187^3-0.02915451895*B187^2+0.5466472303*B187+3.279883382)*((IF(G$102&lt;40,0.95,IF(G$102&lt;160,-0.0025*G$102+1.05,0.65))*0.7+0.3)-IF(G$102&lt;40,0.95,IF(G$102&lt;160,-0.0025*G$102+1.05,0.65)))+IF(G$102&lt;40,0.95,IF(G$102&lt;160,-0.0025*G$102+1.05,0.65)),0))*G$102+IF(B187&lt;-4,0,(0.00125*((4/(B$150+4))*(B187-B$150))^3+0.0225*((4/(B$150+4))*(B187-B$150))^2+0.32*((4/(B$150+4))*(B187-B$150))+1)*(1-(IF(G$102&lt;40,0.95,IF(G$102&lt;160,-0.0025*G$102+1.05,0.65))*0.7+0.3))+(IF(G$102&lt;40,0.95,IF(G$102&lt;160,-0.0025*G$102+1.05,0.65))*0.7+0.3))*G$102+IF(B187&gt;-4,0.0625*((4/(B$150+4))*(B187-B$150))^2+0.5*((4/(B$150+4))*(B187-B$150))+1,0)*(G$112+G$113-D$151*(-2000*G$87+2000))+IF(G$44&gt;0,IF(B187&lt;-8,0,IF(B187&lt;-4.5,-0.04664723032*B187^3-0.8746355685*B187^2-5.037900875*B187-8.209912536,IF(B187&lt;IF(LOG(G$44)&lt;0,2/3*LOG(G$44)-1,-1),-2*(1/(-4.5-IF(LOG(G$44)&lt;0,2/3*LOG(G$44)-1,-1))*(B187-IF(LOG(G$44)&lt;0,2/3*LOG(G$44)-1,-1)))^3+3*(1/(-4.5-IF(LOG(G$44)&lt;0,2/3*LOG(G$44)-1,-1))*(B187-IF(LOG(G$44)&lt;0,2/3*LOG(G$44)-1,-1)))^2,0))),0)*IF(G$102&gt;81,9*G$102^0.5,G$102)*IF(G$82="None",0,G$82)+IF(B187&lt;-5,0,IF(B187&lt;-3,-0.25*B187^3-3*B187^2-11.25*B187-12.5,IF(B187&lt;-1,0.25*B187^3+1.5*B187^2+2.25*B187+1,0)))*IF((G$44/G$99*F$61)&lt;1,0.3645833333*(G$44/G$99*F$61)^3-1.0625*(G$44/G$99*F$61)^2+1.03125*(G$44/G$99*F$61),1/3)*G$102*IF(G$82="None",1,1-G$82)</f>
        <v>#DIV/0!</v>
      </c>
      <c r="D187" s="60" t="e">
        <f aca="false">(C187-C186)/(E187-E186)</f>
        <v>#DIV/0!</v>
      </c>
      <c r="E187" s="57" t="e">
        <f aca="false">IF(D187=0,(8314.4621*C186*LN(H187/H186)/(-G$99*9.80665*G$103)),C186/D187*(1/(H187/H186)^(8314.4621*D187/(G$99*9.80665*G$103))-1))+E186</f>
        <v>#DIV/0!</v>
      </c>
      <c r="F187" s="57" t="e">
        <f aca="false">F$38*E187/(F$38-E187)</f>
        <v>#DIV/0!</v>
      </c>
      <c r="G187" s="57" t="e">
        <f aca="false">8314.4621*C187/(G$103*G$99*9.80665)</f>
        <v>#DIV/0!</v>
      </c>
      <c r="H187" s="60" t="n">
        <f aca="false">10^B187*101325</f>
        <v>8.94573985966123E-005</v>
      </c>
      <c r="I187" s="60" t="e">
        <f aca="false">H187/(8314.4621/G$103*C187)</f>
        <v>#DIV/0!</v>
      </c>
      <c r="J187" s="57" t="e">
        <f aca="false">SQRT(8314.4621/G$103*G$105*C187)</f>
        <v>#DIV/0!</v>
      </c>
      <c r="K187" s="57" t="e">
        <f aca="false">IF(F$20&gt;0,SQRT(2*G$98/(F$20+N187)),10000)</f>
        <v>#DIV/0!</v>
      </c>
      <c r="L187" s="60" t="e">
        <f aca="false">I187*K187^2/2</f>
        <v>#DIV/0!</v>
      </c>
      <c r="M187" s="60" t="e">
        <f aca="false">I187*K187^3/2</f>
        <v>#DIV/0!</v>
      </c>
      <c r="N187" s="57" t="e">
        <f aca="false">F187*IF(G$128&gt;0,G$128,0.5)</f>
        <v>#DIV/0!</v>
      </c>
      <c r="O187" s="57" t="e">
        <f aca="false">C187-P187*(G$115+(G$114-G$115)*COS(RADIANS(38)))/2</f>
        <v>#DIV/0!</v>
      </c>
      <c r="P187" s="82" t="e">
        <f aca="false">IF(IF(G$129&lt;100000,G$129,100000)&gt;0,IF(N187&lt;IF(G$129&lt;100000,G$129,100000)/3,0.6*(N187*3/IF(G$129&lt;100000,G$129,100000))^3+0.1*(N187*3/IF(G$129&lt;100000,G$129,100000))^2-2*(N187*3/IF(G$129&lt;100000,G$129,100000))+1,0)+IF(N187&lt;IF(G$129&lt;100000,G$129,100000)/3,0,IF(ROUND(N187,-3)&lt;=IF(G$129&lt;100000,G$129,100000),(-2*((N187-IF(G$129&lt;100000,G$129,100000)/3)/(2/3*IF(G$129&lt;100000,G$129,100000)))^3+3*((N187-IF(G$129&lt;100000,G$129,100000)/3)/(2/3*IF(G$129&lt;100000,G$129,100000)))^2)*(G$101^0.25*5/IF(G$114+G$116&gt;5,G$114+G$116,5)+0.3)-0.3,5*G$101^0.25/IF(G$114+G$116&gt;5,G$114+G$116,5))),0)</f>
        <v>#DIV/0!</v>
      </c>
      <c r="Q187" s="104" t="e">
        <f aca="false">IF(L187&gt;L$144,"|",IF(L186&gt;L$144,"V",""))</f>
        <v>#DIV/0!</v>
      </c>
    </row>
    <row r="188" s="1" customFormat="true" ht="15.75" hidden="false" customHeight="false" outlineLevel="0" collapsed="false">
      <c r="B188" s="58" t="n">
        <f aca="false">B187-0.25</f>
        <v>-9.30410034759077</v>
      </c>
      <c r="C188" s="61" t="e">
        <f aca="false">IF(B188&lt;-10,(0.00109375*B188^3+0.036875*B188^2+0.309375*B188+0.635)*(G$111-IF(G$102&lt;40,0.95,IF(G$102&lt;160,-0.0025*G$102+1.05,0.65))*G$102)+IF(G$102&lt;40,0.95,IF(G$102&lt;160,-0.0025*G$102+1.05,0.65))*G$102,IF(B188&lt;-7.5,(0.00128*B188^3+0.0536*B188^2+0.588*B188+1.935)*(G$111-IF(G$102&lt;40,0.95,IF(G$102&lt;160,-0.0025*G$102+1.05,0.65))*G$102)+IF(G$102&lt;40,0.95,IF(G$102&lt;160,-0.0025*G$102+1.05,0.65))*G$102,0))+IF(B188&lt;-7.5,0,IF(B188&lt;-4,(-0.00583090379*B188^3-0.02915451895*B188^2+0.5466472303*B188+3.279883382)*((IF(G$102&lt;40,0.95,IF(G$102&lt;160,-0.0025*G$102+1.05,0.65))*0.7+0.3)-IF(G$102&lt;40,0.95,IF(G$102&lt;160,-0.0025*G$102+1.05,0.65)))+IF(G$102&lt;40,0.95,IF(G$102&lt;160,-0.0025*G$102+1.05,0.65)),0))*G$102+IF(B188&lt;-4,0,(0.00125*((4/(B$150+4))*(B188-B$150))^3+0.0225*((4/(B$150+4))*(B188-B$150))^2+0.32*((4/(B$150+4))*(B188-B$150))+1)*(1-(IF(G$102&lt;40,0.95,IF(G$102&lt;160,-0.0025*G$102+1.05,0.65))*0.7+0.3))+(IF(G$102&lt;40,0.95,IF(G$102&lt;160,-0.0025*G$102+1.05,0.65))*0.7+0.3))*G$102+IF(B188&gt;-4,0.0625*((4/(B$150+4))*(B188-B$150))^2+0.5*((4/(B$150+4))*(B188-B$150))+1,0)*(G$112+G$113-D$151*(-2000*G$87+2000))+IF(G$44&gt;0,IF(B188&lt;-8,0,IF(B188&lt;-4.5,-0.04664723032*B188^3-0.8746355685*B188^2-5.037900875*B188-8.209912536,IF(B188&lt;IF(LOG(G$44)&lt;0,2/3*LOG(G$44)-1,-1),-2*(1/(-4.5-IF(LOG(G$44)&lt;0,2/3*LOG(G$44)-1,-1))*(B188-IF(LOG(G$44)&lt;0,2/3*LOG(G$44)-1,-1)))^3+3*(1/(-4.5-IF(LOG(G$44)&lt;0,2/3*LOG(G$44)-1,-1))*(B188-IF(LOG(G$44)&lt;0,2/3*LOG(G$44)-1,-1)))^2,0))),0)*IF(G$102&gt;81,9*G$102^0.5,G$102)*IF(G$82="None",0,G$82)+IF(B188&lt;-5,0,IF(B188&lt;-3,-0.25*B188^3-3*B188^2-11.25*B188-12.5,IF(B188&lt;-1,0.25*B188^3+1.5*B188^2+2.25*B188+1,0)))*IF((G$44/G$99*F$61)&lt;1,0.3645833333*(G$44/G$99*F$61)^3-1.0625*(G$44/G$99*F$61)^2+1.03125*(G$44/G$99*F$61),1/3)*G$102*IF(G$82="None",1,1-G$82)</f>
        <v>#DIV/0!</v>
      </c>
      <c r="D188" s="60" t="e">
        <f aca="false">(C188-C187)/(E188-E187)</f>
        <v>#DIV/0!</v>
      </c>
      <c r="E188" s="57" t="e">
        <f aca="false">IF(D188=0,(8314.4621*C187*LN(H188/H187)/(-G$99*9.80665*G$103)),C187/D188*(1/(H188/H187)^(8314.4621*D188/(G$99*9.80665*G$103))-1))+E187</f>
        <v>#DIV/0!</v>
      </c>
      <c r="F188" s="57" t="e">
        <f aca="false">F$38*E188/(F$38-E188)</f>
        <v>#DIV/0!</v>
      </c>
      <c r="G188" s="57" t="e">
        <f aca="false">8314.4621*C188/(G$103*G$99*9.80665)</f>
        <v>#DIV/0!</v>
      </c>
      <c r="H188" s="60" t="n">
        <f aca="false">10^B188*101325</f>
        <v>5.03055920749002E-005</v>
      </c>
      <c r="I188" s="60" t="e">
        <f aca="false">H188/(8314.4621/G$103*C188)</f>
        <v>#DIV/0!</v>
      </c>
      <c r="J188" s="57" t="e">
        <f aca="false">SQRT(8314.4621/G$103*G$105*C188)</f>
        <v>#DIV/0!</v>
      </c>
      <c r="K188" s="57" t="e">
        <f aca="false">IF(F$20&gt;0,SQRT(2*G$98/(F$20+N188)),10000)</f>
        <v>#DIV/0!</v>
      </c>
      <c r="L188" s="60" t="e">
        <f aca="false">I188*K188^2/2</f>
        <v>#DIV/0!</v>
      </c>
      <c r="M188" s="60" t="e">
        <f aca="false">I188*K188^3/2</f>
        <v>#DIV/0!</v>
      </c>
      <c r="N188" s="57" t="e">
        <f aca="false">F188*IF(G$128&gt;0,G$128,0.5)</f>
        <v>#DIV/0!</v>
      </c>
      <c r="O188" s="57" t="e">
        <f aca="false">C188-P188*(G$115+(G$114-G$115)*COS(RADIANS(38)))/2</f>
        <v>#DIV/0!</v>
      </c>
      <c r="P188" s="82" t="e">
        <f aca="false">IF(IF(G$129&lt;100000,G$129,100000)&gt;0,IF(N188&lt;IF(G$129&lt;100000,G$129,100000)/3,0.6*(N188*3/IF(G$129&lt;100000,G$129,100000))^3+0.1*(N188*3/IF(G$129&lt;100000,G$129,100000))^2-2*(N188*3/IF(G$129&lt;100000,G$129,100000))+1,0)+IF(N188&lt;IF(G$129&lt;100000,G$129,100000)/3,0,IF(ROUND(N188,-3)&lt;=IF(G$129&lt;100000,G$129,100000),(-2*((N188-IF(G$129&lt;100000,G$129,100000)/3)/(2/3*IF(G$129&lt;100000,G$129,100000)))^3+3*((N188-IF(G$129&lt;100000,G$129,100000)/3)/(2/3*IF(G$129&lt;100000,G$129,100000)))^2)*(G$101^0.25*5/IF(G$114+G$116&gt;5,G$114+G$116,5)+0.3)-0.3,5*G$101^0.25/IF(G$114+G$116&gt;5,G$114+G$116,5))),0)</f>
        <v>#DIV/0!</v>
      </c>
      <c r="Q188" s="104" t="e">
        <f aca="false">IF(L188&gt;L$144,"|",IF(L187&gt;L$144,"V",""))</f>
        <v>#DIV/0!</v>
      </c>
    </row>
    <row r="189" s="1" customFormat="true" ht="15.75" hidden="false" customHeight="false" outlineLevel="0" collapsed="false">
      <c r="B189" s="58" t="n">
        <f aca="false">B188-0.25</f>
        <v>-9.55410034759077</v>
      </c>
      <c r="C189" s="61" t="e">
        <f aca="false">IF(B189&lt;-10,(0.00109375*B189^3+0.036875*B189^2+0.309375*B189+0.635)*(G$111-IF(G$102&lt;40,0.95,IF(G$102&lt;160,-0.0025*G$102+1.05,0.65))*G$102)+IF(G$102&lt;40,0.95,IF(G$102&lt;160,-0.0025*G$102+1.05,0.65))*G$102,IF(B189&lt;-7.5,(0.00128*B189^3+0.0536*B189^2+0.588*B189+1.935)*(G$111-IF(G$102&lt;40,0.95,IF(G$102&lt;160,-0.0025*G$102+1.05,0.65))*G$102)+IF(G$102&lt;40,0.95,IF(G$102&lt;160,-0.0025*G$102+1.05,0.65))*G$102,0))+IF(B189&lt;-7.5,0,IF(B189&lt;-4,(-0.00583090379*B189^3-0.02915451895*B189^2+0.5466472303*B189+3.279883382)*((IF(G$102&lt;40,0.95,IF(G$102&lt;160,-0.0025*G$102+1.05,0.65))*0.7+0.3)-IF(G$102&lt;40,0.95,IF(G$102&lt;160,-0.0025*G$102+1.05,0.65)))+IF(G$102&lt;40,0.95,IF(G$102&lt;160,-0.0025*G$102+1.05,0.65)),0))*G$102+IF(B189&lt;-4,0,(0.00125*((4/(B$150+4))*(B189-B$150))^3+0.0225*((4/(B$150+4))*(B189-B$150))^2+0.32*((4/(B$150+4))*(B189-B$150))+1)*(1-(IF(G$102&lt;40,0.95,IF(G$102&lt;160,-0.0025*G$102+1.05,0.65))*0.7+0.3))+(IF(G$102&lt;40,0.95,IF(G$102&lt;160,-0.0025*G$102+1.05,0.65))*0.7+0.3))*G$102+IF(B189&gt;-4,0.0625*((4/(B$150+4))*(B189-B$150))^2+0.5*((4/(B$150+4))*(B189-B$150))+1,0)*(G$112+G$113-D$151*(-2000*G$87+2000))+IF(G$44&gt;0,IF(B189&lt;-8,0,IF(B189&lt;-4.5,-0.04664723032*B189^3-0.8746355685*B189^2-5.037900875*B189-8.209912536,IF(B189&lt;IF(LOG(G$44)&lt;0,2/3*LOG(G$44)-1,-1),-2*(1/(-4.5-IF(LOG(G$44)&lt;0,2/3*LOG(G$44)-1,-1))*(B189-IF(LOG(G$44)&lt;0,2/3*LOG(G$44)-1,-1)))^3+3*(1/(-4.5-IF(LOG(G$44)&lt;0,2/3*LOG(G$44)-1,-1))*(B189-IF(LOG(G$44)&lt;0,2/3*LOG(G$44)-1,-1)))^2,0))),0)*IF(G$102&gt;81,9*G$102^0.5,G$102)*IF(G$82="None",0,G$82)+IF(B189&lt;-5,0,IF(B189&lt;-3,-0.25*B189^3-3*B189^2-11.25*B189-12.5,IF(B189&lt;-1,0.25*B189^3+1.5*B189^2+2.25*B189+1,0)))*IF((G$44/G$99*F$61)&lt;1,0.3645833333*(G$44/G$99*F$61)^3-1.0625*(G$44/G$99*F$61)^2+1.03125*(G$44/G$99*F$61),1/3)*G$102*IF(G$82="None",1,1-G$82)</f>
        <v>#DIV/0!</v>
      </c>
      <c r="D189" s="60" t="e">
        <f aca="false">(C189-C188)/(E189-E188)</f>
        <v>#DIV/0!</v>
      </c>
      <c r="E189" s="57" t="e">
        <f aca="false">IF(D189=0,(8314.4621*C188*LN(H189/H188)/(-G$99*9.80665*G$103)),C188/D189*(1/(H189/H188)^(8314.4621*D189/(G$99*9.80665*G$103))-1))+E188</f>
        <v>#DIV/0!</v>
      </c>
      <c r="F189" s="57" t="e">
        <f aca="false">F$38*E189/(F$38-E189)</f>
        <v>#DIV/0!</v>
      </c>
      <c r="G189" s="57" t="e">
        <f aca="false">8314.4621*C189/(G$103*G$99*9.80665)</f>
        <v>#DIV/0!</v>
      </c>
      <c r="H189" s="60" t="n">
        <f aca="false">10^B189*101325</f>
        <v>2.82889133118845E-005</v>
      </c>
      <c r="I189" s="60" t="e">
        <f aca="false">H189/(8314.4621/G$103*C189)</f>
        <v>#DIV/0!</v>
      </c>
      <c r="J189" s="57" t="e">
        <f aca="false">SQRT(8314.4621/G$103*G$105*C189)</f>
        <v>#DIV/0!</v>
      </c>
      <c r="K189" s="57" t="e">
        <f aca="false">IF(F$20&gt;0,SQRT(2*G$98/(F$20+N189)),10000)</f>
        <v>#DIV/0!</v>
      </c>
      <c r="L189" s="60" t="e">
        <f aca="false">I189*K189^2/2</f>
        <v>#DIV/0!</v>
      </c>
      <c r="M189" s="60" t="e">
        <f aca="false">I189*K189^3/2</f>
        <v>#DIV/0!</v>
      </c>
      <c r="N189" s="57" t="e">
        <f aca="false">F189*IF(G$128&gt;0,G$128,0.5)</f>
        <v>#DIV/0!</v>
      </c>
      <c r="O189" s="57" t="e">
        <f aca="false">C189-P189*(G$115+(G$114-G$115)*COS(RADIANS(38)))/2</f>
        <v>#DIV/0!</v>
      </c>
      <c r="P189" s="82" t="e">
        <f aca="false">IF(IF(G$129&lt;100000,G$129,100000)&gt;0,IF(N189&lt;IF(G$129&lt;100000,G$129,100000)/3,0.6*(N189*3/IF(G$129&lt;100000,G$129,100000))^3+0.1*(N189*3/IF(G$129&lt;100000,G$129,100000))^2-2*(N189*3/IF(G$129&lt;100000,G$129,100000))+1,0)+IF(N189&lt;IF(G$129&lt;100000,G$129,100000)/3,0,IF(ROUND(N189,-3)&lt;=IF(G$129&lt;100000,G$129,100000),(-2*((N189-IF(G$129&lt;100000,G$129,100000)/3)/(2/3*IF(G$129&lt;100000,G$129,100000)))^3+3*((N189-IF(G$129&lt;100000,G$129,100000)/3)/(2/3*IF(G$129&lt;100000,G$129,100000)))^2)*(G$101^0.25*5/IF(G$114+G$116&gt;5,G$114+G$116,5)+0.3)-0.3,5*G$101^0.25/IF(G$114+G$116&gt;5,G$114+G$116,5))),0)</f>
        <v>#DIV/0!</v>
      </c>
      <c r="Q189" s="104" t="e">
        <f aca="false">IF(L189&gt;L$144,"|",IF(L188&gt;L$144,"V",""))</f>
        <v>#DIV/0!</v>
      </c>
    </row>
    <row r="190" s="1" customFormat="true" ht="15.75" hidden="false" customHeight="false" outlineLevel="0" collapsed="false">
      <c r="B190" s="58" t="n">
        <f aca="false">B189-0.25</f>
        <v>-9.80410034759077</v>
      </c>
      <c r="C190" s="61" t="e">
        <f aca="false">IF(B190&lt;-10,(0.00109375*B190^3+0.036875*B190^2+0.309375*B190+0.635)*(G$111-IF(G$102&lt;40,0.95,IF(G$102&lt;160,-0.0025*G$102+1.05,0.65))*G$102)+IF(G$102&lt;40,0.95,IF(G$102&lt;160,-0.0025*G$102+1.05,0.65))*G$102,IF(B190&lt;-7.5,(0.00128*B190^3+0.0536*B190^2+0.588*B190+1.935)*(G$111-IF(G$102&lt;40,0.95,IF(G$102&lt;160,-0.0025*G$102+1.05,0.65))*G$102)+IF(G$102&lt;40,0.95,IF(G$102&lt;160,-0.0025*G$102+1.05,0.65))*G$102,0))+IF(B190&lt;-7.5,0,IF(B190&lt;-4,(-0.00583090379*B190^3-0.02915451895*B190^2+0.5466472303*B190+3.279883382)*((IF(G$102&lt;40,0.95,IF(G$102&lt;160,-0.0025*G$102+1.05,0.65))*0.7+0.3)-IF(G$102&lt;40,0.95,IF(G$102&lt;160,-0.0025*G$102+1.05,0.65)))+IF(G$102&lt;40,0.95,IF(G$102&lt;160,-0.0025*G$102+1.05,0.65)),0))*G$102+IF(B190&lt;-4,0,(0.00125*((4/(B$150+4))*(B190-B$150))^3+0.0225*((4/(B$150+4))*(B190-B$150))^2+0.32*((4/(B$150+4))*(B190-B$150))+1)*(1-(IF(G$102&lt;40,0.95,IF(G$102&lt;160,-0.0025*G$102+1.05,0.65))*0.7+0.3))+(IF(G$102&lt;40,0.95,IF(G$102&lt;160,-0.0025*G$102+1.05,0.65))*0.7+0.3))*G$102+IF(B190&gt;-4,0.0625*((4/(B$150+4))*(B190-B$150))^2+0.5*((4/(B$150+4))*(B190-B$150))+1,0)*(G$112+G$113-D$151*(-2000*G$87+2000))+IF(G$44&gt;0,IF(B190&lt;-8,0,IF(B190&lt;-4.5,-0.04664723032*B190^3-0.8746355685*B190^2-5.037900875*B190-8.209912536,IF(B190&lt;IF(LOG(G$44)&lt;0,2/3*LOG(G$44)-1,-1),-2*(1/(-4.5-IF(LOG(G$44)&lt;0,2/3*LOG(G$44)-1,-1))*(B190-IF(LOG(G$44)&lt;0,2/3*LOG(G$44)-1,-1)))^3+3*(1/(-4.5-IF(LOG(G$44)&lt;0,2/3*LOG(G$44)-1,-1))*(B190-IF(LOG(G$44)&lt;0,2/3*LOG(G$44)-1,-1)))^2,0))),0)*IF(G$102&gt;81,9*G$102^0.5,G$102)*IF(G$82="None",0,G$82)+IF(B190&lt;-5,0,IF(B190&lt;-3,-0.25*B190^3-3*B190^2-11.25*B190-12.5,IF(B190&lt;-1,0.25*B190^3+1.5*B190^2+2.25*B190+1,0)))*IF((G$44/G$99*F$61)&lt;1,0.3645833333*(G$44/G$99*F$61)^3-1.0625*(G$44/G$99*F$61)^2+1.03125*(G$44/G$99*F$61),1/3)*G$102*IF(G$82="None",1,1-G$82)</f>
        <v>#DIV/0!</v>
      </c>
      <c r="D190" s="60" t="e">
        <f aca="false">(C190-C189)/(E190-E189)</f>
        <v>#DIV/0!</v>
      </c>
      <c r="E190" s="57" t="e">
        <f aca="false">IF(D190=0,(8314.4621*C189*LN(H190/H189)/(-G$99*9.80665*G$103)),C189/D190*(1/(H190/H189)^(8314.4621*D190/(G$99*9.80665*G$103))-1))+E189</f>
        <v>#DIV/0!</v>
      </c>
      <c r="F190" s="57" t="e">
        <f aca="false">F$38*E190/(F$38-E190)</f>
        <v>#DIV/0!</v>
      </c>
      <c r="G190" s="57" t="e">
        <f aca="false">8314.4621*C190/(G$103*G$99*9.80665)</f>
        <v>#DIV/0!</v>
      </c>
      <c r="H190" s="60" t="n">
        <f aca="false">10^B190*101325</f>
        <v>1.5908025E-005</v>
      </c>
      <c r="I190" s="60" t="e">
        <f aca="false">H190/(8314.4621/G$103*C190)</f>
        <v>#DIV/0!</v>
      </c>
      <c r="J190" s="57" t="e">
        <f aca="false">SQRT(8314.4621/G$103*G$105*C190)</f>
        <v>#DIV/0!</v>
      </c>
      <c r="K190" s="57" t="e">
        <f aca="false">IF(F$20&gt;0,SQRT(2*G$98/(F$20+N190)),10000)</f>
        <v>#DIV/0!</v>
      </c>
      <c r="L190" s="60" t="e">
        <f aca="false">I190*K190^2/2</f>
        <v>#DIV/0!</v>
      </c>
      <c r="M190" s="60" t="e">
        <f aca="false">I190*K190^3/2</f>
        <v>#DIV/0!</v>
      </c>
      <c r="N190" s="57" t="e">
        <f aca="false">F190*IF(G$128&gt;0,G$128,0.5)</f>
        <v>#DIV/0!</v>
      </c>
      <c r="O190" s="57" t="e">
        <f aca="false">C190-P190*(G$115+(G$114-G$115)*COS(RADIANS(38)))/2</f>
        <v>#DIV/0!</v>
      </c>
      <c r="P190" s="82" t="e">
        <f aca="false">IF(IF(G$129&lt;100000,G$129,100000)&gt;0,IF(N190&lt;IF(G$129&lt;100000,G$129,100000)/3,0.6*(N190*3/IF(G$129&lt;100000,G$129,100000))^3+0.1*(N190*3/IF(G$129&lt;100000,G$129,100000))^2-2*(N190*3/IF(G$129&lt;100000,G$129,100000))+1,0)+IF(N190&lt;IF(G$129&lt;100000,G$129,100000)/3,0,IF(ROUND(N190,-3)&lt;=IF(G$129&lt;100000,G$129,100000),(-2*((N190-IF(G$129&lt;100000,G$129,100000)/3)/(2/3*IF(G$129&lt;100000,G$129,100000)))^3+3*((N190-IF(G$129&lt;100000,G$129,100000)/3)/(2/3*IF(G$129&lt;100000,G$129,100000)))^2)*(G$101^0.25*5/IF(G$114+G$116&gt;5,G$114+G$116,5)+0.3)-0.3,5*G$101^0.25/IF(G$114+G$116&gt;5,G$114+G$116,5))),0)</f>
        <v>#DIV/0!</v>
      </c>
      <c r="Q190" s="104" t="e">
        <f aca="false">IF(L190&gt;L$144,"|",IF(L189&gt;L$144,"V",""))</f>
        <v>#DIV/0!</v>
      </c>
    </row>
    <row r="191" s="1" customFormat="true" ht="15.75" hidden="false" customHeight="false" outlineLevel="0" collapsed="false">
      <c r="B191" s="58" t="n">
        <f aca="false">B190-0.25</f>
        <v>-10.0541003475908</v>
      </c>
      <c r="C191" s="61" t="e">
        <f aca="false">IF(B191&lt;-10,(0.00109375*B191^3+0.036875*B191^2+0.309375*B191+0.635)*(G$111-IF(G$102&lt;40,0.95,IF(G$102&lt;160,-0.0025*G$102+1.05,0.65))*G$102)+IF(G$102&lt;40,0.95,IF(G$102&lt;160,-0.0025*G$102+1.05,0.65))*G$102,IF(B191&lt;-7.5,(0.00128*B191^3+0.0536*B191^2+0.588*B191+1.935)*(G$111-IF(G$102&lt;40,0.95,IF(G$102&lt;160,-0.0025*G$102+1.05,0.65))*G$102)+IF(G$102&lt;40,0.95,IF(G$102&lt;160,-0.0025*G$102+1.05,0.65))*G$102,0))+IF(B191&lt;-7.5,0,IF(B191&lt;-4,(-0.00583090379*B191^3-0.02915451895*B191^2+0.5466472303*B191+3.279883382)*((IF(G$102&lt;40,0.95,IF(G$102&lt;160,-0.0025*G$102+1.05,0.65))*0.7+0.3)-IF(G$102&lt;40,0.95,IF(G$102&lt;160,-0.0025*G$102+1.05,0.65)))+IF(G$102&lt;40,0.95,IF(G$102&lt;160,-0.0025*G$102+1.05,0.65)),0))*G$102+IF(B191&lt;-4,0,(0.00125*((4/(B$150+4))*(B191-B$150))^3+0.0225*((4/(B$150+4))*(B191-B$150))^2+0.32*((4/(B$150+4))*(B191-B$150))+1)*(1-(IF(G$102&lt;40,0.95,IF(G$102&lt;160,-0.0025*G$102+1.05,0.65))*0.7+0.3))+(IF(G$102&lt;40,0.95,IF(G$102&lt;160,-0.0025*G$102+1.05,0.65))*0.7+0.3))*G$102+IF(B191&gt;-4,0.0625*((4/(B$150+4))*(B191-B$150))^2+0.5*((4/(B$150+4))*(B191-B$150))+1,0)*(G$112+G$113-D$151*(-2000*G$87+2000))+IF(G$44&gt;0,IF(B191&lt;-8,0,IF(B191&lt;-4.5,-0.04664723032*B191^3-0.8746355685*B191^2-5.037900875*B191-8.209912536,IF(B191&lt;IF(LOG(G$44)&lt;0,2/3*LOG(G$44)-1,-1),-2*(1/(-4.5-IF(LOG(G$44)&lt;0,2/3*LOG(G$44)-1,-1))*(B191-IF(LOG(G$44)&lt;0,2/3*LOG(G$44)-1,-1)))^3+3*(1/(-4.5-IF(LOG(G$44)&lt;0,2/3*LOG(G$44)-1,-1))*(B191-IF(LOG(G$44)&lt;0,2/3*LOG(G$44)-1,-1)))^2,0))),0)*IF(G$102&gt;81,9*G$102^0.5,G$102)*IF(G$82="None",0,G$82)+IF(B191&lt;-5,0,IF(B191&lt;-3,-0.25*B191^3-3*B191^2-11.25*B191-12.5,IF(B191&lt;-1,0.25*B191^3+1.5*B191^2+2.25*B191+1,0)))*IF((G$44/G$99*F$61)&lt;1,0.3645833333*(G$44/G$99*F$61)^3-1.0625*(G$44/G$99*F$61)^2+1.03125*(G$44/G$99*F$61),1/3)*G$102*IF(G$82="None",1,1-G$82)</f>
        <v>#DIV/0!</v>
      </c>
      <c r="D191" s="60" t="e">
        <f aca="false">(C191-C190)/(E191-E190)</f>
        <v>#DIV/0!</v>
      </c>
      <c r="E191" s="57" t="e">
        <f aca="false">IF(D191=0,(8314.4621*C190*LN(H191/H190)/(-G$99*9.80665*G$103)),C190/D191*(1/(H191/H190)^(8314.4621*D191/(G$99*9.80665*G$103))-1))+E190</f>
        <v>#DIV/0!</v>
      </c>
      <c r="F191" s="57" t="e">
        <f aca="false">F$38*E191/(F$38-E191)</f>
        <v>#DIV/0!</v>
      </c>
      <c r="G191" s="57" t="e">
        <f aca="false">8314.4621*C191/(G$103*G$99*9.80665)</f>
        <v>#DIV/0!</v>
      </c>
      <c r="H191" s="60" t="n">
        <f aca="false">10^B191*101325</f>
        <v>8.94573985966123E-006</v>
      </c>
      <c r="I191" s="60" t="e">
        <f aca="false">H191/(8314.4621/G$103*C191)</f>
        <v>#DIV/0!</v>
      </c>
      <c r="J191" s="57" t="e">
        <f aca="false">SQRT(8314.4621/G$103*G$105*C191)</f>
        <v>#DIV/0!</v>
      </c>
      <c r="K191" s="57" t="e">
        <f aca="false">IF(F$20&gt;0,SQRT(2*G$98/(F$20+N191)),10000)</f>
        <v>#DIV/0!</v>
      </c>
      <c r="L191" s="60" t="e">
        <f aca="false">I191*K191^2/2</f>
        <v>#DIV/0!</v>
      </c>
      <c r="M191" s="60" t="e">
        <f aca="false">I191*K191^3/2</f>
        <v>#DIV/0!</v>
      </c>
      <c r="N191" s="57" t="e">
        <f aca="false">F191*IF(G$128&gt;0,G$128,0.5)</f>
        <v>#DIV/0!</v>
      </c>
      <c r="O191" s="57" t="e">
        <f aca="false">C191-P191*(G$115+(G$114-G$115)*COS(RADIANS(38)))/2</f>
        <v>#DIV/0!</v>
      </c>
      <c r="P191" s="82" t="e">
        <f aca="false">IF(IF(G$129&lt;100000,G$129,100000)&gt;0,IF(N191&lt;IF(G$129&lt;100000,G$129,100000)/3,0.6*(N191*3/IF(G$129&lt;100000,G$129,100000))^3+0.1*(N191*3/IF(G$129&lt;100000,G$129,100000))^2-2*(N191*3/IF(G$129&lt;100000,G$129,100000))+1,0)+IF(N191&lt;IF(G$129&lt;100000,G$129,100000)/3,0,IF(ROUND(N191,-3)&lt;=IF(G$129&lt;100000,G$129,100000),(-2*((N191-IF(G$129&lt;100000,G$129,100000)/3)/(2/3*IF(G$129&lt;100000,G$129,100000)))^3+3*((N191-IF(G$129&lt;100000,G$129,100000)/3)/(2/3*IF(G$129&lt;100000,G$129,100000)))^2)*(G$101^0.25*5/IF(G$114+G$116&gt;5,G$114+G$116,5)+0.3)-0.3,5*G$101^0.25/IF(G$114+G$116&gt;5,G$114+G$116,5))),0)</f>
        <v>#DIV/0!</v>
      </c>
      <c r="Q191" s="104" t="e">
        <f aca="false">IF(L191&gt;L$144,"|",IF(L190&gt;L$144,"V",""))</f>
        <v>#DIV/0!</v>
      </c>
    </row>
    <row r="192" s="1" customFormat="true" ht="15.75" hidden="false" customHeight="false" outlineLevel="0" collapsed="false">
      <c r="B192" s="58" t="n">
        <f aca="false">B191-0.25</f>
        <v>-10.3041003475908</v>
      </c>
      <c r="C192" s="62" t="e">
        <f aca="false">IF(B192&lt;-10,(0.00109375*B192^3+0.036875*B192^2+0.309375*B192+0.635)*(G$111-IF(G$102&lt;40,0.95,IF(G$102&lt;160,-0.0025*G$102+1.05,0.65))*G$102)+IF(G$102&lt;40,0.95,IF(G$102&lt;160,-0.0025*G$102+1.05,0.65))*G$102,IF(B192&lt;-7.5,(0.00128*B192^3+0.0536*B192^2+0.588*B192+1.935)*(G$111-IF(G$102&lt;40,0.95,IF(G$102&lt;160,-0.0025*G$102+1.05,0.65))*G$102)+IF(G$102&lt;40,0.95,IF(G$102&lt;160,-0.0025*G$102+1.05,0.65))*G$102,0))+IF(B192&lt;-7.5,0,IF(B192&lt;-4,(-0.00583090379*B192^3-0.02915451895*B192^2+0.5466472303*B192+3.279883382)*((IF(G$102&lt;40,0.95,IF(G$102&lt;160,-0.0025*G$102+1.05,0.65))*0.7+0.3)-IF(G$102&lt;40,0.95,IF(G$102&lt;160,-0.0025*G$102+1.05,0.65)))+IF(G$102&lt;40,0.95,IF(G$102&lt;160,-0.0025*G$102+1.05,0.65)),0))*G$102+IF(B192&lt;-4,0,(0.00125*((4/(B$150+4))*(B192-B$150))^3+0.0225*((4/(B$150+4))*(B192-B$150))^2+0.32*((4/(B$150+4))*(B192-B$150))+1)*(1-(IF(G$102&lt;40,0.95,IF(G$102&lt;160,-0.0025*G$102+1.05,0.65))*0.7+0.3))+(IF(G$102&lt;40,0.95,IF(G$102&lt;160,-0.0025*G$102+1.05,0.65))*0.7+0.3))*G$102+IF(B192&gt;-4,0.0625*((4/(B$150+4))*(B192-B$150))^2+0.5*((4/(B$150+4))*(B192-B$150))+1,0)*(G$112+G$113-D$151*(-2000*G$87+2000))+IF(G$44&gt;0,IF(B192&lt;-8,0,IF(B192&lt;-4.5,-0.04664723032*B192^3-0.8746355685*B192^2-5.037900875*B192-8.209912536,IF(B192&lt;IF(LOG(G$44)&lt;0,2/3*LOG(G$44)-1,-1),-2*(1/(-4.5-IF(LOG(G$44)&lt;0,2/3*LOG(G$44)-1,-1))*(B192-IF(LOG(G$44)&lt;0,2/3*LOG(G$44)-1,-1)))^3+3*(1/(-4.5-IF(LOG(G$44)&lt;0,2/3*LOG(G$44)-1,-1))*(B192-IF(LOG(G$44)&lt;0,2/3*LOG(G$44)-1,-1)))^2,0))),0)*IF(G$102&gt;81,9*G$102^0.5,G$102)*IF(G$82="None",0,G$82)+IF(B192&lt;-5,0,IF(B192&lt;-3,-0.25*B192^3-3*B192^2-11.25*B192-12.5,IF(B192&lt;-1,0.25*B192^3+1.5*B192^2+2.25*B192+1,0)))*IF((G$44/G$99*F$61)&lt;1,0.3645833333*(G$44/G$99*F$61)^3-1.0625*(G$44/G$99*F$61)^2+1.03125*(G$44/G$99*F$61),1/3)*G$102*IF(G$82="None",1,1-G$82)</f>
        <v>#DIV/0!</v>
      </c>
      <c r="D192" s="60" t="e">
        <f aca="false">(C192-C191)/(E192-E191)</f>
        <v>#DIV/0!</v>
      </c>
      <c r="E192" s="57" t="e">
        <f aca="false">IF(D192=0,(8314.4621*C191*LN(H192/H191)/(-G$99*9.80665*G$103)),C191/D192*(1/(H192/H191)^(8314.4621*D192/(G$99*9.80665*G$103))-1))+E191</f>
        <v>#DIV/0!</v>
      </c>
      <c r="F192" s="57" t="e">
        <f aca="false">F$38*E192/(F$38-E192)</f>
        <v>#DIV/0!</v>
      </c>
      <c r="G192" s="57" t="e">
        <f aca="false">8314.4621*C192/(G$103*G$99*9.80665)</f>
        <v>#DIV/0!</v>
      </c>
      <c r="H192" s="60" t="n">
        <f aca="false">10^B192*101325</f>
        <v>5.03055920749002E-006</v>
      </c>
      <c r="I192" s="60" t="e">
        <f aca="false">H192/(8314.4621/G$103*C192)</f>
        <v>#DIV/0!</v>
      </c>
      <c r="J192" s="57" t="e">
        <f aca="false">SQRT(8314.4621/G$103*G$105*C192)</f>
        <v>#DIV/0!</v>
      </c>
      <c r="K192" s="57" t="e">
        <f aca="false">IF(F$20&gt;0,SQRT(2*G$98/(F$20+N192)),10000)</f>
        <v>#DIV/0!</v>
      </c>
      <c r="L192" s="60" t="e">
        <f aca="false">I192*K192^2/2</f>
        <v>#DIV/0!</v>
      </c>
      <c r="M192" s="60" t="e">
        <f aca="false">I192*K192^3/2</f>
        <v>#DIV/0!</v>
      </c>
      <c r="N192" s="57" t="e">
        <f aca="false">F192*IF(G$128&gt;0,G$128,0.5)</f>
        <v>#DIV/0!</v>
      </c>
      <c r="O192" s="57" t="e">
        <f aca="false">C192-P192*(G$115+(G$114-G$115)*COS(RADIANS(38)))/2</f>
        <v>#DIV/0!</v>
      </c>
      <c r="P192" s="82" t="e">
        <f aca="false">IF(IF(G$129&lt;100000,G$129,100000)&gt;0,IF(N192&lt;IF(G$129&lt;100000,G$129,100000)/3,0.6*(N192*3/IF(G$129&lt;100000,G$129,100000))^3+0.1*(N192*3/IF(G$129&lt;100000,G$129,100000))^2-2*(N192*3/IF(G$129&lt;100000,G$129,100000))+1,0)+IF(N192&lt;IF(G$129&lt;100000,G$129,100000)/3,0,IF(ROUND(N192,-3)&lt;=IF(G$129&lt;100000,G$129,100000),(-2*((N192-IF(G$129&lt;100000,G$129,100000)/3)/(2/3*IF(G$129&lt;100000,G$129,100000)))^3+3*((N192-IF(G$129&lt;100000,G$129,100000)/3)/(2/3*IF(G$129&lt;100000,G$129,100000)))^2)*(G$101^0.25*5/IF(G$114+G$116&gt;5,G$114+G$116,5)+0.3)-0.3,5*G$101^0.25/IF(G$114+G$116&gt;5,G$114+G$116,5))),0)</f>
        <v>#DIV/0!</v>
      </c>
      <c r="Q192" s="104" t="e">
        <f aca="false">IF(L192&gt;L$144,"|",IF(L191&gt;L$144,"V",""))</f>
        <v>#DIV/0!</v>
      </c>
    </row>
  </sheetData>
  <mergeCells count="58">
    <mergeCell ref="B2:H2"/>
    <mergeCell ref="B4:H4"/>
    <mergeCell ref="B5:H5"/>
    <mergeCell ref="B6:H6"/>
    <mergeCell ref="B7:H7"/>
    <mergeCell ref="B8:H8"/>
    <mergeCell ref="F11:G11"/>
    <mergeCell ref="F13:G13"/>
    <mergeCell ref="D14:E16"/>
    <mergeCell ref="F20:G20"/>
    <mergeCell ref="D21:E23"/>
    <mergeCell ref="F25:G25"/>
    <mergeCell ref="F30:G30"/>
    <mergeCell ref="B35:H35"/>
    <mergeCell ref="B36:H36"/>
    <mergeCell ref="F38:G38"/>
    <mergeCell ref="B40:J40"/>
    <mergeCell ref="B41:J41"/>
    <mergeCell ref="B42:J42"/>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I68:J68"/>
    <mergeCell ref="B69:D69"/>
    <mergeCell ref="I69:J69"/>
    <mergeCell ref="B70:D70"/>
    <mergeCell ref="I70:J70"/>
    <mergeCell ref="B71:D71"/>
    <mergeCell ref="I71:J71"/>
    <mergeCell ref="B79:H79"/>
    <mergeCell ref="B80:H80"/>
    <mergeCell ref="B85:H85"/>
    <mergeCell ref="B89:H89"/>
    <mergeCell ref="B90:H90"/>
    <mergeCell ref="B91:H91"/>
    <mergeCell ref="B93:H93"/>
    <mergeCell ref="B108:H108"/>
    <mergeCell ref="B121:H121"/>
    <mergeCell ref="B122:H122"/>
    <mergeCell ref="B131:Q131"/>
    <mergeCell ref="B132:Q132"/>
    <mergeCell ref="B133:Q133"/>
  </mergeCells>
  <dataValidations count="4">
    <dataValidation allowBlank="true" errorStyle="stop" operator="between" showDropDown="false" showErrorMessage="true" showInputMessage="true" sqref="G19" type="list">
      <formula1>"Planet,Moon"</formula1>
      <formula2>0</formula2>
    </dataValidation>
    <dataValidation allowBlank="true" errorStyle="stop" operator="between" showDropDown="false" showErrorMessage="true" showInputMessage="true" sqref="G44" type="decimal">
      <formula1>0.001</formula1>
      <formula2>100</formula2>
    </dataValidation>
    <dataValidation allowBlank="true" errorStyle="stop" operator="between" showDropDown="false" showErrorMessage="true" showInputMessage="true" sqref="G82" type="list">
      <formula1>"None,10%,25%,50%,75%,90%"</formula1>
      <formula2>0</formula2>
    </dataValidation>
    <dataValidation allowBlank="true" errorStyle="stop" operator="between" showDropDown="false" showErrorMessage="true" showInputMessage="true" sqref="I68:J71" type="list">
      <formula1>"No greenhouse,Mild greenhouse,Strong greenhouse"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0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8" activeCellId="0" sqref="F8"/>
    </sheetView>
  </sheetViews>
  <sheetFormatPr defaultColWidth="9.13671875" defaultRowHeight="15" zeroHeight="false" outlineLevelRow="0" outlineLevelCol="0"/>
  <cols>
    <col collapsed="false" customWidth="true" hidden="false" outlineLevel="0" max="1" min="1" style="63" width="27.71"/>
    <col collapsed="false" customWidth="true" hidden="false" outlineLevel="0" max="5" min="2" style="63" width="14.69"/>
    <col collapsed="false" customWidth="false" hidden="false" outlineLevel="0" max="1024" min="6" style="63" width="9.13"/>
  </cols>
  <sheetData>
    <row r="1" customFormat="false" ht="78.75" hidden="false" customHeight="true" outlineLevel="0" collapsed="false">
      <c r="A1" s="64" t="s">
        <v>289</v>
      </c>
      <c r="B1" s="64"/>
      <c r="C1" s="64"/>
      <c r="D1" s="64"/>
      <c r="E1" s="64"/>
    </row>
    <row r="2" customFormat="false" ht="15" hidden="false" customHeight="false" outlineLevel="0" collapsed="false">
      <c r="A2" s="65"/>
      <c r="B2" s="65"/>
      <c r="C2" s="65"/>
      <c r="D2" s="65"/>
      <c r="E2" s="65"/>
    </row>
    <row r="3" customFormat="false" ht="15" hidden="false" customHeight="false" outlineLevel="0" collapsed="false">
      <c r="A3" s="65" t="s">
        <v>290</v>
      </c>
      <c r="B3" s="65"/>
      <c r="C3" s="65"/>
      <c r="D3" s="65"/>
      <c r="E3" s="65"/>
    </row>
    <row r="4" customFormat="false" ht="15" hidden="false" customHeight="false" outlineLevel="0" collapsed="false">
      <c r="A4" s="65" t="s">
        <v>209</v>
      </c>
      <c r="B4" s="69"/>
      <c r="D4" s="65"/>
      <c r="E4" s="69"/>
    </row>
    <row r="5" customFormat="false" ht="15" hidden="false" customHeight="false" outlineLevel="0" collapsed="false">
      <c r="A5" s="66" t="s">
        <v>291</v>
      </c>
      <c r="B5" s="69" t="n">
        <f aca="false">Other!G24</f>
        <v>0.3</v>
      </c>
      <c r="D5" s="65"/>
      <c r="E5" s="69"/>
    </row>
    <row r="6" customFormat="false" ht="15" hidden="false" customHeight="false" outlineLevel="0" collapsed="false">
      <c r="A6" s="65" t="s">
        <v>212</v>
      </c>
      <c r="B6" s="69"/>
      <c r="D6" s="65"/>
      <c r="E6" s="69"/>
    </row>
    <row r="7" customFormat="false" ht="15" hidden="false" customHeight="false" outlineLevel="0" collapsed="false">
      <c r="A7" s="65" t="s">
        <v>213</v>
      </c>
      <c r="B7" s="65"/>
      <c r="D7" s="65"/>
      <c r="E7" s="69"/>
    </row>
    <row r="8" customFormat="false" ht="15" hidden="false" customHeight="false" outlineLevel="0" collapsed="false">
      <c r="A8" s="65" t="s">
        <v>209</v>
      </c>
      <c r="B8" s="69"/>
      <c r="D8" s="65"/>
      <c r="E8" s="69"/>
    </row>
    <row r="9" customFormat="false" ht="15" hidden="false" customHeight="false" outlineLevel="0" collapsed="false">
      <c r="A9" s="66" t="s">
        <v>214</v>
      </c>
      <c r="B9" s="69" t="s">
        <v>215</v>
      </c>
      <c r="D9" s="69"/>
      <c r="E9" s="69"/>
    </row>
    <row r="10" customFormat="false" ht="15" hidden="false" customHeight="false" outlineLevel="0" collapsed="false">
      <c r="A10" s="66" t="s">
        <v>216</v>
      </c>
      <c r="B10" s="69" t="str">
        <f aca="false">IF(Other!F51&gt;0,"True","False")</f>
        <v>False</v>
      </c>
      <c r="D10" s="69"/>
      <c r="E10" s="69"/>
    </row>
    <row r="11" customFormat="false" ht="15" hidden="false" customHeight="false" outlineLevel="0" collapsed="false">
      <c r="A11" s="66" t="s">
        <v>218</v>
      </c>
      <c r="B11" s="69" t="e">
        <f aca="false">MAX(B18:B60)</f>
        <v>#DIV/0!</v>
      </c>
      <c r="D11" s="69"/>
      <c r="E11" s="69"/>
    </row>
    <row r="12" customFormat="false" ht="15" hidden="false" customHeight="false" outlineLevel="0" collapsed="false">
      <c r="A12" s="66" t="s">
        <v>219</v>
      </c>
      <c r="B12" s="83" t="e">
        <f aca="false">ROUND(Other!G105,2)</f>
        <v>#DIV/0!</v>
      </c>
      <c r="D12" s="69"/>
      <c r="E12" s="69"/>
    </row>
    <row r="13" customFormat="false" ht="15" hidden="false" customHeight="false" outlineLevel="0" collapsed="false">
      <c r="A13" s="66" t="s">
        <v>220</v>
      </c>
      <c r="B13" s="69" t="n">
        <f aca="false">ROUND(Other!G103/1000,5)</f>
        <v>0.02803</v>
      </c>
      <c r="D13" s="69"/>
      <c r="E13" s="69"/>
    </row>
    <row r="14" customFormat="false" ht="15" hidden="false" customHeight="false" outlineLevel="0" collapsed="false">
      <c r="A14" s="66" t="s">
        <v>221</v>
      </c>
      <c r="B14" s="68" t="e">
        <f aca="false">ROUND(Other!C$150,0)</f>
        <v>#DIV/0!</v>
      </c>
      <c r="D14" s="69"/>
      <c r="E14" s="69"/>
    </row>
    <row r="15" customFormat="false" ht="15" hidden="false" customHeight="false" outlineLevel="0" collapsed="false">
      <c r="A15" s="66" t="s">
        <v>222</v>
      </c>
      <c r="B15" s="71" t="e">
        <f aca="false">C142</f>
        <v>#DIV/0!</v>
      </c>
      <c r="D15" s="69"/>
      <c r="E15" s="69"/>
    </row>
    <row r="16" customFormat="false" ht="15" hidden="false" customHeight="false" outlineLevel="0" collapsed="false">
      <c r="A16" s="66" t="s">
        <v>223</v>
      </c>
      <c r="B16" s="69"/>
      <c r="D16" s="69"/>
      <c r="E16" s="69"/>
    </row>
    <row r="17" customFormat="false" ht="15" hidden="false" customHeight="false" outlineLevel="0" collapsed="false">
      <c r="A17" s="66" t="s">
        <v>209</v>
      </c>
      <c r="B17" s="65"/>
      <c r="C17" s="69"/>
      <c r="D17" s="69"/>
      <c r="E17" s="69"/>
    </row>
    <row r="18" customFormat="false" ht="15" hidden="false" customHeight="false" outlineLevel="0" collapsed="false">
      <c r="A18" s="105" t="e">
        <f aca="false">IF(B18="","Unused","key =")</f>
        <v>#DIV/0!</v>
      </c>
      <c r="B18" s="69" t="e">
        <f aca="false">IF(Other!Q150="|",ROUND(Other!N150,0),IF(Other!Q150="V",ROUND(Other!N150,-3),""))</f>
        <v>#DIV/0!</v>
      </c>
      <c r="C18" s="69" t="e">
        <f aca="false">IF(B18="","",ROUND(Other!O150,0))</f>
        <v>#DIV/0!</v>
      </c>
      <c r="D18" s="71" t="n">
        <v>0</v>
      </c>
      <c r="E18" s="71" t="e">
        <f aca="false">(C19-C18)/(B19-B18)</f>
        <v>#DIV/0!</v>
      </c>
    </row>
    <row r="19" customFormat="false" ht="15" hidden="false" customHeight="false" outlineLevel="0" collapsed="false">
      <c r="A19" s="105" t="e">
        <f aca="false">IF(B19="","Unused","key =")</f>
        <v>#DIV/0!</v>
      </c>
      <c r="B19" s="69" t="e">
        <f aca="false">IF(Other!Q151="|",ROUND(Other!N151,0),IF(Other!Q151="V",ROUND(Other!N151,-3),""))</f>
        <v>#DIV/0!</v>
      </c>
      <c r="C19" s="69" t="e">
        <f aca="false">IF(B19="","",ROUND(Other!O151,0))</f>
        <v>#DIV/0!</v>
      </c>
      <c r="D19" s="71" t="e">
        <f aca="false">IF(C19="","",(C19-C18)/(B19-B18))</f>
        <v>#DIV/0!</v>
      </c>
      <c r="E19" s="71" t="e">
        <f aca="false">IF(C19="","",IF(C20="",0,(C20-C19)/(B20-B19)))</f>
        <v>#DIV/0!</v>
      </c>
    </row>
    <row r="20" customFormat="false" ht="15" hidden="false" customHeight="false" outlineLevel="0" collapsed="false">
      <c r="A20" s="105" t="e">
        <f aca="false">IF(B20="","Unused","key =")</f>
        <v>#DIV/0!</v>
      </c>
      <c r="B20" s="69" t="e">
        <f aca="false">IF(Other!Q152="|",ROUND(Other!N152,0),IF(Other!Q152="V",ROUND(Other!N152,-3),""))</f>
        <v>#DIV/0!</v>
      </c>
      <c r="C20" s="69" t="e">
        <f aca="false">IF(B20="","",ROUND(Other!O152,0))</f>
        <v>#DIV/0!</v>
      </c>
      <c r="D20" s="71" t="e">
        <f aca="false">IF(C20="","",(C20-C19)/(B20-B19))</f>
        <v>#DIV/0!</v>
      </c>
      <c r="E20" s="71" t="e">
        <f aca="false">IF(C20="","",IF(C21="",0,(C21-C20)/(B21-B20)))</f>
        <v>#DIV/0!</v>
      </c>
    </row>
    <row r="21" customFormat="false" ht="15" hidden="false" customHeight="false" outlineLevel="0" collapsed="false">
      <c r="A21" s="105" t="e">
        <f aca="false">IF(B21="","Unused","key =")</f>
        <v>#DIV/0!</v>
      </c>
      <c r="B21" s="69" t="e">
        <f aca="false">IF(Other!Q153="|",ROUND(Other!N153,0),IF(Other!Q153="V",ROUND(Other!N153,-3),""))</f>
        <v>#DIV/0!</v>
      </c>
      <c r="C21" s="69" t="e">
        <f aca="false">IF(B21="","",ROUND(Other!O153,0))</f>
        <v>#DIV/0!</v>
      </c>
      <c r="D21" s="71" t="e">
        <f aca="false">IF(C21="","",(C21-C20)/(B21-B20))</f>
        <v>#DIV/0!</v>
      </c>
      <c r="E21" s="71" t="e">
        <f aca="false">IF(C21="","",IF(C22="",0,(C22-C21)/(B22-B21)))</f>
        <v>#DIV/0!</v>
      </c>
    </row>
    <row r="22" customFormat="false" ht="15" hidden="false" customHeight="false" outlineLevel="0" collapsed="false">
      <c r="A22" s="105" t="e">
        <f aca="false">IF(B22="","Unused","key =")</f>
        <v>#DIV/0!</v>
      </c>
      <c r="B22" s="69" t="e">
        <f aca="false">IF(Other!Q154="|",ROUND(Other!N154,0),IF(Other!Q154="V",ROUND(Other!N154,-3),""))</f>
        <v>#DIV/0!</v>
      </c>
      <c r="C22" s="69" t="e">
        <f aca="false">IF(B22="","",ROUND(Other!O154,0))</f>
        <v>#DIV/0!</v>
      </c>
      <c r="D22" s="71" t="e">
        <f aca="false">IF(C22="","",(C22-C21)/(B22-B21))</f>
        <v>#DIV/0!</v>
      </c>
      <c r="E22" s="71" t="e">
        <f aca="false">IF(C22="","",IF(C23="",0,(C23-C22)/(B23-B22)))</f>
        <v>#DIV/0!</v>
      </c>
    </row>
    <row r="23" customFormat="false" ht="15" hidden="false" customHeight="false" outlineLevel="0" collapsed="false">
      <c r="A23" s="105" t="e">
        <f aca="false">IF(B23="","Unused","key =")</f>
        <v>#DIV/0!</v>
      </c>
      <c r="B23" s="69" t="e">
        <f aca="false">IF(Other!Q155="|",ROUND(Other!N155,0),IF(Other!Q155="V",ROUND(Other!N155,-3),""))</f>
        <v>#DIV/0!</v>
      </c>
      <c r="C23" s="69" t="e">
        <f aca="false">IF(B23="","",ROUND(Other!O155,0))</f>
        <v>#DIV/0!</v>
      </c>
      <c r="D23" s="71" t="e">
        <f aca="false">IF(C23="","",(C23-C22)/(B23-B22))</f>
        <v>#DIV/0!</v>
      </c>
      <c r="E23" s="71" t="e">
        <f aca="false">IF(C23="","",IF(C24="",0,(C24-C23)/(B24-B23)))</f>
        <v>#DIV/0!</v>
      </c>
    </row>
    <row r="24" customFormat="false" ht="15" hidden="false" customHeight="false" outlineLevel="0" collapsed="false">
      <c r="A24" s="105" t="e">
        <f aca="false">IF(B24="","Unused","key =")</f>
        <v>#DIV/0!</v>
      </c>
      <c r="B24" s="69" t="e">
        <f aca="false">IF(Other!Q156="|",ROUND(Other!N156,0),IF(Other!Q156="V",ROUND(Other!N156,-3),""))</f>
        <v>#DIV/0!</v>
      </c>
      <c r="C24" s="69" t="e">
        <f aca="false">IF(B24="","",ROUND(Other!O156,0))</f>
        <v>#DIV/0!</v>
      </c>
      <c r="D24" s="71" t="e">
        <f aca="false">IF(C24="","",(C24-C23)/(B24-B23))</f>
        <v>#DIV/0!</v>
      </c>
      <c r="E24" s="71" t="e">
        <f aca="false">IF(C24="","",IF(C25="",0,(C25-C24)/(B25-B24)))</f>
        <v>#DIV/0!</v>
      </c>
    </row>
    <row r="25" customFormat="false" ht="15" hidden="false" customHeight="false" outlineLevel="0" collapsed="false">
      <c r="A25" s="105" t="e">
        <f aca="false">IF(B25="","Unused","key =")</f>
        <v>#DIV/0!</v>
      </c>
      <c r="B25" s="69" t="e">
        <f aca="false">IF(Other!Q157="|",ROUND(Other!N157,0),IF(Other!Q157="V",ROUND(Other!N157,-3),""))</f>
        <v>#DIV/0!</v>
      </c>
      <c r="C25" s="69" t="e">
        <f aca="false">IF(B25="","",ROUND(Other!O157,0))</f>
        <v>#DIV/0!</v>
      </c>
      <c r="D25" s="71" t="e">
        <f aca="false">IF(C25="","",(C25-C24)/(B25-B24))</f>
        <v>#DIV/0!</v>
      </c>
      <c r="E25" s="71" t="e">
        <f aca="false">IF(C25="","",IF(C26="",0,(C26-C25)/(B26-B25)))</f>
        <v>#DIV/0!</v>
      </c>
    </row>
    <row r="26" customFormat="false" ht="15" hidden="false" customHeight="false" outlineLevel="0" collapsed="false">
      <c r="A26" s="105" t="e">
        <f aca="false">IF(B26="","Unused","key =")</f>
        <v>#DIV/0!</v>
      </c>
      <c r="B26" s="69" t="e">
        <f aca="false">IF(Other!Q158="|",ROUND(Other!N158,0),IF(Other!Q158="V",ROUND(Other!N158,-3),""))</f>
        <v>#DIV/0!</v>
      </c>
      <c r="C26" s="69" t="e">
        <f aca="false">IF(B26="","",ROUND(Other!O158,0))</f>
        <v>#DIV/0!</v>
      </c>
      <c r="D26" s="71" t="e">
        <f aca="false">IF(C26="","",(C26-C25)/(B26-B25))</f>
        <v>#DIV/0!</v>
      </c>
      <c r="E26" s="71" t="e">
        <f aca="false">IF(C26="","",IF(C27="",0,(C27-C26)/(B27-B26)))</f>
        <v>#DIV/0!</v>
      </c>
    </row>
    <row r="27" customFormat="false" ht="15" hidden="false" customHeight="false" outlineLevel="0" collapsed="false">
      <c r="A27" s="105" t="e">
        <f aca="false">IF(B27="","Unused","key =")</f>
        <v>#DIV/0!</v>
      </c>
      <c r="B27" s="69" t="e">
        <f aca="false">IF(Other!Q159="|",ROUND(Other!N159,0),IF(Other!Q159="V",ROUND(Other!N159,-3),""))</f>
        <v>#DIV/0!</v>
      </c>
      <c r="C27" s="69" t="e">
        <f aca="false">IF(B27="","",ROUND(Other!O159,0))</f>
        <v>#DIV/0!</v>
      </c>
      <c r="D27" s="71" t="e">
        <f aca="false">IF(C27="","",(C27-C26)/(B27-B26))</f>
        <v>#DIV/0!</v>
      </c>
      <c r="E27" s="71" t="e">
        <f aca="false">IF(C27="","",IF(C28="",0,(C28-C27)/(B28-B27)))</f>
        <v>#DIV/0!</v>
      </c>
    </row>
    <row r="28" customFormat="false" ht="15" hidden="false" customHeight="false" outlineLevel="0" collapsed="false">
      <c r="A28" s="105" t="e">
        <f aca="false">IF(B28="","Unused","key =")</f>
        <v>#DIV/0!</v>
      </c>
      <c r="B28" s="69" t="e">
        <f aca="false">IF(Other!Q160="|",ROUND(Other!N160,0),IF(Other!Q160="V",ROUND(Other!N160,-3),""))</f>
        <v>#DIV/0!</v>
      </c>
      <c r="C28" s="69" t="e">
        <f aca="false">IF(B28="","",ROUND(Other!O160,0))</f>
        <v>#DIV/0!</v>
      </c>
      <c r="D28" s="71" t="e">
        <f aca="false">IF(C28="","",(C28-C27)/(B28-B27))</f>
        <v>#DIV/0!</v>
      </c>
      <c r="E28" s="71" t="e">
        <f aca="false">IF(C28="","",IF(C29="",0,(C29-C28)/(B29-B28)))</f>
        <v>#DIV/0!</v>
      </c>
    </row>
    <row r="29" customFormat="false" ht="15" hidden="false" customHeight="false" outlineLevel="0" collapsed="false">
      <c r="A29" s="105" t="e">
        <f aca="false">IF(B29="","Unused","key =")</f>
        <v>#DIV/0!</v>
      </c>
      <c r="B29" s="69" t="e">
        <f aca="false">IF(Other!Q161="|",ROUND(Other!N161,0),IF(Other!Q161="V",ROUND(Other!N161,-3),""))</f>
        <v>#DIV/0!</v>
      </c>
      <c r="C29" s="69" t="e">
        <f aca="false">IF(B29="","",ROUND(Other!O161,0))</f>
        <v>#DIV/0!</v>
      </c>
      <c r="D29" s="71" t="e">
        <f aca="false">IF(C29="","",(C29-C28)/(B29-B28))</f>
        <v>#DIV/0!</v>
      </c>
      <c r="E29" s="71" t="e">
        <f aca="false">IF(C29="","",IF(C30="",0,(C30-C29)/(B30-B29)))</f>
        <v>#DIV/0!</v>
      </c>
    </row>
    <row r="30" customFormat="false" ht="15" hidden="false" customHeight="false" outlineLevel="0" collapsed="false">
      <c r="A30" s="105" t="e">
        <f aca="false">IF(B30="","Unused","key =")</f>
        <v>#DIV/0!</v>
      </c>
      <c r="B30" s="69" t="e">
        <f aca="false">IF(Other!Q162="|",ROUND(Other!N162,0),IF(Other!Q162="V",ROUND(Other!N162,-3),""))</f>
        <v>#DIV/0!</v>
      </c>
      <c r="C30" s="69" t="e">
        <f aca="false">IF(B30="","",ROUND(Other!O162,0))</f>
        <v>#DIV/0!</v>
      </c>
      <c r="D30" s="71" t="e">
        <f aca="false">IF(C30="","",(C30-C29)/(B30-B29))</f>
        <v>#DIV/0!</v>
      </c>
      <c r="E30" s="71" t="e">
        <f aca="false">IF(C30="","",IF(C31="",0,(C31-C30)/(B31-B30)))</f>
        <v>#DIV/0!</v>
      </c>
    </row>
    <row r="31" customFormat="false" ht="15" hidden="false" customHeight="false" outlineLevel="0" collapsed="false">
      <c r="A31" s="105" t="e">
        <f aca="false">IF(B31="","Unused","key =")</f>
        <v>#DIV/0!</v>
      </c>
      <c r="B31" s="69" t="e">
        <f aca="false">IF(Other!Q163="|",ROUND(Other!N163,0),IF(Other!Q163="V",ROUND(Other!N163,-3),""))</f>
        <v>#DIV/0!</v>
      </c>
      <c r="C31" s="69" t="e">
        <f aca="false">IF(B31="","",ROUND(Other!O163,0))</f>
        <v>#DIV/0!</v>
      </c>
      <c r="D31" s="71" t="e">
        <f aca="false">IF(C31="","",(C31-C30)/(B31-B30))</f>
        <v>#DIV/0!</v>
      </c>
      <c r="E31" s="71" t="e">
        <f aca="false">IF(C31="","",IF(C32="",0,(C32-C31)/(B32-B31)))</f>
        <v>#DIV/0!</v>
      </c>
    </row>
    <row r="32" customFormat="false" ht="15" hidden="false" customHeight="false" outlineLevel="0" collapsed="false">
      <c r="A32" s="105" t="e">
        <f aca="false">IF(B32="","Unused","key =")</f>
        <v>#DIV/0!</v>
      </c>
      <c r="B32" s="69" t="e">
        <f aca="false">IF(Other!Q164="|",ROUND(Other!N164,0),IF(Other!Q164="V",ROUND(Other!N164,-3),""))</f>
        <v>#DIV/0!</v>
      </c>
      <c r="C32" s="69" t="e">
        <f aca="false">IF(B32="","",ROUND(Other!O164,0))</f>
        <v>#DIV/0!</v>
      </c>
      <c r="D32" s="71" t="e">
        <f aca="false">IF(C32="","",(C32-C31)/(B32-B31))</f>
        <v>#DIV/0!</v>
      </c>
      <c r="E32" s="71" t="e">
        <f aca="false">IF(C32="","",IF(C33="",0,(C33-C32)/(B33-B32)))</f>
        <v>#DIV/0!</v>
      </c>
    </row>
    <row r="33" customFormat="false" ht="15" hidden="false" customHeight="false" outlineLevel="0" collapsed="false">
      <c r="A33" s="105" t="e">
        <f aca="false">IF(B33="","Unused","key =")</f>
        <v>#DIV/0!</v>
      </c>
      <c r="B33" s="69" t="e">
        <f aca="false">IF(Other!Q165="|",ROUND(Other!N165,0),IF(Other!Q165="V",ROUND(Other!N165,-3),""))</f>
        <v>#DIV/0!</v>
      </c>
      <c r="C33" s="69" t="e">
        <f aca="false">IF(B33="","",ROUND(Other!O165,0))</f>
        <v>#DIV/0!</v>
      </c>
      <c r="D33" s="71" t="e">
        <f aca="false">IF(C33="","",(C33-C32)/(B33-B32))</f>
        <v>#DIV/0!</v>
      </c>
      <c r="E33" s="71" t="e">
        <f aca="false">IF(C33="","",IF(C34="",0,(C34-C33)/(B34-B33)))</f>
        <v>#DIV/0!</v>
      </c>
    </row>
    <row r="34" customFormat="false" ht="15" hidden="false" customHeight="false" outlineLevel="0" collapsed="false">
      <c r="A34" s="105" t="e">
        <f aca="false">IF(B34="","Unused","key =")</f>
        <v>#DIV/0!</v>
      </c>
      <c r="B34" s="69" t="e">
        <f aca="false">IF(Other!Q166="|",ROUND(Other!N166,0),IF(Other!Q166="V",ROUND(Other!N166,-3),""))</f>
        <v>#DIV/0!</v>
      </c>
      <c r="C34" s="69" t="e">
        <f aca="false">IF(B34="","",ROUND(Other!O166,0))</f>
        <v>#DIV/0!</v>
      </c>
      <c r="D34" s="71" t="e">
        <f aca="false">IF(C34="","",(C34-C33)/(B34-B33))</f>
        <v>#DIV/0!</v>
      </c>
      <c r="E34" s="71" t="e">
        <f aca="false">IF(C34="","",IF(C35="",0,(C35-C34)/(B35-B34)))</f>
        <v>#DIV/0!</v>
      </c>
    </row>
    <row r="35" customFormat="false" ht="15" hidden="false" customHeight="false" outlineLevel="0" collapsed="false">
      <c r="A35" s="105" t="e">
        <f aca="false">IF(B35="","Unused","key =")</f>
        <v>#DIV/0!</v>
      </c>
      <c r="B35" s="69" t="e">
        <f aca="false">IF(Other!Q167="|",ROUND(Other!N167,0),IF(Other!Q167="V",ROUND(Other!N167,-3),""))</f>
        <v>#DIV/0!</v>
      </c>
      <c r="C35" s="69" t="e">
        <f aca="false">IF(B35="","",ROUND(Other!O167,0))</f>
        <v>#DIV/0!</v>
      </c>
      <c r="D35" s="71" t="e">
        <f aca="false">IF(C35="","",(C35-C34)/(B35-B34))</f>
        <v>#DIV/0!</v>
      </c>
      <c r="E35" s="71" t="e">
        <f aca="false">IF(C35="","",IF(C36="",0,(C36-C35)/(B36-B35)))</f>
        <v>#DIV/0!</v>
      </c>
    </row>
    <row r="36" customFormat="false" ht="15" hidden="false" customHeight="false" outlineLevel="0" collapsed="false">
      <c r="A36" s="105" t="e">
        <f aca="false">IF(B36="","Unused","key =")</f>
        <v>#DIV/0!</v>
      </c>
      <c r="B36" s="69" t="e">
        <f aca="false">IF(Other!Q168="|",ROUND(Other!N168,0),IF(Other!Q168="V",ROUND(Other!N168,-3),""))</f>
        <v>#DIV/0!</v>
      </c>
      <c r="C36" s="69" t="e">
        <f aca="false">IF(B36="","",ROUND(Other!O168,0))</f>
        <v>#DIV/0!</v>
      </c>
      <c r="D36" s="71" t="e">
        <f aca="false">IF(C36="","",(C36-C35)/(B36-B35))</f>
        <v>#DIV/0!</v>
      </c>
      <c r="E36" s="71" t="e">
        <f aca="false">IF(C36="","",IF(C37="",0,(C37-C36)/(B37-B36)))</f>
        <v>#DIV/0!</v>
      </c>
    </row>
    <row r="37" customFormat="false" ht="15" hidden="false" customHeight="false" outlineLevel="0" collapsed="false">
      <c r="A37" s="105" t="e">
        <f aca="false">IF(B37="","Unused","key =")</f>
        <v>#DIV/0!</v>
      </c>
      <c r="B37" s="69" t="e">
        <f aca="false">IF(Other!Q169="|",ROUND(Other!N169,0),IF(Other!Q169="V",ROUND(Other!N169,-3),""))</f>
        <v>#DIV/0!</v>
      </c>
      <c r="C37" s="69" t="e">
        <f aca="false">IF(B37="","",ROUND(Other!O169,0))</f>
        <v>#DIV/0!</v>
      </c>
      <c r="D37" s="71" t="e">
        <f aca="false">IF(C37="","",(C37-C36)/(B37-B36))</f>
        <v>#DIV/0!</v>
      </c>
      <c r="E37" s="71" t="e">
        <f aca="false">IF(C37="","",IF(C38="",0,(C38-C37)/(B38-B37)))</f>
        <v>#DIV/0!</v>
      </c>
    </row>
    <row r="38" customFormat="false" ht="15" hidden="false" customHeight="false" outlineLevel="0" collapsed="false">
      <c r="A38" s="105" t="e">
        <f aca="false">IF(B38="","Unused","key =")</f>
        <v>#DIV/0!</v>
      </c>
      <c r="B38" s="69" t="e">
        <f aca="false">IF(Other!Q170="|",ROUND(Other!N170,0),IF(Other!Q170="V",ROUND(Other!N170,-3),""))</f>
        <v>#DIV/0!</v>
      </c>
      <c r="C38" s="69" t="e">
        <f aca="false">IF(B38="","",ROUND(Other!O170,0))</f>
        <v>#DIV/0!</v>
      </c>
      <c r="D38" s="71" t="e">
        <f aca="false">IF(C38="","",(C38-C37)/(B38-B37))</f>
        <v>#DIV/0!</v>
      </c>
      <c r="E38" s="71" t="e">
        <f aca="false">IF(C38="","",IF(C39="",0,(C39-C38)/(B39-B38)))</f>
        <v>#DIV/0!</v>
      </c>
    </row>
    <row r="39" customFormat="false" ht="15" hidden="false" customHeight="false" outlineLevel="0" collapsed="false">
      <c r="A39" s="105" t="e">
        <f aca="false">IF(B39="","Unused","key =")</f>
        <v>#DIV/0!</v>
      </c>
      <c r="B39" s="69" t="e">
        <f aca="false">IF(Other!Q171="|",ROUND(Other!N171,0),IF(Other!Q171="V",ROUND(Other!N171,-3),""))</f>
        <v>#DIV/0!</v>
      </c>
      <c r="C39" s="69" t="e">
        <f aca="false">IF(B39="","",ROUND(Other!O171,0))</f>
        <v>#DIV/0!</v>
      </c>
      <c r="D39" s="71" t="e">
        <f aca="false">IF(C39="","",(C39-C38)/(B39-B38))</f>
        <v>#DIV/0!</v>
      </c>
      <c r="E39" s="71" t="e">
        <f aca="false">IF(C39="","",IF(C40="",0,(C40-C39)/(B40-B39)))</f>
        <v>#DIV/0!</v>
      </c>
    </row>
    <row r="40" customFormat="false" ht="15" hidden="false" customHeight="false" outlineLevel="0" collapsed="false">
      <c r="A40" s="105" t="e">
        <f aca="false">IF(B40="","Unused","key =")</f>
        <v>#DIV/0!</v>
      </c>
      <c r="B40" s="69" t="e">
        <f aca="false">IF(Other!Q172="|",ROUND(Other!N172,0),IF(Other!Q172="V",ROUND(Other!N172,-3),""))</f>
        <v>#DIV/0!</v>
      </c>
      <c r="C40" s="69" t="e">
        <f aca="false">IF(B40="","",ROUND(Other!O172,0))</f>
        <v>#DIV/0!</v>
      </c>
      <c r="D40" s="71" t="e">
        <f aca="false">IF(C40="","",(C40-C39)/(B40-B39))</f>
        <v>#DIV/0!</v>
      </c>
      <c r="E40" s="71" t="e">
        <f aca="false">IF(C40="","",IF(C41="",0,(C41-C40)/(B41-B40)))</f>
        <v>#DIV/0!</v>
      </c>
    </row>
    <row r="41" customFormat="false" ht="15" hidden="false" customHeight="false" outlineLevel="0" collapsed="false">
      <c r="A41" s="105" t="e">
        <f aca="false">IF(B41="","Unused","key =")</f>
        <v>#DIV/0!</v>
      </c>
      <c r="B41" s="69" t="e">
        <f aca="false">IF(Other!Q173="|",ROUND(Other!N173,0),IF(Other!Q173="V",ROUND(Other!N173,-3),""))</f>
        <v>#DIV/0!</v>
      </c>
      <c r="C41" s="69" t="e">
        <f aca="false">IF(B41="","",ROUND(Other!O173,0))</f>
        <v>#DIV/0!</v>
      </c>
      <c r="D41" s="71" t="e">
        <f aca="false">IF(C41="","",(C41-C40)/(B41-B40))</f>
        <v>#DIV/0!</v>
      </c>
      <c r="E41" s="71" t="e">
        <f aca="false">IF(C41="","",IF(C42="",0,(C42-C41)/(B42-B41)))</f>
        <v>#DIV/0!</v>
      </c>
    </row>
    <row r="42" customFormat="false" ht="15" hidden="false" customHeight="false" outlineLevel="0" collapsed="false">
      <c r="A42" s="105" t="e">
        <f aca="false">IF(B42="","Unused","key =")</f>
        <v>#DIV/0!</v>
      </c>
      <c r="B42" s="69" t="e">
        <f aca="false">IF(Other!Q174="|",ROUND(Other!N174,0),IF(Other!Q174="V",ROUND(Other!N174,-3),""))</f>
        <v>#DIV/0!</v>
      </c>
      <c r="C42" s="69" t="e">
        <f aca="false">IF(B42="","",ROUND(Other!O174,0))</f>
        <v>#DIV/0!</v>
      </c>
      <c r="D42" s="71" t="e">
        <f aca="false">IF(C42="","",(C42-C41)/(B42-B41))</f>
        <v>#DIV/0!</v>
      </c>
      <c r="E42" s="71" t="e">
        <f aca="false">IF(C42="","",IF(C43="",0,(C43-C42)/(B43-B42)))</f>
        <v>#DIV/0!</v>
      </c>
    </row>
    <row r="43" customFormat="false" ht="15" hidden="false" customHeight="false" outlineLevel="0" collapsed="false">
      <c r="A43" s="105" t="e">
        <f aca="false">IF(B43="","Unused","key =")</f>
        <v>#DIV/0!</v>
      </c>
      <c r="B43" s="105" t="e">
        <f aca="false">IF(Other!Q175="|",ROUND(Other!N175,0),IF(Other!Q175="V",ROUND(Other!N175,-3),""))</f>
        <v>#DIV/0!</v>
      </c>
      <c r="C43" s="105" t="e">
        <f aca="false">IF(B43="","",ROUND(Other!O175,0))</f>
        <v>#DIV/0!</v>
      </c>
      <c r="D43" s="71" t="e">
        <f aca="false">IF(C43="","",(C43-C42)/(B43-B42))</f>
        <v>#DIV/0!</v>
      </c>
      <c r="E43" s="71" t="e">
        <f aca="false">IF(C43="","",IF(C44="",0,(C44-C43)/(B44-B43)))</f>
        <v>#DIV/0!</v>
      </c>
    </row>
    <row r="44" customFormat="false" ht="15" hidden="false" customHeight="false" outlineLevel="0" collapsed="false">
      <c r="A44" s="105" t="e">
        <f aca="false">IF(B44="","Unused","key =")</f>
        <v>#DIV/0!</v>
      </c>
      <c r="B44" s="105" t="e">
        <f aca="false">IF(Other!Q176="|",ROUND(Other!N176,0),IF(Other!Q176="V",ROUND(Other!N176,-3),""))</f>
        <v>#DIV/0!</v>
      </c>
      <c r="C44" s="105" t="e">
        <f aca="false">IF(B44="","",ROUND(Other!O176,0))</f>
        <v>#DIV/0!</v>
      </c>
      <c r="D44" s="71" t="e">
        <f aca="false">IF(C44="","",(C44-C43)/(B44-B43))</f>
        <v>#DIV/0!</v>
      </c>
      <c r="E44" s="71" t="e">
        <f aca="false">IF(C44="","",IF(C45="",0,(C45-C44)/(B45-B44)))</f>
        <v>#DIV/0!</v>
      </c>
    </row>
    <row r="45" customFormat="false" ht="15" hidden="false" customHeight="false" outlineLevel="0" collapsed="false">
      <c r="A45" s="105" t="e">
        <f aca="false">IF(B45="","Unused","key =")</f>
        <v>#DIV/0!</v>
      </c>
      <c r="B45" s="105" t="e">
        <f aca="false">IF(Other!Q177="|",ROUND(Other!N177,0),IF(Other!Q177="V",ROUND(Other!N177,-3),""))</f>
        <v>#DIV/0!</v>
      </c>
      <c r="C45" s="105" t="e">
        <f aca="false">IF(B45="","",ROUND(Other!O177,0))</f>
        <v>#DIV/0!</v>
      </c>
      <c r="D45" s="71" t="e">
        <f aca="false">IF(C45="","",(C45-C44)/(B45-B44))</f>
        <v>#DIV/0!</v>
      </c>
      <c r="E45" s="71" t="e">
        <f aca="false">IF(C45="","",IF(C46="",0,(C46-C45)/(B46-B45)))</f>
        <v>#DIV/0!</v>
      </c>
    </row>
    <row r="46" customFormat="false" ht="15" hidden="false" customHeight="false" outlineLevel="0" collapsed="false">
      <c r="A46" s="105" t="e">
        <f aca="false">IF(B46="","Unused","key =")</f>
        <v>#DIV/0!</v>
      </c>
      <c r="B46" s="105" t="e">
        <f aca="false">IF(Other!Q178="|",ROUND(Other!N178,0),IF(Other!Q178="V",ROUND(Other!N178,-3),""))</f>
        <v>#DIV/0!</v>
      </c>
      <c r="C46" s="105" t="e">
        <f aca="false">IF(B46="","",ROUND(Other!O178,0))</f>
        <v>#DIV/0!</v>
      </c>
      <c r="D46" s="71" t="e">
        <f aca="false">IF(C46="","",(C46-C45)/(B46-B45))</f>
        <v>#DIV/0!</v>
      </c>
      <c r="E46" s="71" t="e">
        <f aca="false">IF(C46="","",IF(C47="",0,(C47-C46)/(B47-B46)))</f>
        <v>#DIV/0!</v>
      </c>
    </row>
    <row r="47" customFormat="false" ht="15" hidden="false" customHeight="false" outlineLevel="0" collapsed="false">
      <c r="A47" s="105" t="e">
        <f aca="false">IF(B47="","Unused","key =")</f>
        <v>#DIV/0!</v>
      </c>
      <c r="B47" s="105" t="e">
        <f aca="false">IF(Other!Q179="|",ROUND(Other!N179,0),IF(Other!Q179="V",ROUND(Other!N179,-3),""))</f>
        <v>#DIV/0!</v>
      </c>
      <c r="C47" s="105" t="e">
        <f aca="false">IF(B47="","",ROUND(Other!O179,0))</f>
        <v>#DIV/0!</v>
      </c>
      <c r="D47" s="71" t="e">
        <f aca="false">IF(C47="","",(C47-C46)/(B47-B46))</f>
        <v>#DIV/0!</v>
      </c>
      <c r="E47" s="71" t="e">
        <f aca="false">IF(C47="","",IF(C48="",0,(C48-C47)/(B48-B47)))</f>
        <v>#DIV/0!</v>
      </c>
    </row>
    <row r="48" customFormat="false" ht="15" hidden="false" customHeight="false" outlineLevel="0" collapsed="false">
      <c r="A48" s="105" t="e">
        <f aca="false">IF(B48="","Unused","key =")</f>
        <v>#DIV/0!</v>
      </c>
      <c r="B48" s="105" t="e">
        <f aca="false">IF(Other!Q180="|",ROUND(Other!N180,0),IF(Other!Q180="V",ROUND(Other!N180,-3),""))</f>
        <v>#DIV/0!</v>
      </c>
      <c r="C48" s="105" t="e">
        <f aca="false">IF(B48="","",ROUND(Other!O180,0))</f>
        <v>#DIV/0!</v>
      </c>
      <c r="D48" s="71" t="e">
        <f aca="false">IF(C48="","",(C48-C47)/(B48-B47))</f>
        <v>#DIV/0!</v>
      </c>
      <c r="E48" s="71" t="e">
        <f aca="false">IF(C48="","",IF(C61="",0,(C61-C48)/(B61-B48)))</f>
        <v>#DIV/0!</v>
      </c>
    </row>
    <row r="49" customFormat="false" ht="15" hidden="false" customHeight="false" outlineLevel="0" collapsed="false">
      <c r="A49" s="105" t="e">
        <f aca="false">IF(B49="","Unused","key =")</f>
        <v>#DIV/0!</v>
      </c>
      <c r="B49" s="105" t="e">
        <f aca="false">IF(Other!Q181="|",ROUND(Other!N181,0),IF(Other!Q181="V",ROUND(Other!N181,-3),""))</f>
        <v>#DIV/0!</v>
      </c>
      <c r="C49" s="105" t="e">
        <f aca="false">IF(B49="","",ROUND(Other!O181,0))</f>
        <v>#DIV/0!</v>
      </c>
      <c r="D49" s="71" t="e">
        <f aca="false">IF(C49="","",(C49-C48)/(B49-B48))</f>
        <v>#DIV/0!</v>
      </c>
      <c r="E49" s="71" t="e">
        <f aca="false">IF(C49="","",IF(C62="",0,(C62-C49)/(B62-B49)))</f>
        <v>#DIV/0!</v>
      </c>
    </row>
    <row r="50" customFormat="false" ht="15" hidden="false" customHeight="false" outlineLevel="0" collapsed="false">
      <c r="A50" s="105" t="e">
        <f aca="false">IF(B50="","Unused","key =")</f>
        <v>#DIV/0!</v>
      </c>
      <c r="B50" s="105" t="e">
        <f aca="false">IF(Other!Q182="|",ROUND(Other!N182,0),IF(Other!Q182="V",ROUND(Other!N182,-3),""))</f>
        <v>#DIV/0!</v>
      </c>
      <c r="C50" s="105" t="e">
        <f aca="false">IF(B50="","",ROUND(Other!O182,0))</f>
        <v>#DIV/0!</v>
      </c>
      <c r="D50" s="71" t="e">
        <f aca="false">IF(C50="","",(C50-C49)/(B50-B49))</f>
        <v>#DIV/0!</v>
      </c>
      <c r="E50" s="71" t="e">
        <f aca="false">IF(C50="","",IF(C63="",0,(C63-C50)/(B63-B50)))</f>
        <v>#DIV/0!</v>
      </c>
    </row>
    <row r="51" customFormat="false" ht="15" hidden="false" customHeight="false" outlineLevel="0" collapsed="false">
      <c r="A51" s="105" t="e">
        <f aca="false">IF(B51="","Unused","key =")</f>
        <v>#DIV/0!</v>
      </c>
      <c r="B51" s="105" t="e">
        <f aca="false">IF(Other!Q183="|",ROUND(Other!N183,0),IF(Other!Q183="V",ROUND(Other!N183,-3),""))</f>
        <v>#DIV/0!</v>
      </c>
      <c r="C51" s="105" t="e">
        <f aca="false">IF(B51="","",ROUND(Other!O183,0))</f>
        <v>#DIV/0!</v>
      </c>
      <c r="D51" s="71" t="e">
        <f aca="false">IF(C51="","",(C51-C50)/(B51-B50))</f>
        <v>#DIV/0!</v>
      </c>
      <c r="E51" s="71" t="e">
        <f aca="false">IF(C51="","",IF(C64="",0,(C64-C51)/(B64-B51)))</f>
        <v>#DIV/0!</v>
      </c>
    </row>
    <row r="52" customFormat="false" ht="15" hidden="false" customHeight="false" outlineLevel="0" collapsed="false">
      <c r="A52" s="105" t="e">
        <f aca="false">IF(B52="","Unused","key =")</f>
        <v>#DIV/0!</v>
      </c>
      <c r="B52" s="105" t="e">
        <f aca="false">IF(Other!Q184="|",ROUND(Other!N184,0),IF(Other!Q184="V",ROUND(Other!N184,-3),""))</f>
        <v>#DIV/0!</v>
      </c>
      <c r="C52" s="105" t="e">
        <f aca="false">IF(B52="","",ROUND(Other!O184,0))</f>
        <v>#DIV/0!</v>
      </c>
      <c r="D52" s="71" t="e">
        <f aca="false">IF(C52="","",(C52-C51)/(B52-B51))</f>
        <v>#DIV/0!</v>
      </c>
      <c r="E52" s="71" t="e">
        <f aca="false">IF(C52="","",IF(C65="",0,(C65-C52)/(B65-B52)))</f>
        <v>#DIV/0!</v>
      </c>
    </row>
    <row r="53" customFormat="false" ht="15" hidden="false" customHeight="false" outlineLevel="0" collapsed="false">
      <c r="A53" s="105" t="e">
        <f aca="false">IF(B53="","Unused","key =")</f>
        <v>#DIV/0!</v>
      </c>
      <c r="B53" s="105" t="e">
        <f aca="false">IF(Other!Q185="|",ROUND(Other!N185,0),IF(Other!Q185="V",ROUND(Other!N185,-3),""))</f>
        <v>#DIV/0!</v>
      </c>
      <c r="C53" s="105" t="e">
        <f aca="false">IF(B53="","",ROUND(Other!O185,0))</f>
        <v>#DIV/0!</v>
      </c>
      <c r="D53" s="71" t="e">
        <f aca="false">IF(C53="","",(C53-C52)/(B53-B52))</f>
        <v>#DIV/0!</v>
      </c>
      <c r="E53" s="71" t="e">
        <f aca="false">IF(C53="","",IF(C66="",0,(C66-C53)/(B66-B53)))</f>
        <v>#DIV/0!</v>
      </c>
    </row>
    <row r="54" customFormat="false" ht="15" hidden="false" customHeight="false" outlineLevel="0" collapsed="false">
      <c r="A54" s="105" t="e">
        <f aca="false">IF(B54="","Unused","key =")</f>
        <v>#DIV/0!</v>
      </c>
      <c r="B54" s="105" t="e">
        <f aca="false">IF(Other!Q186="|",ROUND(Other!N186,0),IF(Other!Q186="V",ROUND(Other!N186,-3),""))</f>
        <v>#DIV/0!</v>
      </c>
      <c r="C54" s="105" t="e">
        <f aca="false">IF(B54="","",ROUND(Other!O186,0))</f>
        <v>#DIV/0!</v>
      </c>
      <c r="D54" s="71" t="e">
        <f aca="false">IF(C54="","",(C54-C53)/(B54-B53))</f>
        <v>#DIV/0!</v>
      </c>
      <c r="E54" s="71" t="e">
        <f aca="false">IF(C54="","",IF(C67="",0,(C67-C54)/(B67-B54)))</f>
        <v>#DIV/0!</v>
      </c>
    </row>
    <row r="55" customFormat="false" ht="15" hidden="false" customHeight="false" outlineLevel="0" collapsed="false">
      <c r="A55" s="105" t="e">
        <f aca="false">IF(B55="","Unused","key =")</f>
        <v>#DIV/0!</v>
      </c>
      <c r="B55" s="105" t="e">
        <f aca="false">IF(Other!Q187="|",ROUND(Other!N187,0),IF(Other!Q187="V",ROUND(Other!N187,-3),""))</f>
        <v>#DIV/0!</v>
      </c>
      <c r="C55" s="105" t="e">
        <f aca="false">IF(B55="","",ROUND(Other!O187,0))</f>
        <v>#DIV/0!</v>
      </c>
      <c r="D55" s="71" t="e">
        <f aca="false">IF(C55="","",(C55-C54)/(B55-B54))</f>
        <v>#DIV/0!</v>
      </c>
      <c r="E55" s="71" t="e">
        <f aca="false">IF(C55="","",IF(C68="",0,(C68-C55)/(B68-B55)))</f>
        <v>#DIV/0!</v>
      </c>
    </row>
    <row r="56" customFormat="false" ht="15" hidden="false" customHeight="false" outlineLevel="0" collapsed="false">
      <c r="A56" s="105" t="e">
        <f aca="false">IF(B56="","Unused","key =")</f>
        <v>#DIV/0!</v>
      </c>
      <c r="B56" s="105" t="e">
        <f aca="false">IF(Other!Q188="|",ROUND(Other!N188,0),IF(Other!Q188="V",ROUND(Other!N188,-3),""))</f>
        <v>#DIV/0!</v>
      </c>
      <c r="C56" s="105" t="e">
        <f aca="false">IF(B56="","",ROUND(Other!O188,0))</f>
        <v>#DIV/0!</v>
      </c>
      <c r="D56" s="71" t="e">
        <f aca="false">IF(C56="","",(C56-C55)/(B56-B55))</f>
        <v>#DIV/0!</v>
      </c>
      <c r="E56" s="71" t="e">
        <f aca="false">IF(C56="","",IF(C69="",0,(C69-C56)/(B69-B56)))</f>
        <v>#DIV/0!</v>
      </c>
    </row>
    <row r="57" customFormat="false" ht="15" hidden="false" customHeight="false" outlineLevel="0" collapsed="false">
      <c r="A57" s="105" t="e">
        <f aca="false">IF(B57="","Unused","key =")</f>
        <v>#DIV/0!</v>
      </c>
      <c r="B57" s="105" t="e">
        <f aca="false">IF(Other!Q189="|",ROUND(Other!N189,0),IF(Other!Q189="V",ROUND(Other!N189,-3),""))</f>
        <v>#DIV/0!</v>
      </c>
      <c r="C57" s="105" t="e">
        <f aca="false">IF(B57="","",ROUND(Other!O189,0))</f>
        <v>#DIV/0!</v>
      </c>
      <c r="D57" s="71" t="e">
        <f aca="false">IF(C57="","",(C57-C56)/(B57-B56))</f>
        <v>#DIV/0!</v>
      </c>
      <c r="E57" s="71" t="e">
        <f aca="false">IF(C57="","",IF(C70="",0,(C70-C57)/(B70-B57)))</f>
        <v>#DIV/0!</v>
      </c>
    </row>
    <row r="58" customFormat="false" ht="15" hidden="false" customHeight="false" outlineLevel="0" collapsed="false">
      <c r="A58" s="105" t="e">
        <f aca="false">IF(B58="","Unused","key =")</f>
        <v>#DIV/0!</v>
      </c>
      <c r="B58" s="105" t="e">
        <f aca="false">IF(Other!Q190="|",ROUND(Other!N190,0),IF(Other!Q190="V",ROUND(Other!N190,-3),""))</f>
        <v>#DIV/0!</v>
      </c>
      <c r="C58" s="105" t="e">
        <f aca="false">IF(B58="","",ROUND(Other!O190,0))</f>
        <v>#DIV/0!</v>
      </c>
      <c r="D58" s="71" t="e">
        <f aca="false">IF(C58="","",(C58-C57)/(B58-B57))</f>
        <v>#DIV/0!</v>
      </c>
      <c r="E58" s="71" t="e">
        <f aca="false">IF(C58="","",IF(C71="",0,(C71-C58)/(B71-B58)))</f>
        <v>#DIV/0!</v>
      </c>
    </row>
    <row r="59" customFormat="false" ht="15" hidden="false" customHeight="false" outlineLevel="0" collapsed="false">
      <c r="A59" s="105" t="e">
        <f aca="false">IF(B59="","Unused","key =")</f>
        <v>#DIV/0!</v>
      </c>
      <c r="B59" s="105" t="e">
        <f aca="false">IF(Other!Q191="|",ROUND(Other!N191,0),IF(Other!Q191="V",ROUND(Other!N191,-3),""))</f>
        <v>#DIV/0!</v>
      </c>
      <c r="C59" s="105" t="e">
        <f aca="false">IF(B59="","",ROUND(Other!O191,0))</f>
        <v>#DIV/0!</v>
      </c>
      <c r="D59" s="71" t="e">
        <f aca="false">IF(C59="","",(C59-C58)/(B59-B58))</f>
        <v>#DIV/0!</v>
      </c>
      <c r="E59" s="71" t="e">
        <f aca="false">IF(C59="","",IF(C72="",0,(C72-C59)/(B72-B59)))</f>
        <v>#DIV/0!</v>
      </c>
    </row>
    <row r="60" customFormat="false" ht="15" hidden="false" customHeight="false" outlineLevel="0" collapsed="false">
      <c r="A60" s="105" t="e">
        <f aca="false">IF(B60="","Unused","key =")</f>
        <v>#DIV/0!</v>
      </c>
      <c r="B60" s="105" t="e">
        <f aca="false">IF(Other!Q192="|",ROUND(Other!N192,0),IF(Other!Q192="V",ROUND(Other!N192,-3),""))</f>
        <v>#DIV/0!</v>
      </c>
      <c r="C60" s="105" t="e">
        <f aca="false">IF(B60="","",ROUND(Other!O192,0))</f>
        <v>#DIV/0!</v>
      </c>
      <c r="D60" s="71" t="e">
        <f aca="false">IF(C60="","",(C60-C59)/(B60-B59))</f>
        <v>#DIV/0!</v>
      </c>
      <c r="E60" s="71" t="e">
        <f aca="false">IF(C60="","",IF(C73="",0,(C73-C60)/(B73-B60)))</f>
        <v>#DIV/0!</v>
      </c>
    </row>
    <row r="61" customFormat="false" ht="15" hidden="false" customHeight="false" outlineLevel="0" collapsed="false">
      <c r="A61" s="66" t="s">
        <v>212</v>
      </c>
      <c r="B61" s="69"/>
      <c r="C61" s="69"/>
      <c r="D61" s="71"/>
      <c r="E61" s="71"/>
    </row>
    <row r="62" customFormat="false" ht="15" hidden="false" customHeight="false" outlineLevel="0" collapsed="false">
      <c r="A62" s="66" t="s">
        <v>226</v>
      </c>
      <c r="B62" s="69"/>
      <c r="C62" s="69"/>
      <c r="D62" s="71"/>
      <c r="E62" s="71"/>
    </row>
    <row r="63" customFormat="false" ht="15" hidden="false" customHeight="false" outlineLevel="0" collapsed="false">
      <c r="A63" s="66" t="s">
        <v>209</v>
      </c>
      <c r="B63" s="69"/>
      <c r="C63" s="69"/>
      <c r="D63" s="71"/>
      <c r="E63" s="71"/>
    </row>
    <row r="64" customFormat="false" ht="15" hidden="false" customHeight="false" outlineLevel="0" collapsed="false">
      <c r="A64" s="105" t="e">
        <f aca="false">IF(B64="","Unused","key =")</f>
        <v>#DIV/0!</v>
      </c>
      <c r="B64" s="69" t="e">
        <f aca="false">IF(Other!Q150="|",ROUND(Other!N150,0),IF(Other!Q150="V",ROUND(Other!N150,-3),""))</f>
        <v>#DIV/0!</v>
      </c>
      <c r="C64" s="70" t="e">
        <f aca="false">IF(B64="","",ROUND(Other!P150,3))</f>
        <v>#DIV/0!</v>
      </c>
      <c r="D64" s="71" t="n">
        <v>0</v>
      </c>
      <c r="E64" s="71" t="e">
        <f aca="false">(C65-C64)/(B65-B64)</f>
        <v>#DIV/0!</v>
      </c>
    </row>
    <row r="65" customFormat="false" ht="15" hidden="false" customHeight="false" outlineLevel="0" collapsed="false">
      <c r="A65" s="105" t="e">
        <f aca="false">IF(B65="","Unused","key =")</f>
        <v>#DIV/0!</v>
      </c>
      <c r="B65" s="69" t="e">
        <f aca="false">IF(Other!Q151="|",ROUND(Other!N151,0),IF(Other!Q151="V",ROUND(Other!N151,-3),""))</f>
        <v>#DIV/0!</v>
      </c>
      <c r="C65" s="70" t="e">
        <f aca="false">IF(B65="","",ROUND(Other!P151,3))</f>
        <v>#DIV/0!</v>
      </c>
      <c r="D65" s="71" t="e">
        <f aca="false">IF(C65="","",(C65-C64)/(B65-B64))</f>
        <v>#DIV/0!</v>
      </c>
      <c r="E65" s="71" t="e">
        <f aca="false">IF(C65="","",IF(C66="",0,(C66-C65)/(B66-B65)))</f>
        <v>#DIV/0!</v>
      </c>
    </row>
    <row r="66" customFormat="false" ht="15" hidden="false" customHeight="false" outlineLevel="0" collapsed="false">
      <c r="A66" s="105" t="e">
        <f aca="false">IF(B66="","Unused","key =")</f>
        <v>#DIV/0!</v>
      </c>
      <c r="B66" s="69" t="e">
        <f aca="false">IF(Other!Q152="|",ROUND(Other!N152,0),IF(Other!Q152="V",ROUND(Other!N152,-3),""))</f>
        <v>#DIV/0!</v>
      </c>
      <c r="C66" s="70" t="e">
        <f aca="false">IF(B66="","",ROUND(Other!P152,3))</f>
        <v>#DIV/0!</v>
      </c>
      <c r="D66" s="71" t="e">
        <f aca="false">IF(C66="","",(C66-C65)/(B66-B65))</f>
        <v>#DIV/0!</v>
      </c>
      <c r="E66" s="71" t="e">
        <f aca="false">IF(C66="","",IF(C67="",0,(C67-C66)/(B67-B66)))</f>
        <v>#DIV/0!</v>
      </c>
    </row>
    <row r="67" customFormat="false" ht="15" hidden="false" customHeight="false" outlineLevel="0" collapsed="false">
      <c r="A67" s="105" t="e">
        <f aca="false">IF(B67="","Unused","key =")</f>
        <v>#DIV/0!</v>
      </c>
      <c r="B67" s="69" t="e">
        <f aca="false">IF(Other!Q153="|",ROUND(Other!N153,0),IF(Other!Q153="V",ROUND(Other!N153,-3),""))</f>
        <v>#DIV/0!</v>
      </c>
      <c r="C67" s="70" t="e">
        <f aca="false">IF(B67="","",ROUND(Other!P153,3))</f>
        <v>#DIV/0!</v>
      </c>
      <c r="D67" s="71" t="e">
        <f aca="false">IF(C67="","",(C67-C66)/(B67-B66))</f>
        <v>#DIV/0!</v>
      </c>
      <c r="E67" s="71" t="e">
        <f aca="false">IF(C67="","",IF(C68="",0,(C68-C67)/(B68-B67)))</f>
        <v>#DIV/0!</v>
      </c>
    </row>
    <row r="68" customFormat="false" ht="15" hidden="false" customHeight="false" outlineLevel="0" collapsed="false">
      <c r="A68" s="105" t="e">
        <f aca="false">IF(B68="","Unused","key =")</f>
        <v>#DIV/0!</v>
      </c>
      <c r="B68" s="69" t="e">
        <f aca="false">IF(Other!Q154="|",ROUND(Other!N154,0),IF(Other!Q154="V",ROUND(Other!N154,-3),""))</f>
        <v>#DIV/0!</v>
      </c>
      <c r="C68" s="70" t="e">
        <f aca="false">IF(B68="","",ROUND(Other!P154,3))</f>
        <v>#DIV/0!</v>
      </c>
      <c r="D68" s="71" t="e">
        <f aca="false">IF(C68="","",(C68-C67)/(B68-B67))</f>
        <v>#DIV/0!</v>
      </c>
      <c r="E68" s="71" t="e">
        <f aca="false">IF(C68="","",IF(C69="",0,(C69-C68)/(B69-B68)))</f>
        <v>#DIV/0!</v>
      </c>
    </row>
    <row r="69" customFormat="false" ht="15" hidden="false" customHeight="false" outlineLevel="0" collapsed="false">
      <c r="A69" s="105" t="e">
        <f aca="false">IF(B69="","Unused","key =")</f>
        <v>#DIV/0!</v>
      </c>
      <c r="B69" s="69" t="e">
        <f aca="false">IF(Other!Q155="|",ROUND(Other!N155,0),IF(Other!Q155="V",ROUND(Other!N155,-3),""))</f>
        <v>#DIV/0!</v>
      </c>
      <c r="C69" s="70" t="e">
        <f aca="false">IF(B69="","",ROUND(Other!P155,3))</f>
        <v>#DIV/0!</v>
      </c>
      <c r="D69" s="71" t="e">
        <f aca="false">IF(C69="","",(C69-C68)/(B69-B68))</f>
        <v>#DIV/0!</v>
      </c>
      <c r="E69" s="71" t="e">
        <f aca="false">IF(C69="","",IF(C70="",0,(C70-C69)/(B70-B69)))</f>
        <v>#DIV/0!</v>
      </c>
    </row>
    <row r="70" customFormat="false" ht="15" hidden="false" customHeight="false" outlineLevel="0" collapsed="false">
      <c r="A70" s="105" t="e">
        <f aca="false">IF(B70="","Unused","key =")</f>
        <v>#DIV/0!</v>
      </c>
      <c r="B70" s="69" t="e">
        <f aca="false">IF(Other!Q156="|",ROUND(Other!N156,0),IF(Other!Q156="V",ROUND(Other!N156,-3),""))</f>
        <v>#DIV/0!</v>
      </c>
      <c r="C70" s="70" t="e">
        <f aca="false">IF(B70="","",ROUND(Other!P156,3))</f>
        <v>#DIV/0!</v>
      </c>
      <c r="D70" s="71" t="e">
        <f aca="false">IF(C70="","",(C70-C69)/(B70-B69))</f>
        <v>#DIV/0!</v>
      </c>
      <c r="E70" s="71" t="e">
        <f aca="false">IF(C70="","",IF(C71="",0,(C71-C70)/(B71-B70)))</f>
        <v>#DIV/0!</v>
      </c>
    </row>
    <row r="71" customFormat="false" ht="15" hidden="false" customHeight="false" outlineLevel="0" collapsed="false">
      <c r="A71" s="105" t="e">
        <f aca="false">IF(B71="","Unused","key =")</f>
        <v>#DIV/0!</v>
      </c>
      <c r="B71" s="69" t="e">
        <f aca="false">IF(Other!Q157="|",ROUND(Other!N157,0),IF(Other!Q157="V",ROUND(Other!N157,-3),""))</f>
        <v>#DIV/0!</v>
      </c>
      <c r="C71" s="70" t="e">
        <f aca="false">IF(B71="","",ROUND(Other!P157,3))</f>
        <v>#DIV/0!</v>
      </c>
      <c r="D71" s="71" t="e">
        <f aca="false">IF(C71="","",(C71-C70)/(B71-B70))</f>
        <v>#DIV/0!</v>
      </c>
      <c r="E71" s="71" t="e">
        <f aca="false">IF(C71="","",IF(C72="",0,(C72-C71)/(B72-B71)))</f>
        <v>#DIV/0!</v>
      </c>
    </row>
    <row r="72" customFormat="false" ht="15" hidden="false" customHeight="false" outlineLevel="0" collapsed="false">
      <c r="A72" s="105" t="e">
        <f aca="false">IF(B72="","Unused","key =")</f>
        <v>#DIV/0!</v>
      </c>
      <c r="B72" s="69" t="e">
        <f aca="false">IF(Other!Q158="|",ROUND(Other!N158,0),IF(Other!Q158="V",ROUND(Other!N158,-3),""))</f>
        <v>#DIV/0!</v>
      </c>
      <c r="C72" s="70" t="e">
        <f aca="false">IF(B72="","",ROUND(Other!P158,3))</f>
        <v>#DIV/0!</v>
      </c>
      <c r="D72" s="71" t="e">
        <f aca="false">IF(C72="","",(C72-C71)/(B72-B71))</f>
        <v>#DIV/0!</v>
      </c>
      <c r="E72" s="71" t="e">
        <f aca="false">IF(C72="","",IF(C73="",0,(C73-C72)/(B73-B72)))</f>
        <v>#DIV/0!</v>
      </c>
    </row>
    <row r="73" customFormat="false" ht="15" hidden="false" customHeight="false" outlineLevel="0" collapsed="false">
      <c r="A73" s="105" t="e">
        <f aca="false">IF(B73="","Unused","key =")</f>
        <v>#DIV/0!</v>
      </c>
      <c r="B73" s="69" t="e">
        <f aca="false">IF(Other!Q159="|",ROUND(Other!N159,0),IF(Other!Q159="V",ROUND(Other!N159,-3),""))</f>
        <v>#DIV/0!</v>
      </c>
      <c r="C73" s="70" t="e">
        <f aca="false">IF(B73="","",ROUND(Other!P159,3))</f>
        <v>#DIV/0!</v>
      </c>
      <c r="D73" s="71" t="e">
        <f aca="false">IF(C73="","",(C73-C72)/(B73-B72))</f>
        <v>#DIV/0!</v>
      </c>
      <c r="E73" s="71" t="e">
        <f aca="false">IF(C73="","",IF(C74="",0,(C74-C73)/(B74-B73)))</f>
        <v>#DIV/0!</v>
      </c>
    </row>
    <row r="74" customFormat="false" ht="15" hidden="false" customHeight="false" outlineLevel="0" collapsed="false">
      <c r="A74" s="105" t="e">
        <f aca="false">IF(B74="","Unused","key =")</f>
        <v>#DIV/0!</v>
      </c>
      <c r="B74" s="69" t="e">
        <f aca="false">IF(Other!Q160="|",ROUND(Other!N160,0),IF(Other!Q160="V",ROUND(Other!N160,-3),""))</f>
        <v>#DIV/0!</v>
      </c>
      <c r="C74" s="70" t="e">
        <f aca="false">IF(B74="","",ROUND(Other!P160,3))</f>
        <v>#DIV/0!</v>
      </c>
      <c r="D74" s="71" t="e">
        <f aca="false">IF(C74="","",(C74-C73)/(B74-B73))</f>
        <v>#DIV/0!</v>
      </c>
      <c r="E74" s="71" t="e">
        <f aca="false">IF(C74="","",IF(C75="",0,(C75-C74)/(B75-B74)))</f>
        <v>#DIV/0!</v>
      </c>
    </row>
    <row r="75" customFormat="false" ht="15" hidden="false" customHeight="false" outlineLevel="0" collapsed="false">
      <c r="A75" s="105" t="e">
        <f aca="false">IF(B75="","Unused","key =")</f>
        <v>#DIV/0!</v>
      </c>
      <c r="B75" s="69" t="e">
        <f aca="false">IF(Other!Q161="|",ROUND(Other!N161,0),IF(Other!Q161="V",ROUND(Other!N161,-3),""))</f>
        <v>#DIV/0!</v>
      </c>
      <c r="C75" s="70" t="e">
        <f aca="false">IF(B75="","",ROUND(Other!P161,3))</f>
        <v>#DIV/0!</v>
      </c>
      <c r="D75" s="71" t="e">
        <f aca="false">IF(C75="","",(C75-C74)/(B75-B74))</f>
        <v>#DIV/0!</v>
      </c>
      <c r="E75" s="71" t="e">
        <f aca="false">IF(C75="","",IF(C76="",0,(C76-C75)/(B76-B75)))</f>
        <v>#DIV/0!</v>
      </c>
    </row>
    <row r="76" customFormat="false" ht="15" hidden="false" customHeight="false" outlineLevel="0" collapsed="false">
      <c r="A76" s="105" t="e">
        <f aca="false">IF(B76="","Unused","key =")</f>
        <v>#DIV/0!</v>
      </c>
      <c r="B76" s="69" t="e">
        <f aca="false">IF(Other!Q162="|",ROUND(Other!N162,0),IF(Other!Q162="V",ROUND(Other!N162,-3),""))</f>
        <v>#DIV/0!</v>
      </c>
      <c r="C76" s="70" t="e">
        <f aca="false">IF(B76="","",ROUND(Other!P162,3))</f>
        <v>#DIV/0!</v>
      </c>
      <c r="D76" s="71" t="e">
        <f aca="false">IF(C76="","",(C76-C75)/(B76-B75))</f>
        <v>#DIV/0!</v>
      </c>
      <c r="E76" s="71" t="e">
        <f aca="false">IF(C76="","",IF(C77="",0,(C77-C76)/(B77-B76)))</f>
        <v>#DIV/0!</v>
      </c>
    </row>
    <row r="77" customFormat="false" ht="15" hidden="false" customHeight="false" outlineLevel="0" collapsed="false">
      <c r="A77" s="105" t="e">
        <f aca="false">IF(B77="","Unused","key =")</f>
        <v>#DIV/0!</v>
      </c>
      <c r="B77" s="69" t="e">
        <f aca="false">IF(Other!Q163="|",ROUND(Other!N163,0),IF(Other!Q163="V",ROUND(Other!N163,-3),""))</f>
        <v>#DIV/0!</v>
      </c>
      <c r="C77" s="70" t="e">
        <f aca="false">IF(B77="","",ROUND(Other!P163,3))</f>
        <v>#DIV/0!</v>
      </c>
      <c r="D77" s="71" t="e">
        <f aca="false">IF(C77="","",(C77-C76)/(B77-B76))</f>
        <v>#DIV/0!</v>
      </c>
      <c r="E77" s="71" t="e">
        <f aca="false">IF(C77="","",IF(C78="",0,(C78-C77)/(B78-B77)))</f>
        <v>#DIV/0!</v>
      </c>
    </row>
    <row r="78" customFormat="false" ht="15" hidden="false" customHeight="false" outlineLevel="0" collapsed="false">
      <c r="A78" s="105" t="e">
        <f aca="false">IF(B78="","Unused","key =")</f>
        <v>#DIV/0!</v>
      </c>
      <c r="B78" s="69" t="e">
        <f aca="false">IF(Other!Q164="|",ROUND(Other!N164,0),IF(Other!Q164="V",ROUND(Other!N164,-3),""))</f>
        <v>#DIV/0!</v>
      </c>
      <c r="C78" s="70" t="e">
        <f aca="false">IF(B78="","",ROUND(Other!P164,3))</f>
        <v>#DIV/0!</v>
      </c>
      <c r="D78" s="71" t="e">
        <f aca="false">IF(C78="","",(C78-C77)/(B78-B77))</f>
        <v>#DIV/0!</v>
      </c>
      <c r="E78" s="71" t="e">
        <f aca="false">IF(C78="","",IF(C79="",0,(C79-C78)/(B79-B78)))</f>
        <v>#DIV/0!</v>
      </c>
    </row>
    <row r="79" customFormat="false" ht="15" hidden="false" customHeight="false" outlineLevel="0" collapsed="false">
      <c r="A79" s="105" t="e">
        <f aca="false">IF(B79="","Unused","key =")</f>
        <v>#DIV/0!</v>
      </c>
      <c r="B79" s="69" t="e">
        <f aca="false">IF(Other!Q165="|",ROUND(Other!N165,0),IF(Other!Q165="V",ROUND(Other!N165,-3),""))</f>
        <v>#DIV/0!</v>
      </c>
      <c r="C79" s="70" t="e">
        <f aca="false">IF(B79="","",ROUND(Other!P165,3))</f>
        <v>#DIV/0!</v>
      </c>
      <c r="D79" s="71" t="e">
        <f aca="false">IF(C79="","",(C79-C78)/(B79-B78))</f>
        <v>#DIV/0!</v>
      </c>
      <c r="E79" s="71" t="e">
        <f aca="false">IF(C79="","",IF(C80="",0,(C80-C79)/(B80-B79)))</f>
        <v>#DIV/0!</v>
      </c>
    </row>
    <row r="80" customFormat="false" ht="15" hidden="false" customHeight="false" outlineLevel="0" collapsed="false">
      <c r="A80" s="105" t="e">
        <f aca="false">IF(B80="","Unused","key =")</f>
        <v>#DIV/0!</v>
      </c>
      <c r="B80" s="69" t="e">
        <f aca="false">IF(Other!Q166="|",ROUND(Other!N166,0),IF(Other!Q166="V",ROUND(Other!N166,-3),""))</f>
        <v>#DIV/0!</v>
      </c>
      <c r="C80" s="70" t="e">
        <f aca="false">IF(B80="","",ROUND(Other!P166,3))</f>
        <v>#DIV/0!</v>
      </c>
      <c r="D80" s="71" t="e">
        <f aca="false">IF(C80="","",(C80-C79)/(B80-B79))</f>
        <v>#DIV/0!</v>
      </c>
      <c r="E80" s="71" t="e">
        <f aca="false">IF(C80="","",IF(C81="",0,(C81-C80)/(B81-B80)))</f>
        <v>#DIV/0!</v>
      </c>
    </row>
    <row r="81" customFormat="false" ht="15" hidden="false" customHeight="false" outlineLevel="0" collapsed="false">
      <c r="A81" s="105" t="e">
        <f aca="false">IF(B81="","Unused","key =")</f>
        <v>#DIV/0!</v>
      </c>
      <c r="B81" s="69" t="e">
        <f aca="false">IF(Other!Q167="|",ROUND(Other!N167,0),IF(Other!Q167="V",ROUND(Other!N167,-3),""))</f>
        <v>#DIV/0!</v>
      </c>
      <c r="C81" s="70" t="e">
        <f aca="false">IF(B81="","",ROUND(Other!P167,3))</f>
        <v>#DIV/0!</v>
      </c>
      <c r="D81" s="71" t="e">
        <f aca="false">IF(C81="","",(C81-C80)/(B81-B80))</f>
        <v>#DIV/0!</v>
      </c>
      <c r="E81" s="71" t="e">
        <f aca="false">IF(C81="","",IF(C82="",0,(C82-C81)/(B82-B81)))</f>
        <v>#DIV/0!</v>
      </c>
    </row>
    <row r="82" customFormat="false" ht="15" hidden="false" customHeight="false" outlineLevel="0" collapsed="false">
      <c r="A82" s="105" t="e">
        <f aca="false">IF(B82="","Unused","key =")</f>
        <v>#DIV/0!</v>
      </c>
      <c r="B82" s="69" t="e">
        <f aca="false">IF(Other!Q168="|",ROUND(Other!N168,0),IF(Other!Q168="V",ROUND(Other!N168,-3),""))</f>
        <v>#DIV/0!</v>
      </c>
      <c r="C82" s="70" t="e">
        <f aca="false">IF(B82="","",ROUND(Other!P168,3))</f>
        <v>#DIV/0!</v>
      </c>
      <c r="D82" s="71" t="e">
        <f aca="false">IF(C82="","",(C82-C81)/(B82-B81))</f>
        <v>#DIV/0!</v>
      </c>
      <c r="E82" s="71" t="e">
        <f aca="false">IF(C82="","",IF(C83="",0,(C83-C82)/(B83-B82)))</f>
        <v>#DIV/0!</v>
      </c>
    </row>
    <row r="83" customFormat="false" ht="15" hidden="false" customHeight="false" outlineLevel="0" collapsed="false">
      <c r="A83" s="105" t="e">
        <f aca="false">IF(B83="","Unused","key =")</f>
        <v>#DIV/0!</v>
      </c>
      <c r="B83" s="69" t="e">
        <f aca="false">IF(Other!Q169="|",ROUND(Other!N169,0),IF(Other!Q169="V",ROUND(Other!N169,-3),""))</f>
        <v>#DIV/0!</v>
      </c>
      <c r="C83" s="70" t="e">
        <f aca="false">IF(B83="","",ROUND(Other!P169,3))</f>
        <v>#DIV/0!</v>
      </c>
      <c r="D83" s="71" t="e">
        <f aca="false">IF(C83="","",(C83-C82)/(B83-B82))</f>
        <v>#DIV/0!</v>
      </c>
      <c r="E83" s="71" t="e">
        <f aca="false">IF(C83="","",IF(C84="",0,(C84-C83)/(B84-B83)))</f>
        <v>#DIV/0!</v>
      </c>
    </row>
    <row r="84" customFormat="false" ht="15" hidden="false" customHeight="false" outlineLevel="0" collapsed="false">
      <c r="A84" s="105" t="e">
        <f aca="false">IF(B84="","Unused","key =")</f>
        <v>#DIV/0!</v>
      </c>
      <c r="B84" s="69" t="e">
        <f aca="false">IF(Other!Q170="|",ROUND(Other!N170,0),IF(Other!Q170="V",ROUND(Other!N170,-3),""))</f>
        <v>#DIV/0!</v>
      </c>
      <c r="C84" s="70" t="e">
        <f aca="false">IF(B84="","",ROUND(Other!P170,3))</f>
        <v>#DIV/0!</v>
      </c>
      <c r="D84" s="71" t="e">
        <f aca="false">IF(C84="","",(C84-C83)/(B84-B83))</f>
        <v>#DIV/0!</v>
      </c>
      <c r="E84" s="71" t="e">
        <f aca="false">IF(C84="","",IF(C85="",0,(C85-C84)/(B85-B84)))</f>
        <v>#DIV/0!</v>
      </c>
    </row>
    <row r="85" customFormat="false" ht="15" hidden="false" customHeight="false" outlineLevel="0" collapsed="false">
      <c r="A85" s="105" t="e">
        <f aca="false">IF(B85="","Unused","key =")</f>
        <v>#DIV/0!</v>
      </c>
      <c r="B85" s="69" t="e">
        <f aca="false">IF(Other!Q171="|",ROUND(Other!N171,0),IF(Other!Q171="V",ROUND(Other!N171,-3),""))</f>
        <v>#DIV/0!</v>
      </c>
      <c r="C85" s="70" t="e">
        <f aca="false">IF(B85="","",ROUND(Other!P171,3))</f>
        <v>#DIV/0!</v>
      </c>
      <c r="D85" s="71" t="e">
        <f aca="false">IF(C85="","",(C85-C84)/(B85-B84))</f>
        <v>#DIV/0!</v>
      </c>
      <c r="E85" s="71" t="e">
        <f aca="false">IF(C85="","",IF(C86="",0,(C86-C85)/(B86-B85)))</f>
        <v>#DIV/0!</v>
      </c>
    </row>
    <row r="86" customFormat="false" ht="15" hidden="false" customHeight="false" outlineLevel="0" collapsed="false">
      <c r="A86" s="105" t="e">
        <f aca="false">IF(B86="","Unused","key =")</f>
        <v>#DIV/0!</v>
      </c>
      <c r="B86" s="69" t="e">
        <f aca="false">IF(Other!Q172="|",ROUND(Other!N172,0),IF(Other!Q172="V",ROUND(Other!N172,-3),""))</f>
        <v>#DIV/0!</v>
      </c>
      <c r="C86" s="70" t="e">
        <f aca="false">IF(B86="","",ROUND(Other!P172,3))</f>
        <v>#DIV/0!</v>
      </c>
      <c r="D86" s="71" t="e">
        <f aca="false">IF(C86="","",(C86-C85)/(B86-B85))</f>
        <v>#DIV/0!</v>
      </c>
      <c r="E86" s="71" t="e">
        <f aca="false">IF(C86="","",IF(C87="",0,(C87-C86)/(B87-B86)))</f>
        <v>#DIV/0!</v>
      </c>
    </row>
    <row r="87" customFormat="false" ht="15" hidden="false" customHeight="false" outlineLevel="0" collapsed="false">
      <c r="A87" s="105" t="e">
        <f aca="false">IF(B87="","Unused","key =")</f>
        <v>#DIV/0!</v>
      </c>
      <c r="B87" s="69" t="e">
        <f aca="false">IF(Other!Q173="|",ROUND(Other!N173,0),IF(Other!Q173="V",ROUND(Other!N173,-3),""))</f>
        <v>#DIV/0!</v>
      </c>
      <c r="C87" s="70" t="e">
        <f aca="false">IF(B87="","",ROUND(Other!P173,3))</f>
        <v>#DIV/0!</v>
      </c>
      <c r="D87" s="71" t="e">
        <f aca="false">IF(C87="","",(C87-C86)/(B87-B86))</f>
        <v>#DIV/0!</v>
      </c>
      <c r="E87" s="71" t="e">
        <f aca="false">IF(C87="","",IF(C88="",0,(C88-C87)/(B88-B87)))</f>
        <v>#DIV/0!</v>
      </c>
    </row>
    <row r="88" customFormat="false" ht="15" hidden="false" customHeight="false" outlineLevel="0" collapsed="false">
      <c r="A88" s="105" t="e">
        <f aca="false">IF(B88="","Unused","key =")</f>
        <v>#DIV/0!</v>
      </c>
      <c r="B88" s="69" t="e">
        <f aca="false">IF(Other!Q174="|",ROUND(Other!N174,0),IF(Other!Q174="V",ROUND(Other!N174,-3),""))</f>
        <v>#DIV/0!</v>
      </c>
      <c r="C88" s="70" t="e">
        <f aca="false">IF(B88="","",ROUND(Other!P174,3))</f>
        <v>#DIV/0!</v>
      </c>
      <c r="D88" s="71" t="e">
        <f aca="false">IF(C88="","",(C88-C87)/(B88-B87))</f>
        <v>#DIV/0!</v>
      </c>
      <c r="E88" s="71" t="e">
        <f aca="false">IF(C88="","",IF(C89="",0,(C89-C88)/(B89-B88)))</f>
        <v>#DIV/0!</v>
      </c>
    </row>
    <row r="89" customFormat="false" ht="15" hidden="false" customHeight="false" outlineLevel="0" collapsed="false">
      <c r="A89" s="105" t="e">
        <f aca="false">IF(B89="","Unused","key =")</f>
        <v>#DIV/0!</v>
      </c>
      <c r="B89" s="105" t="e">
        <f aca="false">IF(Other!Q175="|",ROUND(Other!N175,0),IF(Other!Q175="V",ROUND(Other!N175,-3),""))</f>
        <v>#DIV/0!</v>
      </c>
      <c r="C89" s="70" t="e">
        <f aca="false">IF(B89="","",ROUND(Other!P175,3))</f>
        <v>#DIV/0!</v>
      </c>
      <c r="D89" s="71" t="e">
        <f aca="false">IF(C89="","",(C89-C88)/(B89-B88))</f>
        <v>#DIV/0!</v>
      </c>
      <c r="E89" s="71" t="e">
        <f aca="false">IF(C89="","",IF(C90="",0,(C90-C89)/(B90-B89)))</f>
        <v>#DIV/0!</v>
      </c>
    </row>
    <row r="90" customFormat="false" ht="15" hidden="false" customHeight="false" outlineLevel="0" collapsed="false">
      <c r="A90" s="105" t="e">
        <f aca="false">IF(B90="","Unused","key =")</f>
        <v>#DIV/0!</v>
      </c>
      <c r="B90" s="105" t="e">
        <f aca="false">IF(Other!Q176="|",ROUND(Other!N176,0),IF(Other!Q176="V",ROUND(Other!N176,-3),""))</f>
        <v>#DIV/0!</v>
      </c>
      <c r="C90" s="70" t="e">
        <f aca="false">IF(B90="","",ROUND(Other!P176,3))</f>
        <v>#DIV/0!</v>
      </c>
      <c r="D90" s="71" t="e">
        <f aca="false">IF(C90="","",(C90-C89)/(B90-B89))</f>
        <v>#DIV/0!</v>
      </c>
      <c r="E90" s="71" t="e">
        <f aca="false">IF(C90="","",IF(C91="",0,(C91-C90)/(B91-B90)))</f>
        <v>#DIV/0!</v>
      </c>
    </row>
    <row r="91" customFormat="false" ht="15" hidden="false" customHeight="false" outlineLevel="0" collapsed="false">
      <c r="A91" s="105" t="e">
        <f aca="false">IF(B91="","Unused","key =")</f>
        <v>#DIV/0!</v>
      </c>
      <c r="B91" s="105" t="e">
        <f aca="false">IF(Other!Q177="|",ROUND(Other!N177,0),IF(Other!Q177="V",ROUND(Other!N177,-3),""))</f>
        <v>#DIV/0!</v>
      </c>
      <c r="C91" s="70" t="e">
        <f aca="false">IF(B91="","",ROUND(Other!P177,3))</f>
        <v>#DIV/0!</v>
      </c>
      <c r="D91" s="71" t="e">
        <f aca="false">IF(C91="","",(C91-C90)/(B91-B90))</f>
        <v>#DIV/0!</v>
      </c>
      <c r="E91" s="71" t="e">
        <f aca="false">IF(C91="","",IF(C92="",0,(C92-C91)/(B92-B91)))</f>
        <v>#DIV/0!</v>
      </c>
    </row>
    <row r="92" customFormat="false" ht="15" hidden="false" customHeight="false" outlineLevel="0" collapsed="false">
      <c r="A92" s="105" t="e">
        <f aca="false">IF(B92="","Unused","key =")</f>
        <v>#DIV/0!</v>
      </c>
      <c r="B92" s="105" t="e">
        <f aca="false">IF(Other!Q178="|",ROUND(Other!N178,0),IF(Other!Q178="V",ROUND(Other!N178,-3),""))</f>
        <v>#DIV/0!</v>
      </c>
      <c r="C92" s="70" t="e">
        <f aca="false">IF(B92="","",ROUND(Other!P178,3))</f>
        <v>#DIV/0!</v>
      </c>
      <c r="D92" s="71" t="e">
        <f aca="false">IF(C92="","",(C92-C91)/(B92-B91))</f>
        <v>#DIV/0!</v>
      </c>
      <c r="E92" s="71" t="e">
        <f aca="false">IF(C92="","",IF(C93="",0,(C93-C92)/(B93-B92)))</f>
        <v>#DIV/0!</v>
      </c>
    </row>
    <row r="93" customFormat="false" ht="15" hidden="false" customHeight="false" outlineLevel="0" collapsed="false">
      <c r="A93" s="105" t="e">
        <f aca="false">IF(B93="","Unused","key =")</f>
        <v>#DIV/0!</v>
      </c>
      <c r="B93" s="105" t="e">
        <f aca="false">IF(Other!Q179="|",ROUND(Other!N179,0),IF(Other!Q179="V",ROUND(Other!N179,-3),""))</f>
        <v>#DIV/0!</v>
      </c>
      <c r="C93" s="70" t="e">
        <f aca="false">IF(B93="","",ROUND(Other!P179,3))</f>
        <v>#DIV/0!</v>
      </c>
      <c r="D93" s="71" t="e">
        <f aca="false">IF(C93="","",(C93-C92)/(B93-B92))</f>
        <v>#DIV/0!</v>
      </c>
      <c r="E93" s="71" t="e">
        <f aca="false">IF(C93="","",IF(C94="",0,(C94-C93)/(B94-B93)))</f>
        <v>#DIV/0!</v>
      </c>
    </row>
    <row r="94" customFormat="false" ht="15" hidden="false" customHeight="false" outlineLevel="0" collapsed="false">
      <c r="A94" s="105" t="e">
        <f aca="false">IF(B94="","Unused","key =")</f>
        <v>#DIV/0!</v>
      </c>
      <c r="B94" s="105" t="e">
        <f aca="false">IF(Other!Q180="|",ROUND(Other!N180,0),IF(Other!Q180="V",ROUND(Other!N180,-3),""))</f>
        <v>#DIV/0!</v>
      </c>
      <c r="C94" s="70" t="e">
        <f aca="false">IF(B94="","",ROUND(Other!P180,3))</f>
        <v>#DIV/0!</v>
      </c>
      <c r="D94" s="71" t="e">
        <f aca="false">IF(C94="","",(C94-C93)/(B94-B93))</f>
        <v>#DIV/0!</v>
      </c>
      <c r="E94" s="71" t="e">
        <f aca="false">IF(C94="","",IF(C95="",0,(C95-C94)/(B95-B94)))</f>
        <v>#DIV/0!</v>
      </c>
    </row>
    <row r="95" customFormat="false" ht="15" hidden="false" customHeight="false" outlineLevel="0" collapsed="false">
      <c r="A95" s="105" t="e">
        <f aca="false">IF(B95="","Unused","key =")</f>
        <v>#DIV/0!</v>
      </c>
      <c r="B95" s="105" t="e">
        <f aca="false">IF(Other!Q181="|",ROUND(Other!N181,0),IF(Other!Q181="V",ROUND(Other!N181,-3),""))</f>
        <v>#DIV/0!</v>
      </c>
      <c r="C95" s="70" t="e">
        <f aca="false">IF(B95="","",ROUND(Other!P181,3))</f>
        <v>#DIV/0!</v>
      </c>
      <c r="D95" s="71" t="e">
        <f aca="false">IF(C95="","",(C95-C94)/(B95-B94))</f>
        <v>#DIV/0!</v>
      </c>
      <c r="E95" s="71" t="e">
        <f aca="false">IF(C95="","",IF(C96="",0,(C96-C95)/(B96-B95)))</f>
        <v>#DIV/0!</v>
      </c>
    </row>
    <row r="96" customFormat="false" ht="15" hidden="false" customHeight="false" outlineLevel="0" collapsed="false">
      <c r="A96" s="105" t="e">
        <f aca="false">IF(B96="","Unused","key =")</f>
        <v>#DIV/0!</v>
      </c>
      <c r="B96" s="105" t="e">
        <f aca="false">IF(Other!Q182="|",ROUND(Other!N182,0),IF(Other!Q182="V",ROUND(Other!N182,-3),""))</f>
        <v>#DIV/0!</v>
      </c>
      <c r="C96" s="70" t="e">
        <f aca="false">IF(B96="","",ROUND(Other!P182,3))</f>
        <v>#DIV/0!</v>
      </c>
      <c r="D96" s="71" t="e">
        <f aca="false">IF(C96="","",(C96-C95)/(B96-B95))</f>
        <v>#DIV/0!</v>
      </c>
      <c r="E96" s="71" t="e">
        <f aca="false">IF(C96="","",IF(C97="",0,(C97-C96)/(B97-B96)))</f>
        <v>#DIV/0!</v>
      </c>
    </row>
    <row r="97" customFormat="false" ht="15" hidden="false" customHeight="false" outlineLevel="0" collapsed="false">
      <c r="A97" s="105" t="e">
        <f aca="false">IF(B97="","Unused","key =")</f>
        <v>#DIV/0!</v>
      </c>
      <c r="B97" s="105" t="e">
        <f aca="false">IF(Other!Q183="|",ROUND(Other!N183,0),IF(Other!Q183="V",ROUND(Other!N183,-3),""))</f>
        <v>#DIV/0!</v>
      </c>
      <c r="C97" s="70" t="e">
        <f aca="false">IF(B97="","",ROUND(Other!P183,3))</f>
        <v>#DIV/0!</v>
      </c>
      <c r="D97" s="71" t="e">
        <f aca="false">IF(C97="","",(C97-C96)/(B97-B96))</f>
        <v>#DIV/0!</v>
      </c>
      <c r="E97" s="71" t="e">
        <f aca="false">IF(C97="","",IF(C98="",0,(C98-C97)/(B98-B97)))</f>
        <v>#DIV/0!</v>
      </c>
    </row>
    <row r="98" customFormat="false" ht="15" hidden="false" customHeight="false" outlineLevel="0" collapsed="false">
      <c r="A98" s="105" t="e">
        <f aca="false">IF(B98="","Unused","key =")</f>
        <v>#DIV/0!</v>
      </c>
      <c r="B98" s="105" t="e">
        <f aca="false">IF(Other!Q184="|",ROUND(Other!N184,0),IF(Other!Q184="V",ROUND(Other!N184,-3),""))</f>
        <v>#DIV/0!</v>
      </c>
      <c r="C98" s="70" t="e">
        <f aca="false">IF(B98="","",ROUND(Other!P184,3))</f>
        <v>#DIV/0!</v>
      </c>
      <c r="D98" s="71" t="e">
        <f aca="false">IF(C98="","",(C98-C97)/(B98-B97))</f>
        <v>#DIV/0!</v>
      </c>
      <c r="E98" s="71" t="e">
        <f aca="false">IF(C98="","",IF(C99="",0,(C99-C98)/(B99-B98)))</f>
        <v>#DIV/0!</v>
      </c>
    </row>
    <row r="99" customFormat="false" ht="15" hidden="false" customHeight="false" outlineLevel="0" collapsed="false">
      <c r="A99" s="105" t="e">
        <f aca="false">IF(B99="","Unused","key =")</f>
        <v>#DIV/0!</v>
      </c>
      <c r="B99" s="105" t="e">
        <f aca="false">IF(Other!Q185="|",ROUND(Other!N185,0),IF(Other!Q185="V",ROUND(Other!N185,-3),""))</f>
        <v>#DIV/0!</v>
      </c>
      <c r="C99" s="70" t="e">
        <f aca="false">IF(B99="","",ROUND(Other!P185,3))</f>
        <v>#DIV/0!</v>
      </c>
      <c r="D99" s="71" t="e">
        <f aca="false">IF(C99="","",(C99-C98)/(B99-B98))</f>
        <v>#DIV/0!</v>
      </c>
      <c r="E99" s="71" t="e">
        <f aca="false">IF(C99="","",IF(C107="",0,(C107-C99)/(B107-B99)))</f>
        <v>#DIV/0!</v>
      </c>
    </row>
    <row r="100" customFormat="false" ht="15" hidden="false" customHeight="false" outlineLevel="0" collapsed="false">
      <c r="A100" s="105" t="e">
        <f aca="false">IF(B100="","Unused","key =")</f>
        <v>#DIV/0!</v>
      </c>
      <c r="B100" s="105" t="e">
        <f aca="false">IF(Other!Q186="|",ROUND(Other!N186,0),IF(Other!Q186="V",ROUND(Other!N186,-3),""))</f>
        <v>#DIV/0!</v>
      </c>
      <c r="C100" s="70" t="e">
        <f aca="false">IF(B100="","",ROUND(Other!P186,3))</f>
        <v>#DIV/0!</v>
      </c>
      <c r="D100" s="71" t="e">
        <f aca="false">IF(C100="","",(C100-C99)/(B100-B99))</f>
        <v>#DIV/0!</v>
      </c>
      <c r="E100" s="71" t="e">
        <f aca="false">IF(C100="","",IF(C108="",0,(C108-C100)/(B108-B100)))</f>
        <v>#DIV/0!</v>
      </c>
    </row>
    <row r="101" customFormat="false" ht="15" hidden="false" customHeight="false" outlineLevel="0" collapsed="false">
      <c r="A101" s="105" t="e">
        <f aca="false">IF(B101="","Unused","key =")</f>
        <v>#DIV/0!</v>
      </c>
      <c r="B101" s="105" t="e">
        <f aca="false">IF(Other!Q187="|",ROUND(Other!N187,0),IF(Other!Q187="V",ROUND(Other!N187,-3),""))</f>
        <v>#DIV/0!</v>
      </c>
      <c r="C101" s="70" t="e">
        <f aca="false">IF(B101="","",ROUND(Other!P187,3))</f>
        <v>#DIV/0!</v>
      </c>
      <c r="D101" s="71" t="e">
        <f aca="false">IF(C101="","",(C101-C100)/(B101-B100))</f>
        <v>#DIV/0!</v>
      </c>
      <c r="E101" s="71" t="e">
        <f aca="false">IF(C101="","",IF(C109="",0,(C109-C101)/(B109-B101)))</f>
        <v>#DIV/0!</v>
      </c>
    </row>
    <row r="102" customFormat="false" ht="15" hidden="false" customHeight="false" outlineLevel="0" collapsed="false">
      <c r="A102" s="105" t="e">
        <f aca="false">IF(B102="","Unused","key =")</f>
        <v>#DIV/0!</v>
      </c>
      <c r="B102" s="105" t="e">
        <f aca="false">IF(Other!Q188="|",ROUND(Other!N188,0),IF(Other!Q188="V",ROUND(Other!N188,-3),""))</f>
        <v>#DIV/0!</v>
      </c>
      <c r="C102" s="70" t="e">
        <f aca="false">IF(B102="","",ROUND(Other!P188,3))</f>
        <v>#DIV/0!</v>
      </c>
      <c r="D102" s="71" t="e">
        <f aca="false">IF(C102="","",(C102-C101)/(B102-B101))</f>
        <v>#DIV/0!</v>
      </c>
      <c r="E102" s="71" t="e">
        <f aca="false">IF(C102="","",IF(C110="",0,(C110-C102)/(B110-B102)))</f>
        <v>#DIV/0!</v>
      </c>
    </row>
    <row r="103" customFormat="false" ht="15" hidden="false" customHeight="false" outlineLevel="0" collapsed="false">
      <c r="A103" s="105" t="e">
        <f aca="false">IF(B103="","Unused","key =")</f>
        <v>#DIV/0!</v>
      </c>
      <c r="B103" s="105" t="e">
        <f aca="false">IF(Other!Q189="|",ROUND(Other!N189,0),IF(Other!Q189="V",ROUND(Other!N189,-3),""))</f>
        <v>#DIV/0!</v>
      </c>
      <c r="C103" s="70" t="e">
        <f aca="false">IF(B103="","",ROUND(Other!P189,3))</f>
        <v>#DIV/0!</v>
      </c>
      <c r="D103" s="71" t="e">
        <f aca="false">IF(C103="","",(C103-C102)/(B103-B102))</f>
        <v>#DIV/0!</v>
      </c>
      <c r="E103" s="71" t="e">
        <f aca="false">IF(C103="","",IF(C111="",0,(C111-C103)/(B111-B103)))</f>
        <v>#DIV/0!</v>
      </c>
    </row>
    <row r="104" customFormat="false" ht="15" hidden="false" customHeight="false" outlineLevel="0" collapsed="false">
      <c r="A104" s="105" t="e">
        <f aca="false">IF(B104="","Unused","key =")</f>
        <v>#DIV/0!</v>
      </c>
      <c r="B104" s="105" t="e">
        <f aca="false">IF(Other!Q190="|",ROUND(Other!N190,0),IF(Other!Q190="V",ROUND(Other!N190,-3),""))</f>
        <v>#DIV/0!</v>
      </c>
      <c r="C104" s="70" t="e">
        <f aca="false">IF(B104="","",ROUND(Other!P190,3))</f>
        <v>#DIV/0!</v>
      </c>
      <c r="D104" s="71" t="e">
        <f aca="false">IF(C104="","",(C104-C103)/(B104-B103))</f>
        <v>#DIV/0!</v>
      </c>
      <c r="E104" s="71" t="e">
        <f aca="false">IF(C104="","",IF(C112="",0,(C112-C104)/(B112-B104)))</f>
        <v>#DIV/0!</v>
      </c>
    </row>
    <row r="105" customFormat="false" ht="15" hidden="false" customHeight="false" outlineLevel="0" collapsed="false">
      <c r="A105" s="105" t="e">
        <f aca="false">IF(B105="","Unused","key =")</f>
        <v>#DIV/0!</v>
      </c>
      <c r="B105" s="105" t="e">
        <f aca="false">IF(Other!Q191="|",ROUND(Other!N191,0),IF(Other!Q191="V",ROUND(Other!N191,-3),""))</f>
        <v>#DIV/0!</v>
      </c>
      <c r="C105" s="70" t="e">
        <f aca="false">IF(B105="","",ROUND(Other!P191,3))</f>
        <v>#DIV/0!</v>
      </c>
      <c r="D105" s="71" t="e">
        <f aca="false">IF(C105="","",(C105-C104)/(B105-B104))</f>
        <v>#DIV/0!</v>
      </c>
      <c r="E105" s="71" t="e">
        <f aca="false">IF(C105="","",IF(C113="",0,(C113-C105)/(B113-B105)))</f>
        <v>#DIV/0!</v>
      </c>
    </row>
    <row r="106" customFormat="false" ht="15" hidden="false" customHeight="false" outlineLevel="0" collapsed="false">
      <c r="A106" s="105" t="e">
        <f aca="false">IF(B106="","Unused","key =")</f>
        <v>#DIV/0!</v>
      </c>
      <c r="B106" s="105" t="e">
        <f aca="false">IF(Other!Q192="|",ROUND(Other!N192,0),IF(Other!Q192="V",ROUND(Other!N192,-3),""))</f>
        <v>#DIV/0!</v>
      </c>
      <c r="C106" s="70" t="e">
        <f aca="false">IF(B106="","",ROUND(Other!P192,3))</f>
        <v>#DIV/0!</v>
      </c>
      <c r="D106" s="71" t="e">
        <f aca="false">IF(C106="","",(C106-C105)/(B106-B105))</f>
        <v>#DIV/0!</v>
      </c>
      <c r="E106" s="71" t="e">
        <f aca="false">IF(C106="","",IF(C114="",0,(C114-C106)/(B114-B106)))</f>
        <v>#DIV/0!</v>
      </c>
    </row>
    <row r="107" customFormat="false" ht="15" hidden="false" customHeight="false" outlineLevel="0" collapsed="false">
      <c r="A107" s="66" t="s">
        <v>212</v>
      </c>
      <c r="B107" s="69"/>
      <c r="C107" s="69"/>
      <c r="D107" s="69"/>
      <c r="E107" s="69"/>
    </row>
    <row r="108" customFormat="false" ht="15" hidden="false" customHeight="false" outlineLevel="0" collapsed="false">
      <c r="A108" s="66" t="s">
        <v>227</v>
      </c>
      <c r="B108" s="69"/>
      <c r="C108" s="69"/>
      <c r="D108" s="69"/>
      <c r="E108" s="69"/>
    </row>
    <row r="109" customFormat="false" ht="15" hidden="false" customHeight="false" outlineLevel="0" collapsed="false">
      <c r="A109" s="66" t="s">
        <v>209</v>
      </c>
      <c r="B109" s="69"/>
      <c r="C109" s="69"/>
      <c r="D109" s="69"/>
      <c r="E109" s="69"/>
    </row>
    <row r="110" customFormat="false" ht="15" hidden="false" customHeight="false" outlineLevel="0" collapsed="false">
      <c r="A110" s="69" t="s">
        <v>224</v>
      </c>
      <c r="B110" s="69" t="n">
        <v>0</v>
      </c>
      <c r="C110" s="69" t="n">
        <f aca="false">ROUND(Other!G$116*(COS(RADIANS(B110))-COS(RADIANS(38))),2)</f>
        <v>7.42</v>
      </c>
      <c r="D110" s="69" t="n">
        <v>0</v>
      </c>
      <c r="E110" s="69" t="n">
        <f aca="false">ROUND(-Other!G$116*SIN(RADIANS(B110))*PI()/180,4)</f>
        <v>-0</v>
      </c>
    </row>
    <row r="111" customFormat="false" ht="15" hidden="false" customHeight="false" outlineLevel="0" collapsed="false">
      <c r="A111" s="69" t="s">
        <v>224</v>
      </c>
      <c r="B111" s="69" t="n">
        <v>38</v>
      </c>
      <c r="C111" s="69" t="n">
        <f aca="false">ROUND(Other!G$116*(COS(RADIANS(B111))-COS(RADIANS(38))),2)</f>
        <v>0</v>
      </c>
      <c r="D111" s="69" t="n">
        <f aca="false">ROUND(-Other!G$116*SIN(RADIANS(B111))*PI()/180,4)</f>
        <v>-0.3761</v>
      </c>
      <c r="E111" s="69" t="n">
        <f aca="false">ROUND(-Other!G$116*SIN(RADIANS(B111))*PI()/180,4)</f>
        <v>-0.3761</v>
      </c>
    </row>
    <row r="112" customFormat="false" ht="15" hidden="false" customHeight="false" outlineLevel="0" collapsed="false">
      <c r="A112" s="69" t="s">
        <v>224</v>
      </c>
      <c r="B112" s="69" t="n">
        <v>90</v>
      </c>
      <c r="C112" s="69" t="n">
        <f aca="false">ROUND(Other!G$116*(COS(RADIANS(B112))-COS(RADIANS(38))),2)</f>
        <v>-27.58</v>
      </c>
      <c r="D112" s="69" t="n">
        <f aca="false">ROUND(-Other!G$116*SIN(RADIANS(B112))*PI()/180,4)</f>
        <v>-0.6109</v>
      </c>
      <c r="E112" s="69" t="n">
        <v>0</v>
      </c>
    </row>
    <row r="113" customFormat="false" ht="15" hidden="false" customHeight="false" outlineLevel="0" collapsed="false">
      <c r="A113" s="66" t="s">
        <v>212</v>
      </c>
      <c r="B113" s="69"/>
      <c r="C113" s="69"/>
      <c r="D113" s="69"/>
      <c r="E113" s="69"/>
    </row>
    <row r="114" customFormat="false" ht="15" hidden="false" customHeight="false" outlineLevel="0" collapsed="false">
      <c r="A114" s="66" t="s">
        <v>228</v>
      </c>
      <c r="B114" s="69"/>
      <c r="C114" s="69"/>
      <c r="D114" s="69"/>
      <c r="E114" s="69"/>
    </row>
    <row r="115" customFormat="false" ht="15" hidden="false" customHeight="false" outlineLevel="0" collapsed="false">
      <c r="A115" s="66" t="s">
        <v>209</v>
      </c>
      <c r="B115" s="69"/>
      <c r="C115" s="69"/>
      <c r="D115" s="69"/>
      <c r="E115" s="69"/>
    </row>
    <row r="116" customFormat="false" ht="15" hidden="false" customHeight="false" outlineLevel="0" collapsed="false">
      <c r="A116" s="69" t="s">
        <v>224</v>
      </c>
      <c r="B116" s="69" t="n">
        <v>0</v>
      </c>
      <c r="C116" s="69" t="n">
        <f aca="false">ROUND((Other!G$114-Other!G$115)*COS(RADIANS(B116))+Other!G$115,2)</f>
        <v>39</v>
      </c>
      <c r="D116" s="69" t="n">
        <v>0</v>
      </c>
      <c r="E116" s="69" t="n">
        <f aca="false">ROUND((Other!G$115-Other!G$114)*SIN(RADIANS(B116))*PI()/180,4)</f>
        <v>-0</v>
      </c>
    </row>
    <row r="117" customFormat="false" ht="15" hidden="false" customHeight="false" outlineLevel="0" collapsed="false">
      <c r="A117" s="69" t="s">
        <v>224</v>
      </c>
      <c r="B117" s="69" t="n">
        <v>38</v>
      </c>
      <c r="C117" s="69" t="n">
        <f aca="false">ROUND((Other!G$114-Other!G$115)*COS(RADIANS(B117))+Other!G$115,2)</f>
        <v>33.06</v>
      </c>
      <c r="D117" s="69" t="n">
        <f aca="false">ROUND((Other!G$115-Other!G$114)*SIN(RADIANS(B117))*PI()/180,4)</f>
        <v>-0.3009</v>
      </c>
      <c r="E117" s="69" t="n">
        <f aca="false">ROUND((Other!G$115-Other!G$114)*SIN(RADIANS(B117))*PI()/180,4)</f>
        <v>-0.3009</v>
      </c>
    </row>
    <row r="118" customFormat="false" ht="15" hidden="false" customHeight="false" outlineLevel="0" collapsed="false">
      <c r="A118" s="69" t="s">
        <v>224</v>
      </c>
      <c r="B118" s="69" t="n">
        <v>90</v>
      </c>
      <c r="C118" s="69" t="n">
        <f aca="false">ROUND((Other!G$114-Other!G$115)*COS(RADIANS(B118))+Other!G$115,2)</f>
        <v>11</v>
      </c>
      <c r="D118" s="69" t="n">
        <f aca="false">ROUND((Other!G$115-Other!G$114)*SIN(RADIANS(B118))*PI()/180,4)</f>
        <v>-0.4887</v>
      </c>
      <c r="E118" s="69" t="n">
        <v>0</v>
      </c>
    </row>
    <row r="119" customFormat="false" ht="15" hidden="false" customHeight="false" outlineLevel="0" collapsed="false">
      <c r="A119" s="66" t="s">
        <v>212</v>
      </c>
      <c r="B119" s="69"/>
      <c r="C119" s="69"/>
      <c r="D119" s="69"/>
      <c r="E119" s="69"/>
    </row>
    <row r="120" customFormat="false" ht="15" hidden="false" customHeight="false" outlineLevel="0" collapsed="false">
      <c r="A120" s="66" t="s">
        <v>229</v>
      </c>
      <c r="B120" s="69"/>
      <c r="C120" s="69"/>
      <c r="D120" s="69"/>
      <c r="E120" s="69"/>
    </row>
    <row r="121" customFormat="false" ht="15" hidden="false" customHeight="false" outlineLevel="0" collapsed="false">
      <c r="A121" s="66" t="s">
        <v>209</v>
      </c>
      <c r="B121" s="69"/>
      <c r="C121" s="69"/>
      <c r="D121" s="69"/>
      <c r="E121" s="69"/>
    </row>
    <row r="122" customFormat="false" ht="15" hidden="false" customHeight="false" outlineLevel="0" collapsed="false">
      <c r="A122" s="69" t="s">
        <v>224</v>
      </c>
      <c r="B122" s="69" t="n">
        <v>0</v>
      </c>
      <c r="C122" s="69" t="n">
        <f aca="false">IF(Other!G$19="Planet",ROUND(-Other!G$117*Other!G$119*SIN(RADIANS(B122-36+Other!G28)),2),ROUND(-Other!G$117*Other!G$119*SIN(RADIANS(B122-36+Other!G$33)),2))</f>
        <v>0</v>
      </c>
      <c r="D122" s="69" t="n">
        <v>0</v>
      </c>
      <c r="E122" s="69" t="n">
        <f aca="false">IF(Other!G$19="Planet",IF(Other!G$27&gt;0,D127,0),IF(Other!G$32&gt;0,D127,0))</f>
        <v>0</v>
      </c>
    </row>
    <row r="123" customFormat="false" ht="15" hidden="false" customHeight="false" outlineLevel="0" collapsed="false">
      <c r="A123" s="69" t="str">
        <f aca="false">IF(B123="","Unused","key =")</f>
        <v>Unused</v>
      </c>
      <c r="B123" s="69" t="str">
        <f aca="false">IF(Other!G19="Planet",IF(Other!G$27&gt;0,MIN(IF(36-Other!G$28&lt;0,36-Other!G$28+360,36-Other!G$28),IF(126-Other!G$28&lt;0,126-Other!G$28+360,126-Other!G$28),IF(216-Other!G$28&lt;0,216-Other!G$28+360,216-Other!G$28),IF(306-Other!G$28&lt;0,306-Other!G$28+360,306-Other!G$28)),""),IF(Other!G$32&gt;0,MIN(IF(36-Other!G$33&lt;0,36-Other!G$33+360,36-Other!G$33),IF(126-Other!G$33&lt;0,126-Other!G$33+360,126-Other!G$33),IF(216-Other!G$33&lt;0,216-Other!G$33+360,216-Other!G$33),IF(306-Other!G$33&lt;0,306-Other!G$33+360,306-Other!G$33)),""))</f>
        <v/>
      </c>
      <c r="C123" s="69" t="str">
        <f aca="false">IF(Other!G$19="Planet",IF(Other!G$27&gt;0,ROUND(-Other!G$117*Other!G$119*SIN(RADIANS(B123-36+Other!G$28)),2),""),IF(Other!G$32&gt;0,ROUND(-Other!G$117*Other!G$119*SIN(RADIANS(B123-36+Other!G$33)),2),""))</f>
        <v/>
      </c>
      <c r="D123" s="69" t="str">
        <f aca="false">IF(Other!G$19="Planet",IF(Other!G$27&gt;0,ROUND(Other!G$117*Other!G$119*SIN(RADIANS(270))*COS(RADIANS(B123-36+Other!G$28))*PI()/180,4),""),IF(Other!G$32&gt;0,ROUND(Other!G$117*Other!G$119*SIN(RADIANS(270))*COS(RADIANS(B123-36+Other!G$33))*PI()/180,4),""))</f>
        <v/>
      </c>
      <c r="E123" s="69" t="str">
        <f aca="false">IF(Other!G$19="Planet",IF(Other!G$27&gt;0,D123,""),IF(Other!G$32&gt;0,D123,""))</f>
        <v/>
      </c>
    </row>
    <row r="124" customFormat="false" ht="15" hidden="false" customHeight="false" outlineLevel="0" collapsed="false">
      <c r="A124" s="69" t="str">
        <f aca="false">IF(B124="","Unused","key =")</f>
        <v>Unused</v>
      </c>
      <c r="B124" s="69" t="str">
        <f aca="false">IF(Other!G$19="Planet",IF(Other!G$27&gt;0,B123+90,""),IF(Other!G$32&gt;0,B123+90,""))</f>
        <v/>
      </c>
      <c r="C124" s="69" t="str">
        <f aca="false">IF(Other!G$19="Planet",IF(Other!G$27&gt;0,ROUND(-Other!G$117*Other!G$119*SIN(RADIANS(B124-36+Other!G$28)),2),""),IF(Other!G$32&gt;0,ROUND(-Other!G$117*Other!G$119*SIN(RADIANS(B124-36+Other!G$33)),2),""))</f>
        <v/>
      </c>
      <c r="D124" s="69" t="str">
        <f aca="false">IF(Other!G$19="Planet",IF(Other!G$27&gt;0,ROUND(Other!G$117*Other!G$119*SIN(RADIANS(270))*COS(RADIANS(B124-36+Other!G$28))*PI()/180,4),""),IF(Other!G$32&gt;0,ROUND(Other!G$117*Other!G$119*SIN(RADIANS(270))*COS(RADIANS(B124-36+Other!G$33))*PI()/180,4),""))</f>
        <v/>
      </c>
      <c r="E124" s="69" t="str">
        <f aca="false">IF(Other!G$19="Planet",IF(Other!G$27&gt;0,D124,""),IF(Other!G$32&gt;0,D124,""))</f>
        <v/>
      </c>
    </row>
    <row r="125" customFormat="false" ht="15" hidden="false" customHeight="false" outlineLevel="0" collapsed="false">
      <c r="A125" s="69" t="str">
        <f aca="false">IF(B125="","Unused","key =")</f>
        <v>Unused</v>
      </c>
      <c r="B125" s="69" t="str">
        <f aca="false">IF(Other!G$19="Planet",IF(Other!G$27&gt;0,B124+90,""),IF(Other!G$32&gt;0,B124+90,""))</f>
        <v/>
      </c>
      <c r="C125" s="69" t="str">
        <f aca="false">IF(Other!G$19="Planet",IF(Other!G$27&gt;0,ROUND(-Other!G$117*Other!G$119*SIN(RADIANS(B125-36+Other!G$28)),2),""),IF(Other!G$32&gt;0,ROUND(-Other!G$117*Other!G$119*SIN(RADIANS(B125-36+Other!G$33)),2),""))</f>
        <v/>
      </c>
      <c r="D125" s="69" t="str">
        <f aca="false">IF(Other!G$19="Planet",IF(Other!G$27&gt;0,ROUND(Other!G$117*Other!G$119*SIN(RADIANS(270))*COS(RADIANS(B125-36+Other!G$28))*PI()/180,4),""),IF(Other!G$32&gt;0,ROUND(Other!G$117*Other!G$119*SIN(RADIANS(270))*COS(RADIANS(B125-36+Other!G$33))*PI()/180,4),""))</f>
        <v/>
      </c>
      <c r="E125" s="69" t="str">
        <f aca="false">IF(Other!G$19="Planet",IF(Other!G$27&gt;0,D125,""),IF(Other!G$32&gt;0,D125,""))</f>
        <v/>
      </c>
    </row>
    <row r="126" customFormat="false" ht="15" hidden="false" customHeight="false" outlineLevel="0" collapsed="false">
      <c r="A126" s="69" t="str">
        <f aca="false">IF(B126="","Unused","key =")</f>
        <v>Unused</v>
      </c>
      <c r="B126" s="69" t="str">
        <f aca="false">IF(Other!G$19="Planet",IF(Other!G$27&gt;0,B125+90,""),IF(Other!G$32&gt;0,B125+90,""))</f>
        <v/>
      </c>
      <c r="C126" s="69" t="str">
        <f aca="false">IF(Other!G$19="Planet",IF(Other!G$27&gt;0,ROUND(-Other!G$117*Other!G$119*SIN(RADIANS(B126-36+Other!G$28)),2),""),IF(Other!G$32&gt;0,ROUND(-Other!G$117*Other!G$119*SIN(RADIANS(B126-36+Other!G$33)),2),""))</f>
        <v/>
      </c>
      <c r="D126" s="69" t="str">
        <f aca="false">IF(Other!G$19="Planet",IF(Other!G$27&gt;0,ROUND(Other!G$117*Other!G$119*SIN(RADIANS(270))*COS(RADIANS(B126-36+Other!G$28))*PI()/180,4),""),IF(Other!G$32&gt;0,ROUND(Other!G$117*Other!G$119*SIN(RADIANS(270))*COS(RADIANS(B126-36+Other!G$33))*PI()/180,4),""))</f>
        <v/>
      </c>
      <c r="E126" s="69" t="str">
        <f aca="false">IF(Other!G$19="Planet",IF(Other!G$27&gt;0,D126,""),IF(Other!G$32&gt;0,D126,""))</f>
        <v/>
      </c>
    </row>
    <row r="127" customFormat="false" ht="15" hidden="false" customHeight="false" outlineLevel="0" collapsed="false">
      <c r="A127" s="69" t="str">
        <f aca="false">IF(B127="","Unused","key =")</f>
        <v>Unused</v>
      </c>
      <c r="B127" s="69" t="str">
        <f aca="false">IF(Other!G$19="Planet",IF(Other!G$27&gt;0,360,""),IF(Other!G$32&gt;0,360,""))</f>
        <v/>
      </c>
      <c r="C127" s="69" t="str">
        <f aca="false">IF(Other!G$19="Planet",IF(Other!G$27&gt;0,ROUND(-Other!G$117*Other!G$119*SIN(RADIANS(B127-36+Other!G$28)),2),""),IF(Other!G$32&gt;0,ROUND(-Other!G$117*Other!G$119*SIN(RADIANS(B127-36+Other!G$33)),2),""))</f>
        <v/>
      </c>
      <c r="D127" s="69" t="str">
        <f aca="false">IF(Other!G$19="Planet",IF(Other!G$27&gt;0,ROUND(Other!G$117*Other!G$119*SIN(RADIANS(270))*COS(RADIANS(B127-36+Other!G$28))*PI()/180,4),""),IF(Other!G$32&gt;0,ROUND(Other!G$117*Other!G$119*SIN(RADIANS(270))*COS(RADIANS(B127-36+Other!G$33))*PI()/180,4),""))</f>
        <v/>
      </c>
      <c r="E127" s="69" t="str">
        <f aca="false">IF(Other!G$19="Planet",IF(Other!G$27&gt;0,0,""),IF(Other!G$32&gt;0,0,""))</f>
        <v/>
      </c>
    </row>
    <row r="128" customFormat="false" ht="15" hidden="false" customHeight="false" outlineLevel="0" collapsed="false">
      <c r="A128" s="66" t="s">
        <v>212</v>
      </c>
      <c r="B128" s="69"/>
      <c r="C128" s="69"/>
      <c r="D128" s="69"/>
      <c r="E128" s="69"/>
    </row>
    <row r="129" customFormat="false" ht="15" hidden="false" customHeight="false" outlineLevel="0" collapsed="false">
      <c r="A129" s="66" t="s">
        <v>230</v>
      </c>
      <c r="B129" s="69"/>
      <c r="C129" s="69"/>
      <c r="D129" s="69"/>
      <c r="E129" s="69"/>
    </row>
    <row r="130" customFormat="false" ht="15" hidden="false" customHeight="false" outlineLevel="0" collapsed="false">
      <c r="A130" s="66" t="s">
        <v>209</v>
      </c>
      <c r="B130" s="69"/>
      <c r="C130" s="69"/>
      <c r="D130" s="69"/>
      <c r="E130" s="69"/>
    </row>
    <row r="131" customFormat="false" ht="15" hidden="false" customHeight="false" outlineLevel="0" collapsed="false">
      <c r="A131" s="69" t="s">
        <v>224</v>
      </c>
      <c r="B131" s="69" t="n">
        <v>0</v>
      </c>
      <c r="C131" s="69" t="n">
        <v>0</v>
      </c>
      <c r="D131" s="69" t="n">
        <v>0</v>
      </c>
      <c r="E131" s="69" t="n">
        <v>0</v>
      </c>
    </row>
    <row r="132" customFormat="false" ht="15" hidden="false" customHeight="false" outlineLevel="0" collapsed="false">
      <c r="A132" s="69" t="str">
        <f aca="false">IF(B132="","Unused","key =")</f>
        <v>Unused</v>
      </c>
      <c r="B132" s="69" t="str">
        <f aca="false">IF(Other!G$19="Planet",IF(Other!G$27&gt;0,38,""),IF(Other!G$32&gt;0,38,""))</f>
        <v/>
      </c>
      <c r="C132" s="69" t="str">
        <f aca="false">IF(Other!G$19="Planet",IF(Other!G$27&gt;0,0.5,""),IF(Other!G$32&gt;0,0.5,""))</f>
        <v/>
      </c>
      <c r="D132" s="69" t="str">
        <f aca="false">IF(Other!G$19="Planet",IF(Other!G$27&gt;0,0.02,""),IF(Other!G$32&gt;0,0.02,""))</f>
        <v/>
      </c>
      <c r="E132" s="69" t="str">
        <f aca="false">IF(Other!G$19="Planet",IF(Other!G$27&gt;0,0.02,""),IF(Other!G$32&gt;0,0.02,""))</f>
        <v/>
      </c>
    </row>
    <row r="133" customFormat="false" ht="15" hidden="false" customHeight="false" outlineLevel="0" collapsed="false">
      <c r="A133" s="69" t="str">
        <f aca="false">IF(B133="","Unused","key =")</f>
        <v>Unused</v>
      </c>
      <c r="B133" s="69" t="str">
        <f aca="false">IF(Other!G$19="Planet",IF(Other!G$27&gt;0,90,""),IF(Other!G$32&gt;0,90,""))</f>
        <v/>
      </c>
      <c r="C133" s="69" t="str">
        <f aca="false">IF(Other!G$19="Planet",IF(Other!G$27&gt;0,1,""),IF(Other!G$32&gt;0,1,""))</f>
        <v/>
      </c>
      <c r="D133" s="69" t="str">
        <f aca="false">IF(Other!G$19="Planet",IF(Other!G$27&gt;0,0,""),IF(Other!G$32&gt;0,0,""))</f>
        <v/>
      </c>
      <c r="E133" s="69" t="str">
        <f aca="false">IF(Other!G$19="Planet",IF(Other!G$27&gt;0,0,""),IF(Other!G$32&gt;0,0,""))</f>
        <v/>
      </c>
    </row>
    <row r="134" customFormat="false" ht="15" hidden="false" customHeight="false" outlineLevel="0" collapsed="false">
      <c r="A134" s="66" t="s">
        <v>212</v>
      </c>
      <c r="B134" s="69"/>
      <c r="C134" s="69"/>
      <c r="D134" s="69"/>
      <c r="E134" s="69"/>
    </row>
    <row r="135" customFormat="false" ht="15" hidden="false" customHeight="false" outlineLevel="0" collapsed="false">
      <c r="A135" s="66" t="s">
        <v>231</v>
      </c>
      <c r="B135" s="69"/>
      <c r="C135" s="69"/>
      <c r="D135" s="69"/>
      <c r="E135" s="69"/>
    </row>
    <row r="136" customFormat="false" ht="15" hidden="false" customHeight="false" outlineLevel="0" collapsed="false">
      <c r="A136" s="66" t="s">
        <v>209</v>
      </c>
      <c r="B136" s="69"/>
      <c r="C136" s="69"/>
      <c r="D136" s="69"/>
      <c r="E136" s="69"/>
    </row>
    <row r="137" customFormat="false" ht="15" hidden="false" customHeight="false" outlineLevel="0" collapsed="false">
      <c r="A137" s="69" t="s">
        <v>224</v>
      </c>
      <c r="B137" s="69" t="n">
        <v>0</v>
      </c>
      <c r="C137" s="69" t="n">
        <f aca="false">ROUND(Other!G$118*Other!G$119,1)/2</f>
        <v>0</v>
      </c>
      <c r="D137" s="69" t="n">
        <v>0</v>
      </c>
      <c r="E137" s="69" t="n">
        <f aca="false">-2*C137</f>
        <v>-0</v>
      </c>
    </row>
    <row r="138" customFormat="false" ht="15" hidden="false" customHeight="false" outlineLevel="0" collapsed="false">
      <c r="A138" s="69" t="str">
        <f aca="false">IF(B138="","Unused","key =")</f>
        <v>Unused</v>
      </c>
      <c r="B138" s="69" t="str">
        <f aca="false">IF(Other!G$19="Planet",IF(Other!G$26&gt;0,1,""),IF(Other!G$31&gt;0,1,""))</f>
        <v/>
      </c>
      <c r="C138" s="69" t="str">
        <f aca="false">IF(Other!G$19="Planet",IF(Other!G$26&gt;0,-C137,""),IF(Other!G$31&gt;0,-C137,""))</f>
        <v/>
      </c>
      <c r="D138" s="69" t="str">
        <f aca="false">IF(Other!G$19="Planet",IF(Other!G$26&gt;0,E137,""),IF(Other!G$31&gt;0,E137,""))</f>
        <v/>
      </c>
      <c r="E138" s="69" t="str">
        <f aca="false">IF(Other!G$19="Planet",IF(Other!G$26&gt;0,0,""),IF(Other!G$31&gt;0,0,""))</f>
        <v/>
      </c>
    </row>
    <row r="139" customFormat="false" ht="15" hidden="false" customHeight="false" outlineLevel="0" collapsed="false">
      <c r="A139" s="66" t="s">
        <v>212</v>
      </c>
      <c r="B139" s="69"/>
      <c r="C139" s="69"/>
      <c r="D139" s="69"/>
      <c r="E139" s="69"/>
    </row>
    <row r="140" customFormat="false" ht="15" hidden="false" customHeight="false" outlineLevel="0" collapsed="false">
      <c r="A140" s="66" t="s">
        <v>225</v>
      </c>
      <c r="B140" s="69"/>
      <c r="C140" s="69"/>
      <c r="D140" s="69"/>
      <c r="E140" s="69"/>
    </row>
    <row r="141" customFormat="false" ht="15" hidden="false" customHeight="false" outlineLevel="0" collapsed="false">
      <c r="A141" s="66" t="s">
        <v>209</v>
      </c>
      <c r="B141" s="69"/>
      <c r="C141" s="69"/>
      <c r="D141" s="69"/>
      <c r="E141" s="69"/>
    </row>
    <row r="142" customFormat="false" ht="15" hidden="false" customHeight="false" outlineLevel="0" collapsed="false">
      <c r="A142" s="105" t="e">
        <f aca="false">IF(B142="","Unused","key =")</f>
        <v>#DIV/0!</v>
      </c>
      <c r="B142" s="69" t="e">
        <f aca="false">IF(Other!Q150="|",ROUND(Other!N150,0),IF(Other!Q150="V",ROUND(Other!N150,-3),""))</f>
        <v>#DIV/0!</v>
      </c>
      <c r="C142" s="71" t="e">
        <f aca="false">IF(B142="","",IF(B143="",0,Other!H150/1000))</f>
        <v>#DIV/0!</v>
      </c>
      <c r="D142" s="71" t="n">
        <v>0</v>
      </c>
      <c r="E142" s="71" t="e">
        <f aca="false">IF(C142="","",IF(C142=0,0,-(C142*1.001-C142*0.999)/(Other!G150*LN((C142*1.001)/(C142*0.999)))/IF(Other!G$128&gt;0,Other!G$128,0.8)))</f>
        <v>#DIV/0!</v>
      </c>
    </row>
    <row r="143" customFormat="false" ht="15" hidden="false" customHeight="false" outlineLevel="0" collapsed="false">
      <c r="A143" s="105" t="e">
        <f aca="false">IF(B143="","Unused","key =")</f>
        <v>#DIV/0!</v>
      </c>
      <c r="B143" s="69" t="e">
        <f aca="false">IF(Other!Q151="|",ROUND(Other!N151,0),IF(Other!Q151="V",ROUND(Other!N151,-3),""))</f>
        <v>#DIV/0!</v>
      </c>
      <c r="C143" s="71" t="e">
        <f aca="false">IF(B143="","",IF(B144="",0,Other!H151/1000))</f>
        <v>#DIV/0!</v>
      </c>
      <c r="D143" s="71" t="e">
        <f aca="false">IF(C143="","",IF(C143=0,0,-(C143*1.001-C143*0.999)/(Other!G151*LN((C143*1.001)/(C143*0.999)))/IF(Other!G$128&gt;0,Other!G$128,0.8)))</f>
        <v>#DIV/0!</v>
      </c>
      <c r="E143" s="71" t="e">
        <f aca="false">D143</f>
        <v>#DIV/0!</v>
      </c>
    </row>
    <row r="144" customFormat="false" ht="15" hidden="false" customHeight="false" outlineLevel="0" collapsed="false">
      <c r="A144" s="105" t="e">
        <f aca="false">IF(B144="","Unused","key =")</f>
        <v>#DIV/0!</v>
      </c>
      <c r="B144" s="69" t="e">
        <f aca="false">IF(Other!Q152="|",ROUND(Other!N152,0),IF(Other!Q152="V",ROUND(Other!N152,-3),""))</f>
        <v>#DIV/0!</v>
      </c>
      <c r="C144" s="71" t="e">
        <f aca="false">IF(B144="","",IF(B145="",0,Other!H152/1000))</f>
        <v>#DIV/0!</v>
      </c>
      <c r="D144" s="71" t="e">
        <f aca="false">IF(C144="","",IF(C144=0,0,-(C144*1.001-C144*0.999)/(Other!G152*LN((C144*1.001)/(C144*0.999)))/IF(Other!G$128&gt;0,Other!G$128,0.8)))</f>
        <v>#DIV/0!</v>
      </c>
      <c r="E144" s="71" t="e">
        <f aca="false">D144</f>
        <v>#DIV/0!</v>
      </c>
    </row>
    <row r="145" customFormat="false" ht="15" hidden="false" customHeight="false" outlineLevel="0" collapsed="false">
      <c r="A145" s="105" t="e">
        <f aca="false">IF(B145="","Unused","key =")</f>
        <v>#DIV/0!</v>
      </c>
      <c r="B145" s="69" t="e">
        <f aca="false">IF(Other!Q153="|",ROUND(Other!N153,0),IF(Other!Q153="V",ROUND(Other!N153,-3),""))</f>
        <v>#DIV/0!</v>
      </c>
      <c r="C145" s="71" t="e">
        <f aca="false">IF(B145="","",IF(B146="",0,Other!H153/1000))</f>
        <v>#DIV/0!</v>
      </c>
      <c r="D145" s="71" t="e">
        <f aca="false">IF(C145="","",IF(C145=0,0,-(C145*1.001-C145*0.999)/(Other!G153*LN((C145*1.001)/(C145*0.999)))/IF(Other!G$128&gt;0,Other!G$128,0.8)))</f>
        <v>#DIV/0!</v>
      </c>
      <c r="E145" s="71" t="e">
        <f aca="false">D145</f>
        <v>#DIV/0!</v>
      </c>
    </row>
    <row r="146" customFormat="false" ht="15" hidden="false" customHeight="false" outlineLevel="0" collapsed="false">
      <c r="A146" s="105" t="e">
        <f aca="false">IF(B146="","Unused","key =")</f>
        <v>#DIV/0!</v>
      </c>
      <c r="B146" s="69" t="e">
        <f aca="false">IF(Other!Q154="|",ROUND(Other!N154,0),IF(Other!Q154="V",ROUND(Other!N154,-3),""))</f>
        <v>#DIV/0!</v>
      </c>
      <c r="C146" s="71" t="e">
        <f aca="false">IF(B146="","",IF(B147="",0,Other!H154/1000))</f>
        <v>#DIV/0!</v>
      </c>
      <c r="D146" s="71" t="e">
        <f aca="false">IF(C146="","",IF(C146=0,0,-(C146*1.001-C146*0.999)/(Other!G154*LN((C146*1.001)/(C146*0.999)))/IF(Other!G$128&gt;0,Other!G$128,0.8)))</f>
        <v>#DIV/0!</v>
      </c>
      <c r="E146" s="71" t="e">
        <f aca="false">D146</f>
        <v>#DIV/0!</v>
      </c>
    </row>
    <row r="147" customFormat="false" ht="15" hidden="false" customHeight="false" outlineLevel="0" collapsed="false">
      <c r="A147" s="105" t="e">
        <f aca="false">IF(B147="","Unused","key =")</f>
        <v>#DIV/0!</v>
      </c>
      <c r="B147" s="69" t="e">
        <f aca="false">IF(Other!Q155="|",ROUND(Other!N155,0),IF(Other!Q155="V",ROUND(Other!N155,-3),""))</f>
        <v>#DIV/0!</v>
      </c>
      <c r="C147" s="71" t="e">
        <f aca="false">IF(B147="","",IF(B148="",0,Other!H155/1000))</f>
        <v>#DIV/0!</v>
      </c>
      <c r="D147" s="71" t="e">
        <f aca="false">IF(C147="","",IF(C147=0,0,-(C147*1.001-C147*0.999)/(Other!G155*LN((C147*1.001)/(C147*0.999)))/IF(Other!G$128&gt;0,Other!G$128,0.8)))</f>
        <v>#DIV/0!</v>
      </c>
      <c r="E147" s="71" t="e">
        <f aca="false">D147</f>
        <v>#DIV/0!</v>
      </c>
    </row>
    <row r="148" customFormat="false" ht="15" hidden="false" customHeight="false" outlineLevel="0" collapsed="false">
      <c r="A148" s="105" t="e">
        <f aca="false">IF(B148="","Unused","key =")</f>
        <v>#DIV/0!</v>
      </c>
      <c r="B148" s="69" t="e">
        <f aca="false">IF(Other!Q156="|",ROUND(Other!N156,0),IF(Other!Q156="V",ROUND(Other!N156,-3),""))</f>
        <v>#DIV/0!</v>
      </c>
      <c r="C148" s="71" t="e">
        <f aca="false">IF(B148="","",IF(B149="",0,Other!H156/1000))</f>
        <v>#DIV/0!</v>
      </c>
      <c r="D148" s="71" t="e">
        <f aca="false">IF(C148="","",IF(C148=0,0,-(C148*1.001-C148*0.999)/(Other!G156*LN((C148*1.001)/(C148*0.999)))/IF(Other!G$128&gt;0,Other!G$128,0.8)))</f>
        <v>#DIV/0!</v>
      </c>
      <c r="E148" s="71" t="e">
        <f aca="false">D148</f>
        <v>#DIV/0!</v>
      </c>
    </row>
    <row r="149" customFormat="false" ht="15" hidden="false" customHeight="false" outlineLevel="0" collapsed="false">
      <c r="A149" s="105" t="e">
        <f aca="false">IF(B149="","Unused","key =")</f>
        <v>#DIV/0!</v>
      </c>
      <c r="B149" s="69" t="e">
        <f aca="false">IF(Other!Q157="|",ROUND(Other!N157,0),IF(Other!Q157="V",ROUND(Other!N157,-3),""))</f>
        <v>#DIV/0!</v>
      </c>
      <c r="C149" s="71" t="e">
        <f aca="false">IF(B149="","",IF(B150="",0,Other!H157/1000))</f>
        <v>#DIV/0!</v>
      </c>
      <c r="D149" s="71" t="e">
        <f aca="false">IF(C149="","",IF(C149=0,0,-(C149*1.001-C149*0.999)/(Other!G157*LN((C149*1.001)/(C149*0.999)))/IF(Other!G$128&gt;0,Other!G$128,0.8)))</f>
        <v>#DIV/0!</v>
      </c>
      <c r="E149" s="71" t="e">
        <f aca="false">D149</f>
        <v>#DIV/0!</v>
      </c>
    </row>
    <row r="150" customFormat="false" ht="15" hidden="false" customHeight="false" outlineLevel="0" collapsed="false">
      <c r="A150" s="105" t="e">
        <f aca="false">IF(B150="","Unused","key =")</f>
        <v>#DIV/0!</v>
      </c>
      <c r="B150" s="69" t="e">
        <f aca="false">IF(Other!Q158="|",ROUND(Other!N158,0),IF(Other!Q158="V",ROUND(Other!N158,-3),""))</f>
        <v>#DIV/0!</v>
      </c>
      <c r="C150" s="71" t="e">
        <f aca="false">IF(B150="","",IF(B151="",0,Other!H158/1000))</f>
        <v>#DIV/0!</v>
      </c>
      <c r="D150" s="71" t="e">
        <f aca="false">IF(C150="","",IF(C150=0,0,-(C150*1.001-C150*0.999)/(Other!G158*LN((C150*1.001)/(C150*0.999)))/IF(Other!G$128&gt;0,Other!G$128,0.8)))</f>
        <v>#DIV/0!</v>
      </c>
      <c r="E150" s="71" t="e">
        <f aca="false">D150</f>
        <v>#DIV/0!</v>
      </c>
    </row>
    <row r="151" customFormat="false" ht="15" hidden="false" customHeight="false" outlineLevel="0" collapsed="false">
      <c r="A151" s="105" t="e">
        <f aca="false">IF(B151="","Unused","key =")</f>
        <v>#DIV/0!</v>
      </c>
      <c r="B151" s="69" t="e">
        <f aca="false">IF(Other!Q159="|",ROUND(Other!N159,0),IF(Other!Q159="V",ROUND(Other!N159,-3),""))</f>
        <v>#DIV/0!</v>
      </c>
      <c r="C151" s="71" t="e">
        <f aca="false">IF(B151="","",IF(B152="",0,Other!H159/1000))</f>
        <v>#DIV/0!</v>
      </c>
      <c r="D151" s="71" t="e">
        <f aca="false">IF(C151="","",IF(C151=0,0,-(C151*1.001-C151*0.999)/(Other!G159*LN((C151*1.001)/(C151*0.999)))/IF(Other!G$128&gt;0,Other!G$128,0.8)))</f>
        <v>#DIV/0!</v>
      </c>
      <c r="E151" s="71" t="e">
        <f aca="false">D151</f>
        <v>#DIV/0!</v>
      </c>
    </row>
    <row r="152" customFormat="false" ht="15" hidden="false" customHeight="false" outlineLevel="0" collapsed="false">
      <c r="A152" s="105" t="e">
        <f aca="false">IF(B152="","Unused","key =")</f>
        <v>#DIV/0!</v>
      </c>
      <c r="B152" s="69" t="e">
        <f aca="false">IF(Other!Q160="|",ROUND(Other!N160,0),IF(Other!Q160="V",ROUND(Other!N160,-3),""))</f>
        <v>#DIV/0!</v>
      </c>
      <c r="C152" s="71" t="e">
        <f aca="false">IF(B152="","",IF(B153="",0,Other!H160/1000))</f>
        <v>#DIV/0!</v>
      </c>
      <c r="D152" s="71" t="e">
        <f aca="false">IF(C152="","",IF(C152=0,0,-(C152*1.001-C152*0.999)/(Other!G160*LN((C152*1.001)/(C152*0.999)))/IF(Other!G$128&gt;0,Other!G$128,0.8)))</f>
        <v>#DIV/0!</v>
      </c>
      <c r="E152" s="71" t="e">
        <f aca="false">D152</f>
        <v>#DIV/0!</v>
      </c>
    </row>
    <row r="153" customFormat="false" ht="15" hidden="false" customHeight="false" outlineLevel="0" collapsed="false">
      <c r="A153" s="105" t="e">
        <f aca="false">IF(B153="","Unused","key =")</f>
        <v>#DIV/0!</v>
      </c>
      <c r="B153" s="69" t="e">
        <f aca="false">IF(Other!Q161="|",ROUND(Other!N161,0),IF(Other!Q161="V",ROUND(Other!N161,-3),""))</f>
        <v>#DIV/0!</v>
      </c>
      <c r="C153" s="71" t="e">
        <f aca="false">IF(B153="","",IF(B154="",0,Other!H161/1000))</f>
        <v>#DIV/0!</v>
      </c>
      <c r="D153" s="71" t="e">
        <f aca="false">IF(C153="","",IF(C153=0,0,-(C153*1.001-C153*0.999)/(Other!G161*LN((C153*1.001)/(C153*0.999)))/IF(Other!G$128&gt;0,Other!G$128,0.8)))</f>
        <v>#DIV/0!</v>
      </c>
      <c r="E153" s="71" t="e">
        <f aca="false">D153</f>
        <v>#DIV/0!</v>
      </c>
    </row>
    <row r="154" customFormat="false" ht="15" hidden="false" customHeight="false" outlineLevel="0" collapsed="false">
      <c r="A154" s="105" t="e">
        <f aca="false">IF(B154="","Unused","key =")</f>
        <v>#DIV/0!</v>
      </c>
      <c r="B154" s="69" t="e">
        <f aca="false">IF(Other!Q162="|",ROUND(Other!N162,0),IF(Other!Q162="V",ROUND(Other!N162,-3),""))</f>
        <v>#DIV/0!</v>
      </c>
      <c r="C154" s="71" t="e">
        <f aca="false">IF(B154="","",IF(B155="",0,Other!H162/1000))</f>
        <v>#DIV/0!</v>
      </c>
      <c r="D154" s="71" t="e">
        <f aca="false">IF(C154="","",IF(C154=0,0,-(C154*1.001-C154*0.999)/(Other!G162*LN((C154*1.001)/(C154*0.999)))/IF(Other!G$128&gt;0,Other!G$128,0.8)))</f>
        <v>#DIV/0!</v>
      </c>
      <c r="E154" s="71" t="e">
        <f aca="false">D154</f>
        <v>#DIV/0!</v>
      </c>
    </row>
    <row r="155" customFormat="false" ht="15" hidden="false" customHeight="false" outlineLevel="0" collapsed="false">
      <c r="A155" s="105" t="e">
        <f aca="false">IF(B155="","Unused","key =")</f>
        <v>#DIV/0!</v>
      </c>
      <c r="B155" s="69" t="e">
        <f aca="false">IF(Other!Q163="|",ROUND(Other!N163,0),IF(Other!Q163="V",ROUND(Other!N163,-3),""))</f>
        <v>#DIV/0!</v>
      </c>
      <c r="C155" s="71" t="e">
        <f aca="false">IF(B155="","",IF(B156="",0,Other!H163/1000))</f>
        <v>#DIV/0!</v>
      </c>
      <c r="D155" s="71" t="e">
        <f aca="false">IF(C155="","",IF(C155=0,0,-(C155*1.001-C155*0.999)/(Other!G163*LN((C155*1.001)/(C155*0.999)))/IF(Other!G$128&gt;0,Other!G$128,0.8)))</f>
        <v>#DIV/0!</v>
      </c>
      <c r="E155" s="71" t="e">
        <f aca="false">D155</f>
        <v>#DIV/0!</v>
      </c>
    </row>
    <row r="156" customFormat="false" ht="15" hidden="false" customHeight="false" outlineLevel="0" collapsed="false">
      <c r="A156" s="105" t="e">
        <f aca="false">IF(B156="","Unused","key =")</f>
        <v>#DIV/0!</v>
      </c>
      <c r="B156" s="69" t="e">
        <f aca="false">IF(Other!Q164="|",ROUND(Other!N164,0),IF(Other!Q164="V",ROUND(Other!N164,-3),""))</f>
        <v>#DIV/0!</v>
      </c>
      <c r="C156" s="71" t="e">
        <f aca="false">IF(B156="","",IF(B157="",0,Other!H164/1000))</f>
        <v>#DIV/0!</v>
      </c>
      <c r="D156" s="71" t="e">
        <f aca="false">IF(C156="","",IF(C156=0,0,-(C156*1.001-C156*0.999)/(Other!G164*LN((C156*1.001)/(C156*0.999)))/IF(Other!G$128&gt;0,Other!G$128,0.8)))</f>
        <v>#DIV/0!</v>
      </c>
      <c r="E156" s="71" t="e">
        <f aca="false">D156</f>
        <v>#DIV/0!</v>
      </c>
    </row>
    <row r="157" customFormat="false" ht="15" hidden="false" customHeight="false" outlineLevel="0" collapsed="false">
      <c r="A157" s="105" t="e">
        <f aca="false">IF(B157="","Unused","key =")</f>
        <v>#DIV/0!</v>
      </c>
      <c r="B157" s="69" t="e">
        <f aca="false">IF(Other!Q165="|",ROUND(Other!N165,0),IF(Other!Q165="V",ROUND(Other!N165,-3),""))</f>
        <v>#DIV/0!</v>
      </c>
      <c r="C157" s="71" t="e">
        <f aca="false">IF(B157="","",IF(B158="",0,Other!H165/1000))</f>
        <v>#DIV/0!</v>
      </c>
      <c r="D157" s="71" t="e">
        <f aca="false">IF(C157="","",IF(C157=0,0,-(C157*1.001-C157*0.999)/(Other!G165*LN((C157*1.001)/(C157*0.999)))/IF(Other!G$128&gt;0,Other!G$128,0.8)))</f>
        <v>#DIV/0!</v>
      </c>
      <c r="E157" s="71" t="e">
        <f aca="false">D157</f>
        <v>#DIV/0!</v>
      </c>
    </row>
    <row r="158" customFormat="false" ht="15" hidden="false" customHeight="false" outlineLevel="0" collapsed="false">
      <c r="A158" s="105" t="e">
        <f aca="false">IF(B158="","Unused","key =")</f>
        <v>#DIV/0!</v>
      </c>
      <c r="B158" s="69" t="e">
        <f aca="false">IF(Other!Q166="|",ROUND(Other!N166,0),IF(Other!Q166="V",ROUND(Other!N166,-3),""))</f>
        <v>#DIV/0!</v>
      </c>
      <c r="C158" s="71" t="e">
        <f aca="false">IF(B158="","",IF(B159="",0,Other!H166/1000))</f>
        <v>#DIV/0!</v>
      </c>
      <c r="D158" s="71" t="e">
        <f aca="false">IF(C158="","",IF(C158=0,0,-(C158*1.001-C158*0.999)/(Other!G166*LN((C158*1.001)/(C158*0.999)))/IF(Other!G$128&gt;0,Other!G$128,0.8)))</f>
        <v>#DIV/0!</v>
      </c>
      <c r="E158" s="71" t="e">
        <f aca="false">D158</f>
        <v>#DIV/0!</v>
      </c>
    </row>
    <row r="159" customFormat="false" ht="15" hidden="false" customHeight="false" outlineLevel="0" collapsed="false">
      <c r="A159" s="105" t="e">
        <f aca="false">IF(B159="","Unused","key =")</f>
        <v>#DIV/0!</v>
      </c>
      <c r="B159" s="69" t="e">
        <f aca="false">IF(Other!Q167="|",ROUND(Other!N167,0),IF(Other!Q167="V",ROUND(Other!N167,-3),""))</f>
        <v>#DIV/0!</v>
      </c>
      <c r="C159" s="71" t="e">
        <f aca="false">IF(B159="","",IF(B160="",0,Other!H167/1000))</f>
        <v>#DIV/0!</v>
      </c>
      <c r="D159" s="71" t="e">
        <f aca="false">IF(C159="","",IF(C159=0,0,-(C159*1.001-C159*0.999)/(Other!G167*LN((C159*1.001)/(C159*0.999)))/IF(Other!G$128&gt;0,Other!G$128,0.8)))</f>
        <v>#DIV/0!</v>
      </c>
      <c r="E159" s="71" t="e">
        <f aca="false">D159</f>
        <v>#DIV/0!</v>
      </c>
    </row>
    <row r="160" customFormat="false" ht="15" hidden="false" customHeight="false" outlineLevel="0" collapsed="false">
      <c r="A160" s="105" t="e">
        <f aca="false">IF(B160="","Unused","key =")</f>
        <v>#DIV/0!</v>
      </c>
      <c r="B160" s="69" t="e">
        <f aca="false">IF(Other!Q168="|",ROUND(Other!N168,0),IF(Other!Q168="V",ROUND(Other!N168,-3),""))</f>
        <v>#DIV/0!</v>
      </c>
      <c r="C160" s="71" t="e">
        <f aca="false">IF(B160="","",IF(B161="",0,Other!H168/1000))</f>
        <v>#DIV/0!</v>
      </c>
      <c r="D160" s="71" t="e">
        <f aca="false">IF(C160="","",IF(C160=0,0,-(C160*1.001-C160*0.999)/(Other!G168*LN((C160*1.001)/(C160*0.999)))/IF(Other!G$128&gt;0,Other!G$128,0.8)))</f>
        <v>#DIV/0!</v>
      </c>
      <c r="E160" s="71" t="e">
        <f aca="false">D160</f>
        <v>#DIV/0!</v>
      </c>
    </row>
    <row r="161" customFormat="false" ht="15" hidden="false" customHeight="false" outlineLevel="0" collapsed="false">
      <c r="A161" s="105" t="e">
        <f aca="false">IF(B161="","Unused","key =")</f>
        <v>#DIV/0!</v>
      </c>
      <c r="B161" s="69" t="e">
        <f aca="false">IF(Other!Q169="|",ROUND(Other!N169,0),IF(Other!Q169="V",ROUND(Other!N169,-3),""))</f>
        <v>#DIV/0!</v>
      </c>
      <c r="C161" s="71" t="e">
        <f aca="false">IF(B161="","",IF(B162="",0,Other!H169/1000))</f>
        <v>#DIV/0!</v>
      </c>
      <c r="D161" s="71" t="e">
        <f aca="false">IF(C161="","",IF(C161=0,0,-(C161*1.001-C161*0.999)/(Other!G169*LN((C161*1.001)/(C161*0.999)))/IF(Other!G$128&gt;0,Other!G$128,0.8)))</f>
        <v>#DIV/0!</v>
      </c>
      <c r="E161" s="71" t="e">
        <f aca="false">D161</f>
        <v>#DIV/0!</v>
      </c>
    </row>
    <row r="162" customFormat="false" ht="15" hidden="false" customHeight="false" outlineLevel="0" collapsed="false">
      <c r="A162" s="105" t="e">
        <f aca="false">IF(B162="","Unused","key =")</f>
        <v>#DIV/0!</v>
      </c>
      <c r="B162" s="69" t="e">
        <f aca="false">IF(Other!Q170="|",ROUND(Other!N170,0),IF(Other!Q170="V",ROUND(Other!N170,-3),""))</f>
        <v>#DIV/0!</v>
      </c>
      <c r="C162" s="71" t="e">
        <f aca="false">IF(B162="","",IF(B163="",0,Other!H170/1000))</f>
        <v>#DIV/0!</v>
      </c>
      <c r="D162" s="71" t="e">
        <f aca="false">IF(C162="","",IF(C162=0,0,-(C162*1.001-C162*0.999)/(Other!G170*LN((C162*1.001)/(C162*0.999)))/IF(Other!G$128&gt;0,Other!G$128,0.8)))</f>
        <v>#DIV/0!</v>
      </c>
      <c r="E162" s="71" t="e">
        <f aca="false">D162</f>
        <v>#DIV/0!</v>
      </c>
    </row>
    <row r="163" customFormat="false" ht="15" hidden="false" customHeight="false" outlineLevel="0" collapsed="false">
      <c r="A163" s="105" t="e">
        <f aca="false">IF(B163="","Unused","key =")</f>
        <v>#DIV/0!</v>
      </c>
      <c r="B163" s="69" t="e">
        <f aca="false">IF(Other!Q171="|",ROUND(Other!N171,0),IF(Other!Q171="V",ROUND(Other!N171,-3),""))</f>
        <v>#DIV/0!</v>
      </c>
      <c r="C163" s="71" t="e">
        <f aca="false">IF(B163="","",IF(B164="",0,Other!H171/1000))</f>
        <v>#DIV/0!</v>
      </c>
      <c r="D163" s="71" t="e">
        <f aca="false">IF(C163="","",IF(C163=0,0,-(C163*1.001-C163*0.999)/(Other!G171*LN((C163*1.001)/(C163*0.999)))/IF(Other!G$128&gt;0,Other!G$128,0.8)))</f>
        <v>#DIV/0!</v>
      </c>
      <c r="E163" s="71" t="e">
        <f aca="false">D163</f>
        <v>#DIV/0!</v>
      </c>
    </row>
    <row r="164" customFormat="false" ht="15" hidden="false" customHeight="false" outlineLevel="0" collapsed="false">
      <c r="A164" s="105" t="e">
        <f aca="false">IF(B164="","Unused","key =")</f>
        <v>#DIV/0!</v>
      </c>
      <c r="B164" s="69" t="e">
        <f aca="false">IF(Other!Q172="|",ROUND(Other!N172,0),IF(Other!Q172="V",ROUND(Other!N172,-3),""))</f>
        <v>#DIV/0!</v>
      </c>
      <c r="C164" s="71" t="e">
        <f aca="false">IF(B164="","",IF(B165="",0,Other!H172/1000))</f>
        <v>#DIV/0!</v>
      </c>
      <c r="D164" s="71" t="e">
        <f aca="false">IF(C164="","",IF(C164=0,0,-(C164*1.001-C164*0.999)/(Other!G172*LN((C164*1.001)/(C164*0.999)))/IF(Other!G$128&gt;0,Other!G$128,0.8)))</f>
        <v>#DIV/0!</v>
      </c>
      <c r="E164" s="71" t="e">
        <f aca="false">D164</f>
        <v>#DIV/0!</v>
      </c>
    </row>
    <row r="165" customFormat="false" ht="15" hidden="false" customHeight="false" outlineLevel="0" collapsed="false">
      <c r="A165" s="105" t="e">
        <f aca="false">IF(B165="","Unused","key =")</f>
        <v>#DIV/0!</v>
      </c>
      <c r="B165" s="69" t="e">
        <f aca="false">IF(Other!Q173="|",ROUND(Other!N173,0),IF(Other!Q173="V",ROUND(Other!N173,-3),""))</f>
        <v>#DIV/0!</v>
      </c>
      <c r="C165" s="71" t="e">
        <f aca="false">IF(B165="","",IF(B166="",0,Other!H173/1000))</f>
        <v>#DIV/0!</v>
      </c>
      <c r="D165" s="71" t="e">
        <f aca="false">IF(C165="","",IF(C165=0,0,-(C165*1.001-C165*0.999)/(Other!G173*LN((C165*1.001)/(C165*0.999)))/IF(Other!G$128&gt;0,Other!G$128,0.8)))</f>
        <v>#DIV/0!</v>
      </c>
      <c r="E165" s="71" t="e">
        <f aca="false">D165</f>
        <v>#DIV/0!</v>
      </c>
    </row>
    <row r="166" customFormat="false" ht="15" hidden="false" customHeight="false" outlineLevel="0" collapsed="false">
      <c r="A166" s="105" t="e">
        <f aca="false">IF(B166="","Unused","key =")</f>
        <v>#DIV/0!</v>
      </c>
      <c r="B166" s="69" t="e">
        <f aca="false">IF(Other!Q174="|",ROUND(Other!N174,0),IF(Other!Q174="V",ROUND(Other!N174,-3),""))</f>
        <v>#DIV/0!</v>
      </c>
      <c r="C166" s="71" t="e">
        <f aca="false">IF(B166="","",IF(B167="",0,Other!H174/1000))</f>
        <v>#DIV/0!</v>
      </c>
      <c r="D166" s="71" t="e">
        <f aca="false">IF(C166="","",IF(C166=0,0,-(C166*1.001-C166*0.999)/(Other!G174*LN((C166*1.001)/(C166*0.999)))/IF(Other!G$128&gt;0,Other!G$128,0.8)))</f>
        <v>#DIV/0!</v>
      </c>
      <c r="E166" s="71" t="e">
        <f aca="false">D166</f>
        <v>#DIV/0!</v>
      </c>
    </row>
    <row r="167" customFormat="false" ht="15" hidden="false" customHeight="false" outlineLevel="0" collapsed="false">
      <c r="A167" s="105" t="e">
        <f aca="false">IF(B167="","Unused","key =")</f>
        <v>#DIV/0!</v>
      </c>
      <c r="B167" s="105" t="e">
        <f aca="false">IF(Other!Q175="|",ROUND(Other!N175,0),IF(Other!Q175="V",ROUND(Other!N175,-3),""))</f>
        <v>#DIV/0!</v>
      </c>
      <c r="C167" s="71" t="e">
        <f aca="false">IF(B167="","",IF(B168="",0,Other!H175/1000))</f>
        <v>#DIV/0!</v>
      </c>
      <c r="D167" s="71" t="e">
        <f aca="false">IF(C167="","",IF(C167=0,0,-(C167*1.001-C167*0.999)/(Other!G175*LN((C167*1.001)/(C167*0.999)))/IF(Other!G$128&gt;0,Other!G$128,0.8)))</f>
        <v>#DIV/0!</v>
      </c>
      <c r="E167" s="71" t="e">
        <f aca="false">D167</f>
        <v>#DIV/0!</v>
      </c>
    </row>
    <row r="168" customFormat="false" ht="15" hidden="false" customHeight="false" outlineLevel="0" collapsed="false">
      <c r="A168" s="105" t="e">
        <f aca="false">IF(B168="","Unused","key =")</f>
        <v>#DIV/0!</v>
      </c>
      <c r="B168" s="105" t="e">
        <f aca="false">IF(Other!Q176="|",ROUND(Other!N176,0),IF(Other!Q176="V",ROUND(Other!N176,-3),""))</f>
        <v>#DIV/0!</v>
      </c>
      <c r="C168" s="71" t="e">
        <f aca="false">IF(B168="","",IF(B169="",0,Other!H176/1000))</f>
        <v>#DIV/0!</v>
      </c>
      <c r="D168" s="71" t="e">
        <f aca="false">IF(C168="","",IF(C168=0,0,-(C168*1.001-C168*0.999)/(Other!G176*LN((C168*1.001)/(C168*0.999)))/IF(Other!G$128&gt;0,Other!G$128,0.8)))</f>
        <v>#DIV/0!</v>
      </c>
      <c r="E168" s="71" t="e">
        <f aca="false">D168</f>
        <v>#DIV/0!</v>
      </c>
    </row>
    <row r="169" customFormat="false" ht="15" hidden="false" customHeight="false" outlineLevel="0" collapsed="false">
      <c r="A169" s="105" t="e">
        <f aca="false">IF(B169="","Unused","key =")</f>
        <v>#DIV/0!</v>
      </c>
      <c r="B169" s="105" t="e">
        <f aca="false">IF(Other!Q177="|",ROUND(Other!N177,0),IF(Other!Q177="V",ROUND(Other!N177,-3),""))</f>
        <v>#DIV/0!</v>
      </c>
      <c r="C169" s="71" t="e">
        <f aca="false">IF(B169="","",IF(B170="",0,Other!H177/1000))</f>
        <v>#DIV/0!</v>
      </c>
      <c r="D169" s="71" t="e">
        <f aca="false">IF(C169="","",IF(C169=0,0,-(C169*1.001-C169*0.999)/(Other!G177*LN((C169*1.001)/(C169*0.999)))/IF(Other!G$128&gt;0,Other!G$128,0.8)))</f>
        <v>#DIV/0!</v>
      </c>
      <c r="E169" s="71" t="e">
        <f aca="false">D169</f>
        <v>#DIV/0!</v>
      </c>
    </row>
    <row r="170" customFormat="false" ht="15" hidden="false" customHeight="false" outlineLevel="0" collapsed="false">
      <c r="A170" s="105" t="e">
        <f aca="false">IF(B170="","Unused","key =")</f>
        <v>#DIV/0!</v>
      </c>
      <c r="B170" s="105" t="e">
        <f aca="false">IF(Other!Q178="|",ROUND(Other!N178,0),IF(Other!Q178="V",ROUND(Other!N178,-3),""))</f>
        <v>#DIV/0!</v>
      </c>
      <c r="C170" s="71" t="e">
        <f aca="false">IF(B170="","",IF(B171="",0,Other!H178/1000))</f>
        <v>#DIV/0!</v>
      </c>
      <c r="D170" s="71" t="e">
        <f aca="false">IF(C170="","",IF(C170=0,0,-(C170*1.001-C170*0.999)/(Other!G178*LN((C170*1.001)/(C170*0.999)))/IF(Other!G$128&gt;0,Other!G$128,0.8)))</f>
        <v>#DIV/0!</v>
      </c>
      <c r="E170" s="71" t="e">
        <f aca="false">D170</f>
        <v>#DIV/0!</v>
      </c>
    </row>
    <row r="171" customFormat="false" ht="15" hidden="false" customHeight="false" outlineLevel="0" collapsed="false">
      <c r="A171" s="105" t="e">
        <f aca="false">IF(B171="","Unused","key =")</f>
        <v>#DIV/0!</v>
      </c>
      <c r="B171" s="105" t="e">
        <f aca="false">IF(Other!Q179="|",ROUND(Other!N179,0),IF(Other!Q179="V",ROUND(Other!N179,-3),""))</f>
        <v>#DIV/0!</v>
      </c>
      <c r="C171" s="71" t="e">
        <f aca="false">IF(B171="","",IF(B172="",0,Other!H179/1000))</f>
        <v>#DIV/0!</v>
      </c>
      <c r="D171" s="71" t="e">
        <f aca="false">IF(C171="","",IF(C171=0,0,-(C171*1.001-C171*0.999)/(Other!G179*LN((C171*1.001)/(C171*0.999)))/IF(Other!G$128&gt;0,Other!G$128,0.8)))</f>
        <v>#DIV/0!</v>
      </c>
      <c r="E171" s="71" t="e">
        <f aca="false">D171</f>
        <v>#DIV/0!</v>
      </c>
    </row>
    <row r="172" customFormat="false" ht="15" hidden="false" customHeight="false" outlineLevel="0" collapsed="false">
      <c r="A172" s="105" t="e">
        <f aca="false">IF(B172="","Unused","key =")</f>
        <v>#DIV/0!</v>
      </c>
      <c r="B172" s="105" t="e">
        <f aca="false">IF(Other!Q180="|",ROUND(Other!N180,0),IF(Other!Q180="V",ROUND(Other!N180,-3),""))</f>
        <v>#DIV/0!</v>
      </c>
      <c r="C172" s="71" t="e">
        <f aca="false">IF(B172="","",IF(B173="",0,Other!H180/1000))</f>
        <v>#DIV/0!</v>
      </c>
      <c r="D172" s="71" t="e">
        <f aca="false">IF(C172="","",IF(C172=0,0,-(C172*1.001-C172*0.999)/(Other!G180*LN((C172*1.001)/(C172*0.999)))/IF(Other!G$128&gt;0,Other!G$128,0.8)))</f>
        <v>#DIV/0!</v>
      </c>
      <c r="E172" s="71" t="e">
        <f aca="false">D172</f>
        <v>#DIV/0!</v>
      </c>
    </row>
    <row r="173" customFormat="false" ht="15" hidden="false" customHeight="false" outlineLevel="0" collapsed="false">
      <c r="A173" s="105" t="e">
        <f aca="false">IF(B173="","Unused","key =")</f>
        <v>#DIV/0!</v>
      </c>
      <c r="B173" s="105" t="e">
        <f aca="false">IF(Other!Q181="|",ROUND(Other!N181,0),IF(Other!Q181="V",ROUND(Other!N181,-3),""))</f>
        <v>#DIV/0!</v>
      </c>
      <c r="C173" s="71" t="e">
        <f aca="false">IF(B173="","",IF(B174="",0,Other!H181/1000))</f>
        <v>#DIV/0!</v>
      </c>
      <c r="D173" s="71" t="e">
        <f aca="false">IF(C173="","",IF(C173=0,0,-(C173*1.001-C173*0.999)/(Other!G181*LN((C173*1.001)/(C173*0.999)))/IF(Other!G$128&gt;0,Other!G$128,0.8)))</f>
        <v>#DIV/0!</v>
      </c>
      <c r="E173" s="71" t="e">
        <f aca="false">D173</f>
        <v>#DIV/0!</v>
      </c>
    </row>
    <row r="174" customFormat="false" ht="15" hidden="false" customHeight="false" outlineLevel="0" collapsed="false">
      <c r="A174" s="105" t="e">
        <f aca="false">IF(B174="","Unused","key =")</f>
        <v>#DIV/0!</v>
      </c>
      <c r="B174" s="105" t="e">
        <f aca="false">IF(Other!Q182="|",ROUND(Other!N182,0),IF(Other!Q182="V",ROUND(Other!N182,-3),""))</f>
        <v>#DIV/0!</v>
      </c>
      <c r="C174" s="71" t="e">
        <f aca="false">IF(B174="","",IF(B175="",0,Other!H182/1000))</f>
        <v>#DIV/0!</v>
      </c>
      <c r="D174" s="71" t="e">
        <f aca="false">IF(C174="","",IF(C174=0,0,-(C174*1.001-C174*0.999)/(Other!G182*LN((C174*1.001)/(C174*0.999)))/IF(Other!G$128&gt;0,Other!G$128,0.8)))</f>
        <v>#DIV/0!</v>
      </c>
      <c r="E174" s="71" t="e">
        <f aca="false">D174</f>
        <v>#DIV/0!</v>
      </c>
    </row>
    <row r="175" customFormat="false" ht="15" hidden="false" customHeight="false" outlineLevel="0" collapsed="false">
      <c r="A175" s="105" t="e">
        <f aca="false">IF(B175="","Unused","key =")</f>
        <v>#DIV/0!</v>
      </c>
      <c r="B175" s="105" t="e">
        <f aca="false">IF(Other!Q183="|",ROUND(Other!N183,0),IF(Other!Q183="V",ROUND(Other!N183,-3),""))</f>
        <v>#DIV/0!</v>
      </c>
      <c r="C175" s="71" t="e">
        <f aca="false">IF(B175="","",IF(B176="",0,Other!H183/1000))</f>
        <v>#DIV/0!</v>
      </c>
      <c r="D175" s="71" t="e">
        <f aca="false">IF(C175="","",IF(C175=0,0,-(C175*1.001-C175*0.999)/(Other!G183*LN((C175*1.001)/(C175*0.999)))/IF(Other!G$128&gt;0,Other!G$128,0.8)))</f>
        <v>#DIV/0!</v>
      </c>
      <c r="E175" s="71" t="e">
        <f aca="false">D175</f>
        <v>#DIV/0!</v>
      </c>
    </row>
    <row r="176" customFormat="false" ht="15" hidden="false" customHeight="false" outlineLevel="0" collapsed="false">
      <c r="A176" s="105" t="e">
        <f aca="false">IF(B176="","Unused","key =")</f>
        <v>#DIV/0!</v>
      </c>
      <c r="B176" s="105" t="e">
        <f aca="false">IF(Other!Q184="|",ROUND(Other!N184,0),IF(Other!Q184="V",ROUND(Other!N184,-3),""))</f>
        <v>#DIV/0!</v>
      </c>
      <c r="C176" s="71" t="e">
        <f aca="false">IF(B176="","",IF(B177="",0,Other!H184/1000))</f>
        <v>#DIV/0!</v>
      </c>
      <c r="D176" s="71" t="e">
        <f aca="false">IF(C176="","",IF(C176=0,0,-(C176*1.001-C176*0.999)/(Other!G184*LN((C176*1.001)/(C176*0.999)))/IF(Other!G$128&gt;0,Other!G$128,0.8)))</f>
        <v>#DIV/0!</v>
      </c>
      <c r="E176" s="71" t="e">
        <f aca="false">D176</f>
        <v>#DIV/0!</v>
      </c>
    </row>
    <row r="177" customFormat="false" ht="15" hidden="false" customHeight="false" outlineLevel="0" collapsed="false">
      <c r="A177" s="105" t="e">
        <f aca="false">IF(B177="","Unused","key =")</f>
        <v>#DIV/0!</v>
      </c>
      <c r="B177" s="105" t="e">
        <f aca="false">IF(Other!Q185="|",ROUND(Other!N185,0),IF(Other!Q185="V",ROUND(Other!N185,-3),""))</f>
        <v>#DIV/0!</v>
      </c>
      <c r="C177" s="71" t="e">
        <f aca="false">IF(B177="","",IF(B178="",0,Other!H185/1000))</f>
        <v>#DIV/0!</v>
      </c>
      <c r="D177" s="71" t="e">
        <f aca="false">IF(C177="","",IF(C177=0,0,-(C177*1.001-C177*0.999)/(Other!G185*LN((C177*1.001)/(C177*0.999)))/IF(Other!G$128&gt;0,Other!G$128,0.8)))</f>
        <v>#DIV/0!</v>
      </c>
      <c r="E177" s="71" t="e">
        <f aca="false">D177</f>
        <v>#DIV/0!</v>
      </c>
    </row>
    <row r="178" customFormat="false" ht="15" hidden="false" customHeight="false" outlineLevel="0" collapsed="false">
      <c r="A178" s="105" t="e">
        <f aca="false">IF(B178="","Unused","key =")</f>
        <v>#DIV/0!</v>
      </c>
      <c r="B178" s="105" t="e">
        <f aca="false">IF(Other!Q186="|",ROUND(Other!N186,0),IF(Other!Q186="V",ROUND(Other!N186,-3),""))</f>
        <v>#DIV/0!</v>
      </c>
      <c r="C178" s="71" t="e">
        <f aca="false">IF(B178="","",IF(B179="",0,Other!H186/1000))</f>
        <v>#DIV/0!</v>
      </c>
      <c r="D178" s="71" t="e">
        <f aca="false">IF(C178="","",IF(C178=0,0,-(C178*1.001-C178*0.999)/(Other!G186*LN((C178*1.001)/(C178*0.999)))/IF(Other!G$128&gt;0,Other!G$128,0.8)))</f>
        <v>#DIV/0!</v>
      </c>
      <c r="E178" s="71" t="e">
        <f aca="false">D178</f>
        <v>#DIV/0!</v>
      </c>
    </row>
    <row r="179" customFormat="false" ht="15" hidden="false" customHeight="false" outlineLevel="0" collapsed="false">
      <c r="A179" s="105" t="e">
        <f aca="false">IF(B179="","Unused","key =")</f>
        <v>#DIV/0!</v>
      </c>
      <c r="B179" s="105" t="e">
        <f aca="false">IF(Other!Q187="|",ROUND(Other!N187,0),IF(Other!Q187="V",ROUND(Other!N187,-3),""))</f>
        <v>#DIV/0!</v>
      </c>
      <c r="C179" s="71" t="e">
        <f aca="false">IF(B179="","",IF(B180="",0,Other!H187/1000))</f>
        <v>#DIV/0!</v>
      </c>
      <c r="D179" s="71" t="e">
        <f aca="false">IF(C179="","",IF(C179=0,0,-(C179*1.001-C179*0.999)/(Other!G187*LN((C179*1.001)/(C179*0.999)))/IF(Other!G$128&gt;0,Other!G$128,0.8)))</f>
        <v>#DIV/0!</v>
      </c>
      <c r="E179" s="71" t="e">
        <f aca="false">D179</f>
        <v>#DIV/0!</v>
      </c>
    </row>
    <row r="180" customFormat="false" ht="15" hidden="false" customHeight="false" outlineLevel="0" collapsed="false">
      <c r="A180" s="105" t="e">
        <f aca="false">IF(B180="","Unused","key =")</f>
        <v>#DIV/0!</v>
      </c>
      <c r="B180" s="105" t="e">
        <f aca="false">IF(Other!Q188="|",ROUND(Other!N188,0),IF(Other!Q188="V",ROUND(Other!N188,-3),""))</f>
        <v>#DIV/0!</v>
      </c>
      <c r="C180" s="71" t="e">
        <f aca="false">IF(B180="","",IF(B181="",0,Other!H188/1000))</f>
        <v>#DIV/0!</v>
      </c>
      <c r="D180" s="71" t="e">
        <f aca="false">IF(C180="","",IF(C180=0,0,-(C180*1.001-C180*0.999)/(Other!G188*LN((C180*1.001)/(C180*0.999)))/IF(Other!G$128&gt;0,Other!G$128,0.8)))</f>
        <v>#DIV/0!</v>
      </c>
      <c r="E180" s="71" t="e">
        <f aca="false">D180</f>
        <v>#DIV/0!</v>
      </c>
    </row>
    <row r="181" customFormat="false" ht="15" hidden="false" customHeight="false" outlineLevel="0" collapsed="false">
      <c r="A181" s="105" t="e">
        <f aca="false">IF(B181="","Unused","key =")</f>
        <v>#DIV/0!</v>
      </c>
      <c r="B181" s="105" t="e">
        <f aca="false">IF(Other!Q189="|",ROUND(Other!N189,0),IF(Other!Q189="V",ROUND(Other!N189,-3),""))</f>
        <v>#DIV/0!</v>
      </c>
      <c r="C181" s="71" t="e">
        <f aca="false">IF(B181="","",IF(B182="",0,Other!H189/1000))</f>
        <v>#DIV/0!</v>
      </c>
      <c r="D181" s="71" t="e">
        <f aca="false">IF(C181="","",IF(C181=0,0,-(C181*1.001-C181*0.999)/(Other!G189*LN((C181*1.001)/(C181*0.999)))/IF(Other!G$128&gt;0,Other!G$128,0.8)))</f>
        <v>#DIV/0!</v>
      </c>
      <c r="E181" s="71" t="e">
        <f aca="false">D181</f>
        <v>#DIV/0!</v>
      </c>
    </row>
    <row r="182" customFormat="false" ht="15" hidden="false" customHeight="false" outlineLevel="0" collapsed="false">
      <c r="A182" s="105" t="e">
        <f aca="false">IF(B182="","Unused","key =")</f>
        <v>#DIV/0!</v>
      </c>
      <c r="B182" s="105" t="e">
        <f aca="false">IF(Other!Q190="|",ROUND(Other!N190,0),IF(Other!Q190="V",ROUND(Other!N190,-3),""))</f>
        <v>#DIV/0!</v>
      </c>
      <c r="C182" s="71" t="e">
        <f aca="false">IF(B182="","",IF(B183="",0,Other!H190/1000))</f>
        <v>#DIV/0!</v>
      </c>
      <c r="D182" s="71" t="e">
        <f aca="false">IF(C182="","",IF(C182=0,0,-(C182*1.001-C182*0.999)/(Other!G190*LN((C182*1.001)/(C182*0.999)))/IF(Other!G$128&gt;0,Other!G$128,0.8)))</f>
        <v>#DIV/0!</v>
      </c>
      <c r="E182" s="71" t="e">
        <f aca="false">D182</f>
        <v>#DIV/0!</v>
      </c>
    </row>
    <row r="183" customFormat="false" ht="15" hidden="false" customHeight="false" outlineLevel="0" collapsed="false">
      <c r="A183" s="105" t="e">
        <f aca="false">IF(B183="","Unused","key =")</f>
        <v>#DIV/0!</v>
      </c>
      <c r="B183" s="105" t="e">
        <f aca="false">IF(Other!Q191="|",ROUND(Other!N191,0),IF(Other!Q191="V",ROUND(Other!N191,-3),""))</f>
        <v>#DIV/0!</v>
      </c>
      <c r="C183" s="71" t="e">
        <f aca="false">IF(B183="","",IF(B184="",0,Other!H191/1000))</f>
        <v>#DIV/0!</v>
      </c>
      <c r="D183" s="71" t="e">
        <f aca="false">IF(C183="","",IF(C183=0,0,-(C183*1.001-C183*0.999)/(Other!G191*LN((C183*1.001)/(C183*0.999)))/IF(Other!G$128&gt;0,Other!G$128,0.8)))</f>
        <v>#DIV/0!</v>
      </c>
      <c r="E183" s="71" t="e">
        <f aca="false">D183</f>
        <v>#DIV/0!</v>
      </c>
    </row>
    <row r="184" customFormat="false" ht="15" hidden="false" customHeight="false" outlineLevel="0" collapsed="false">
      <c r="A184" s="105" t="e">
        <f aca="false">IF(B184="","Unused","key =")</f>
        <v>#DIV/0!</v>
      </c>
      <c r="B184" s="105" t="e">
        <f aca="false">IF(Other!Q192="|",ROUND(Other!N192,0),IF(Other!Q192="V",ROUND(Other!N192,-3),""))</f>
        <v>#DIV/0!</v>
      </c>
      <c r="C184" s="71" t="e">
        <f aca="false">IF(B184="","",IF(B185="",0,Other!H192/1000))</f>
        <v>#DIV/0!</v>
      </c>
      <c r="D184" s="71" t="e">
        <f aca="false">IF(C184="","",IF(C184=0,0,-(C184*1.001-C184*0.999)/(Other!G192*LN((C184*1.001)/(C184*0.999)))/IF(Other!G$128&gt;0,Other!G$128,0.8)))</f>
        <v>#DIV/0!</v>
      </c>
      <c r="E184" s="71" t="e">
        <f aca="false">D184</f>
        <v>#DIV/0!</v>
      </c>
    </row>
    <row r="185" customFormat="false" ht="15" hidden="false" customHeight="false" outlineLevel="0" collapsed="false">
      <c r="A185" s="66" t="s">
        <v>212</v>
      </c>
      <c r="B185" s="69"/>
      <c r="C185" s="69"/>
      <c r="D185" s="69"/>
      <c r="E185" s="69"/>
    </row>
    <row r="186" customFormat="false" ht="15" hidden="false" customHeight="false" outlineLevel="0" collapsed="false">
      <c r="A186" s="65" t="s">
        <v>212</v>
      </c>
      <c r="B186" s="69"/>
      <c r="C186" s="69"/>
      <c r="D186" s="69"/>
      <c r="E186" s="69"/>
    </row>
    <row r="188" customFormat="false" ht="15" hidden="false" customHeight="false" outlineLevel="0" collapsed="false">
      <c r="C188" s="72"/>
      <c r="D188" s="73"/>
      <c r="E188" s="73"/>
    </row>
    <row r="190" customFormat="false" ht="15" hidden="false" customHeight="false" outlineLevel="0" collapsed="false">
      <c r="E190" s="73"/>
    </row>
    <row r="191" customFormat="false" ht="15" hidden="false" customHeight="false" outlineLevel="0" collapsed="false">
      <c r="D191" s="73"/>
      <c r="E191" s="73"/>
    </row>
    <row r="192" customFormat="false" ht="15" hidden="false" customHeight="false" outlineLevel="0" collapsed="false">
      <c r="D192" s="73"/>
      <c r="E192" s="73"/>
    </row>
    <row r="193" customFormat="false" ht="15" hidden="false" customHeight="false" outlineLevel="0" collapsed="false">
      <c r="C193" s="72"/>
      <c r="D193" s="73"/>
      <c r="E193" s="73"/>
    </row>
    <row r="200" customFormat="false" ht="15" hidden="false" customHeight="false" outlineLevel="0" collapsed="false">
      <c r="D200" s="73"/>
      <c r="E200" s="73"/>
    </row>
  </sheetData>
  <mergeCells count="1">
    <mergeCell ref="A1:E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LibreOffice/7.4.2.3$Linux_X86_64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2021-03-13T14:01:24Z</dcterms:created>
  <dc:creator>Robert Braeunig</dc:creator>
  <dc:description/>
  <dc:language>en-US</dc:language>
  <cp:lastModifiedBy/>
  <dcterms:modified xsi:type="dcterms:W3CDTF">2022-10-18T15:49:16Z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