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с долгом" sheetId="1" r:id="rId1"/>
    <sheet name="без долга" sheetId="2" r:id="rId2"/>
    <sheet name="Лист3" sheetId="3" r:id="rId3"/>
  </sheets>
  <calcPr calcId="152511" iterate="1" iterateDelta="1E-4"/>
</workbook>
</file>

<file path=xl/calcChain.xml><?xml version="1.0" encoding="utf-8"?>
<calcChain xmlns="http://schemas.openxmlformats.org/spreadsheetml/2006/main">
  <c r="B69" i="1" l="1"/>
  <c r="B66" i="1"/>
  <c r="B73" i="2"/>
  <c r="B71" i="2"/>
  <c r="B61" i="2"/>
  <c r="B58" i="2"/>
  <c r="B57" i="2"/>
  <c r="B69" i="2"/>
  <c r="B6" i="2" l="1"/>
  <c r="B8" i="2" s="1"/>
  <c r="B34" i="1" l="1"/>
  <c r="B34" i="2"/>
  <c r="D23" i="2"/>
  <c r="E23" i="2"/>
  <c r="F23" i="2"/>
  <c r="G23" i="2"/>
  <c r="C23" i="2"/>
  <c r="D22" i="2"/>
  <c r="E22" i="2"/>
  <c r="F22" i="2"/>
  <c r="G22" i="2"/>
  <c r="C22" i="2"/>
  <c r="G33" i="2"/>
  <c r="C53" i="2" s="1"/>
  <c r="F33" i="2"/>
  <c r="E33" i="2"/>
  <c r="D33" i="2"/>
  <c r="C33" i="2"/>
  <c r="B32" i="2"/>
  <c r="B31" i="2"/>
  <c r="G24" i="2"/>
  <c r="F24" i="2"/>
  <c r="E24" i="2"/>
  <c r="D24" i="2"/>
  <c r="C24" i="2"/>
  <c r="G19" i="2"/>
  <c r="F19" i="2"/>
  <c r="E19" i="2"/>
  <c r="D19" i="2"/>
  <c r="C19" i="2"/>
  <c r="B19" i="2"/>
  <c r="B16" i="2"/>
  <c r="B39" i="2" s="1"/>
  <c r="C14" i="2"/>
  <c r="C16" i="2" s="1"/>
  <c r="C39" i="2" s="1"/>
  <c r="E32" i="2" l="1"/>
  <c r="E58" i="2"/>
  <c r="F26" i="2"/>
  <c r="F32" i="2"/>
  <c r="F58" i="2"/>
  <c r="C32" i="2"/>
  <c r="C58" i="2"/>
  <c r="G32" i="2"/>
  <c r="G58" i="2"/>
  <c r="D32" i="2"/>
  <c r="D58" i="2"/>
  <c r="D26" i="2"/>
  <c r="C26" i="2"/>
  <c r="E26" i="2"/>
  <c r="G26" i="2"/>
  <c r="D14" i="2"/>
  <c r="C27" i="2" l="1"/>
  <c r="C71" i="2" s="1"/>
  <c r="C66" i="1" s="1"/>
  <c r="C68" i="2"/>
  <c r="D27" i="2"/>
  <c r="D68" i="2"/>
  <c r="F27" i="2"/>
  <c r="F71" i="2" s="1"/>
  <c r="F66" i="1" s="1"/>
  <c r="F68" i="2"/>
  <c r="G27" i="2"/>
  <c r="G71" i="2" s="1"/>
  <c r="G66" i="1" s="1"/>
  <c r="G68" i="2"/>
  <c r="F28" i="2"/>
  <c r="E27" i="2"/>
  <c r="E68" i="2"/>
  <c r="E14" i="2"/>
  <c r="D16" i="2"/>
  <c r="D39" i="2" s="1"/>
  <c r="G28" i="2" l="1"/>
  <c r="F31" i="2"/>
  <c r="F57" i="2"/>
  <c r="C28" i="2"/>
  <c r="D71" i="2"/>
  <c r="D66" i="1" s="1"/>
  <c r="D28" i="2"/>
  <c r="E71" i="2"/>
  <c r="E66" i="1" s="1"/>
  <c r="E28" i="2"/>
  <c r="E16" i="2"/>
  <c r="E39" i="2" s="1"/>
  <c r="F14" i="2"/>
  <c r="F37" i="2" l="1"/>
  <c r="F34" i="2"/>
  <c r="G31" i="2"/>
  <c r="G57" i="2"/>
  <c r="E31" i="2"/>
  <c r="E57" i="2"/>
  <c r="C31" i="2"/>
  <c r="C57" i="2"/>
  <c r="D31" i="2"/>
  <c r="D57" i="2"/>
  <c r="F16" i="2"/>
  <c r="F39" i="2" s="1"/>
  <c r="G14" i="2"/>
  <c r="G16" i="2" s="1"/>
  <c r="G39" i="2" s="1"/>
  <c r="D34" i="2" l="1"/>
  <c r="D37" i="2"/>
  <c r="E34" i="2"/>
  <c r="E37" i="2"/>
  <c r="C34" i="2"/>
  <c r="C37" i="2"/>
  <c r="G34" i="2"/>
  <c r="G37" i="2"/>
  <c r="G51" i="2"/>
  <c r="G48" i="2"/>
  <c r="G49" i="2"/>
  <c r="G50" i="2"/>
  <c r="H51" i="2" l="1"/>
  <c r="H48" i="2"/>
  <c r="H50" i="2"/>
  <c r="C50" i="2" s="1"/>
  <c r="H49" i="2"/>
  <c r="H52" i="2"/>
  <c r="F49" i="2"/>
  <c r="F50" i="2"/>
  <c r="F48" i="2"/>
  <c r="D48" i="2"/>
  <c r="E5" i="2"/>
  <c r="E6" i="2" s="1"/>
  <c r="E48" i="2"/>
  <c r="E49" i="2"/>
  <c r="C52" i="2" l="1"/>
  <c r="A53" i="2" s="1"/>
  <c r="G59" i="2" s="1"/>
  <c r="C51" i="2"/>
  <c r="A51" i="2" s="1"/>
  <c r="E59" i="2" s="1"/>
  <c r="C49" i="2"/>
  <c r="D67" i="2"/>
  <c r="C67" i="2"/>
  <c r="C74" i="2" s="1"/>
  <c r="G63" i="2"/>
  <c r="E67" i="2"/>
  <c r="D63" i="2"/>
  <c r="C63" i="2"/>
  <c r="G67" i="2"/>
  <c r="F63" i="2"/>
  <c r="F67" i="2"/>
  <c r="E63" i="2"/>
  <c r="F35" i="2"/>
  <c r="F40" i="2" s="1"/>
  <c r="E35" i="2"/>
  <c r="E40" i="2" s="1"/>
  <c r="G35" i="2"/>
  <c r="G40" i="2" s="1"/>
  <c r="C35" i="2"/>
  <c r="D35" i="2"/>
  <c r="D40" i="2" s="1"/>
  <c r="C48" i="2"/>
  <c r="C19" i="1"/>
  <c r="D19" i="1"/>
  <c r="E19" i="1"/>
  <c r="F19" i="1"/>
  <c r="G19" i="1"/>
  <c r="E69" i="2" l="1"/>
  <c r="E70" i="2" s="1"/>
  <c r="E72" i="2" s="1"/>
  <c r="E60" i="2"/>
  <c r="E43" i="2"/>
  <c r="F43" i="2"/>
  <c r="G41" i="2"/>
  <c r="F42" i="2"/>
  <c r="F44" i="2" s="1"/>
  <c r="E41" i="2"/>
  <c r="D42" i="2"/>
  <c r="D44" i="2" s="1"/>
  <c r="D43" i="2"/>
  <c r="A49" i="2"/>
  <c r="A50" i="2"/>
  <c r="D59" i="2" s="1"/>
  <c r="C42" i="2"/>
  <c r="C44" i="2" s="1"/>
  <c r="C43" i="2"/>
  <c r="F41" i="2"/>
  <c r="E42" i="2"/>
  <c r="E44" i="2" s="1"/>
  <c r="C40" i="2"/>
  <c r="D41" i="2" s="1"/>
  <c r="B36" i="2"/>
  <c r="A52" i="2"/>
  <c r="F59" i="2" s="1"/>
  <c r="G69" i="2"/>
  <c r="G70" i="2" s="1"/>
  <c r="G72" i="2" s="1"/>
  <c r="G60" i="2"/>
  <c r="B11" i="2"/>
  <c r="D60" i="2" l="1"/>
  <c r="D69" i="2"/>
  <c r="D70" i="2" s="1"/>
  <c r="D72" i="2" s="1"/>
  <c r="B43" i="2"/>
  <c r="B42" i="2"/>
  <c r="B44" i="2" s="1"/>
  <c r="F69" i="2"/>
  <c r="F70" i="2" s="1"/>
  <c r="F72" i="2" s="1"/>
  <c r="F60" i="2"/>
  <c r="C59" i="2"/>
  <c r="A54" i="2"/>
  <c r="C35" i="1"/>
  <c r="D35" i="1"/>
  <c r="E35" i="1"/>
  <c r="F35" i="1"/>
  <c r="G35" i="1"/>
  <c r="B35" i="1"/>
  <c r="C40" i="1"/>
  <c r="D40" i="1"/>
  <c r="E40" i="1"/>
  <c r="F40" i="1"/>
  <c r="G40" i="1"/>
  <c r="C60" i="2" l="1"/>
  <c r="C69" i="2"/>
  <c r="C61" i="2"/>
  <c r="D61" i="2" s="1"/>
  <c r="E37" i="1"/>
  <c r="D33" i="1"/>
  <c r="E33" i="1"/>
  <c r="F33" i="1"/>
  <c r="G33" i="1"/>
  <c r="C58" i="1" s="1"/>
  <c r="C33" i="1"/>
  <c r="E32" i="1"/>
  <c r="G32" i="1"/>
  <c r="D22" i="1"/>
  <c r="D65" i="1" s="1"/>
  <c r="E22" i="1"/>
  <c r="E65" i="1" s="1"/>
  <c r="F22" i="1"/>
  <c r="G22" i="1"/>
  <c r="G65" i="1" s="1"/>
  <c r="C22" i="1"/>
  <c r="B11" i="1"/>
  <c r="D20" i="1"/>
  <c r="D32" i="1" s="1"/>
  <c r="E20" i="1"/>
  <c r="F20" i="1"/>
  <c r="F32" i="1" s="1"/>
  <c r="G20" i="1"/>
  <c r="C20" i="1"/>
  <c r="C32" i="1" s="1"/>
  <c r="D18" i="1"/>
  <c r="D21" i="1" s="1"/>
  <c r="E18" i="1"/>
  <c r="E21" i="1" s="1"/>
  <c r="F18" i="1"/>
  <c r="F21" i="1" s="1"/>
  <c r="G18" i="1"/>
  <c r="G21" i="1" s="1"/>
  <c r="C18" i="1"/>
  <c r="C21" i="1" s="1"/>
  <c r="F23" i="1" l="1"/>
  <c r="F62" i="1"/>
  <c r="E23" i="1"/>
  <c r="E62" i="1"/>
  <c r="C23" i="1"/>
  <c r="C62" i="1"/>
  <c r="D23" i="1"/>
  <c r="D62" i="1"/>
  <c r="G23" i="1"/>
  <c r="G24" i="1" s="1"/>
  <c r="G62" i="1"/>
  <c r="F65" i="1"/>
  <c r="F37" i="1"/>
  <c r="C9" i="1"/>
  <c r="G37" i="1"/>
  <c r="D64" i="2"/>
  <c r="C65" i="1"/>
  <c r="C37" i="1"/>
  <c r="E61" i="2"/>
  <c r="E64" i="2"/>
  <c r="E62" i="2"/>
  <c r="D62" i="2"/>
  <c r="B14" i="1"/>
  <c r="B13" i="1" s="1"/>
  <c r="B68" i="1"/>
  <c r="B45" i="1"/>
  <c r="D37" i="1"/>
  <c r="C73" i="2"/>
  <c r="C70" i="2"/>
  <c r="C72" i="2" s="1"/>
  <c r="C75" i="2" s="1"/>
  <c r="C62" i="2"/>
  <c r="C64" i="2"/>
  <c r="F24" i="1"/>
  <c r="F25" i="1" s="1"/>
  <c r="E24" i="1"/>
  <c r="E25" i="1" s="1"/>
  <c r="D24" i="1"/>
  <c r="D25" i="1" s="1"/>
  <c r="G25" i="1"/>
  <c r="G26" i="1" s="1"/>
  <c r="C24" i="1"/>
  <c r="C25" i="1" s="1"/>
  <c r="C26" i="1" s="1"/>
  <c r="D73" i="2" l="1"/>
  <c r="D74" i="2"/>
  <c r="D75" i="2" s="1"/>
  <c r="F61" i="2"/>
  <c r="F62" i="2"/>
  <c r="F64" i="2"/>
  <c r="B38" i="1"/>
  <c r="E38" i="1"/>
  <c r="F38" i="1"/>
  <c r="C38" i="1"/>
  <c r="D38" i="1"/>
  <c r="C14" i="1"/>
  <c r="C13" i="1" s="1"/>
  <c r="D28" i="1" s="1"/>
  <c r="C11" i="1"/>
  <c r="C45" i="1" s="1"/>
  <c r="D9" i="1"/>
  <c r="E26" i="1"/>
  <c r="D26" i="1"/>
  <c r="F26" i="1"/>
  <c r="G31" i="1"/>
  <c r="G34" i="1" s="1"/>
  <c r="C28" i="1"/>
  <c r="E73" i="2" l="1"/>
  <c r="E74" i="2"/>
  <c r="E75" i="2" s="1"/>
  <c r="E9" i="1"/>
  <c r="D11" i="1"/>
  <c r="H57" i="1"/>
  <c r="H56" i="1"/>
  <c r="H54" i="1"/>
  <c r="H53" i="1"/>
  <c r="H55" i="1"/>
  <c r="G62" i="2"/>
  <c r="G64" i="2"/>
  <c r="D27" i="1"/>
  <c r="D31" i="1"/>
  <c r="D34" i="1" s="1"/>
  <c r="F31" i="1"/>
  <c r="F34" i="1" s="1"/>
  <c r="E27" i="1"/>
  <c r="E31" i="1"/>
  <c r="E34" i="1" s="1"/>
  <c r="C27" i="1"/>
  <c r="C31" i="1"/>
  <c r="C34" i="1" s="1"/>
  <c r="D45" i="1" l="1"/>
  <c r="D14" i="1"/>
  <c r="D13" i="1" s="1"/>
  <c r="E28" i="1" s="1"/>
  <c r="D53" i="1"/>
  <c r="B4" i="1"/>
  <c r="E11" i="1"/>
  <c r="F9" i="1"/>
  <c r="G56" i="1"/>
  <c r="G54" i="1"/>
  <c r="G55" i="1"/>
  <c r="G53" i="1"/>
  <c r="F53" i="1"/>
  <c r="F55" i="1"/>
  <c r="F54" i="1"/>
  <c r="E54" i="1"/>
  <c r="E53" i="1"/>
  <c r="F73" i="2"/>
  <c r="F74" i="2"/>
  <c r="F75" i="2" s="1"/>
  <c r="C53" i="1" l="1"/>
  <c r="C57" i="1"/>
  <c r="A58" i="1" s="1"/>
  <c r="G63" i="1" s="1"/>
  <c r="G64" i="1" s="1"/>
  <c r="G67" i="1" s="1"/>
  <c r="F11" i="1"/>
  <c r="G9" i="1"/>
  <c r="G73" i="2"/>
  <c r="G74" i="2"/>
  <c r="G75" i="2" s="1"/>
  <c r="C56" i="1"/>
  <c r="C55" i="1"/>
  <c r="A56" i="1" s="1"/>
  <c r="E63" i="1" s="1"/>
  <c r="E64" i="1" s="1"/>
  <c r="E67" i="1" s="1"/>
  <c r="E45" i="1"/>
  <c r="E14" i="1"/>
  <c r="E13" i="1" s="1"/>
  <c r="F28" i="1" s="1"/>
  <c r="F27" i="1"/>
  <c r="C54" i="1"/>
  <c r="A55" i="1" s="1"/>
  <c r="D63" i="1" s="1"/>
  <c r="D64" i="1" s="1"/>
  <c r="D67" i="1" s="1"/>
  <c r="A57" i="1" l="1"/>
  <c r="F63" i="1" s="1"/>
  <c r="F64" i="1" s="1"/>
  <c r="F67" i="1" s="1"/>
  <c r="F45" i="1"/>
  <c r="G27" i="1"/>
  <c r="F14" i="1"/>
  <c r="F13" i="1" s="1"/>
  <c r="A54" i="1"/>
  <c r="G11" i="1"/>
  <c r="G45" i="1" s="1"/>
  <c r="C63" i="1" l="1"/>
  <c r="A59" i="1"/>
  <c r="G14" i="1"/>
  <c r="G13" i="1" s="1"/>
  <c r="G36" i="1" s="1"/>
  <c r="C64" i="1" l="1"/>
  <c r="C67" i="1" s="1"/>
  <c r="C68" i="1"/>
  <c r="D68" i="1" l="1"/>
  <c r="E68" i="1" l="1"/>
  <c r="F68" i="1" l="1"/>
  <c r="G68" i="1" l="1"/>
  <c r="B36" i="1"/>
  <c r="C36" i="1"/>
  <c r="D36" i="1"/>
  <c r="E36" i="1"/>
  <c r="F36" i="1"/>
  <c r="C39" i="1"/>
  <c r="D39" i="1"/>
  <c r="E39" i="1"/>
  <c r="F39" i="1"/>
  <c r="G39" i="1"/>
  <c r="C41" i="1"/>
  <c r="D41" i="1"/>
  <c r="E41" i="1"/>
  <c r="F41" i="1"/>
  <c r="G41" i="1"/>
  <c r="B42" i="1"/>
  <c r="C42" i="1"/>
  <c r="D42" i="1"/>
  <c r="E42" i="1"/>
  <c r="F42" i="1"/>
  <c r="C43" i="1"/>
  <c r="D43" i="1"/>
  <c r="E43" i="1"/>
  <c r="F43" i="1"/>
  <c r="G43" i="1"/>
  <c r="C46" i="1"/>
  <c r="D46" i="1"/>
  <c r="E46" i="1"/>
  <c r="F46" i="1"/>
  <c r="G46" i="1"/>
  <c r="D47" i="1"/>
  <c r="E47" i="1"/>
  <c r="F47" i="1"/>
  <c r="G47" i="1"/>
  <c r="B48" i="1"/>
  <c r="C48" i="1"/>
  <c r="D48" i="1"/>
  <c r="E48" i="1"/>
  <c r="F48" i="1"/>
  <c r="B49" i="1"/>
  <c r="C49" i="1"/>
  <c r="D49" i="1"/>
  <c r="E49" i="1"/>
  <c r="F49" i="1"/>
  <c r="C69" i="1"/>
  <c r="D69" i="1"/>
  <c r="E69" i="1"/>
  <c r="F69" i="1"/>
  <c r="G69" i="1"/>
  <c r="C70" i="1"/>
  <c r="D70" i="1"/>
  <c r="E70" i="1"/>
  <c r="F70" i="1"/>
  <c r="G70" i="1"/>
  <c r="C71" i="1"/>
  <c r="D71" i="1"/>
  <c r="E71" i="1"/>
  <c r="F71" i="1"/>
  <c r="G71" i="1"/>
  <c r="B72" i="1"/>
  <c r="C72" i="1"/>
  <c r="D72" i="1"/>
  <c r="E72" i="1"/>
  <c r="F72" i="1"/>
  <c r="B73" i="1"/>
  <c r="C73" i="1"/>
  <c r="D73" i="1"/>
  <c r="E73" i="1"/>
  <c r="F73" i="1"/>
</calcChain>
</file>

<file path=xl/comments1.xml><?xml version="1.0" encoding="utf-8"?>
<comments xmlns="http://schemas.openxmlformats.org/spreadsheetml/2006/main">
  <authors>
    <author>Автор</author>
  </authors>
  <commentList>
    <comment ref="B34" authorId="0" shapeId="0">
      <text>
        <r>
          <rPr>
            <b/>
            <sz val="9"/>
            <color indexed="81"/>
            <rFont val="Tahoma"/>
            <family val="2"/>
            <charset val="204"/>
          </rPr>
          <t>Изначальные инвестиции</t>
        </r>
      </text>
    </comment>
    <comment ref="A63" authorId="0" shapeId="0">
      <text>
        <r>
          <rPr>
            <b/>
            <sz val="9"/>
            <color indexed="81"/>
            <rFont val="Tahoma"/>
            <family val="2"/>
            <charset val="204"/>
          </rPr>
          <t>экономическая амортизация, другое обозначение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A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Безрисковая ставка доходности (номинальная, для доллара США) для государственных казначейских обязательств США 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  <charset val="204"/>
          </rPr>
          <t>премии за риск инвестирования в акции с учетом странового риска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  <charset val="204"/>
          </rPr>
          <t>Изначальные инвестиции</t>
        </r>
      </text>
    </comment>
    <comment ref="A63" authorId="0" shapeId="0">
      <text>
        <r>
          <rPr>
            <b/>
            <sz val="9"/>
            <color indexed="81"/>
            <rFont val="Tahoma"/>
            <family val="2"/>
            <charset val="204"/>
          </rPr>
          <t>Ku</t>
        </r>
      </text>
    </comment>
    <comment ref="A69" authorId="0" shapeId="0">
      <text>
        <r>
          <rPr>
            <b/>
            <sz val="9"/>
            <color indexed="81"/>
            <rFont val="Tahoma"/>
            <family val="2"/>
            <charset val="204"/>
          </rPr>
          <t>экономическая амортизация, другое обозначение</t>
        </r>
      </text>
    </comment>
  </commentList>
</comments>
</file>

<file path=xl/sharedStrings.xml><?xml version="1.0" encoding="utf-8"?>
<sst xmlns="http://schemas.openxmlformats.org/spreadsheetml/2006/main" count="214" uniqueCount="98">
  <si>
    <t>Баланс</t>
  </si>
  <si>
    <t xml:space="preserve">Фиксированные активы (брутто) </t>
  </si>
  <si>
    <t>Рабочий капитал</t>
  </si>
  <si>
    <t>Итого Активы</t>
  </si>
  <si>
    <t xml:space="preserve">  - Накопленная амортизация</t>
  </si>
  <si>
    <t>Долг</t>
  </si>
  <si>
    <t>Собственный капитал</t>
  </si>
  <si>
    <t>Итого Обязательства и СК</t>
  </si>
  <si>
    <t>Прибыли и убытки</t>
  </si>
  <si>
    <t>Продажи</t>
  </si>
  <si>
    <t>-</t>
  </si>
  <si>
    <t>себестоимость</t>
  </si>
  <si>
    <t>комм и административные</t>
  </si>
  <si>
    <t>T</t>
  </si>
  <si>
    <t>Ku</t>
  </si>
  <si>
    <t>Kd</t>
  </si>
  <si>
    <t>Себестоимость</t>
  </si>
  <si>
    <t>Общие и административные</t>
  </si>
  <si>
    <t>Амортизация</t>
  </si>
  <si>
    <t>EBIT</t>
  </si>
  <si>
    <t>Процентные платежи</t>
  </si>
  <si>
    <t>Доналогавая прибыль</t>
  </si>
  <si>
    <t>Налог на прибыль</t>
  </si>
  <si>
    <t>NI</t>
  </si>
  <si>
    <t>NOPAT</t>
  </si>
  <si>
    <t>RONA, %</t>
  </si>
  <si>
    <t>ROE, %</t>
  </si>
  <si>
    <t>Показатель</t>
  </si>
  <si>
    <t>FCF</t>
  </si>
  <si>
    <t xml:space="preserve"> - прирост рабочего капитала</t>
  </si>
  <si>
    <t xml:space="preserve"> + амортизация</t>
  </si>
  <si>
    <t>TS</t>
  </si>
  <si>
    <r>
      <t>VTS</t>
    </r>
    <r>
      <rPr>
        <sz val="11"/>
        <color theme="1"/>
        <rFont val="Calibri"/>
        <family val="2"/>
        <charset val="204"/>
        <scheme val="minor"/>
      </rPr>
      <t>t-1</t>
    </r>
  </si>
  <si>
    <t>Ke, %</t>
  </si>
  <si>
    <t>Kd, %</t>
  </si>
  <si>
    <r>
      <t>D</t>
    </r>
    <r>
      <rPr>
        <sz val="11"/>
        <color theme="1"/>
        <rFont val="Calibri"/>
        <family val="2"/>
        <charset val="204"/>
        <scheme val="minor"/>
      </rPr>
      <t>t-1</t>
    </r>
  </si>
  <si>
    <r>
      <t>E</t>
    </r>
    <r>
      <rPr>
        <sz val="11"/>
        <color theme="1"/>
        <rFont val="Calibri"/>
        <family val="2"/>
        <charset val="204"/>
        <scheme val="minor"/>
      </rPr>
      <t>t-1</t>
    </r>
  </si>
  <si>
    <t>WACCt, %</t>
  </si>
  <si>
    <r>
      <rPr>
        <b/>
        <sz val="11"/>
        <color theme="1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t-1</t>
    </r>
  </si>
  <si>
    <t>D/E</t>
  </si>
  <si>
    <r>
      <rPr>
        <b/>
        <sz val="11"/>
        <color theme="1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scheme val="minor"/>
      </rPr>
      <t>fUSD</t>
    </r>
  </si>
  <si>
    <r>
      <t>ERP</t>
    </r>
    <r>
      <rPr>
        <sz val="11"/>
        <color theme="1"/>
        <rFont val="Calibri"/>
        <family val="2"/>
        <charset val="204"/>
        <scheme val="minor"/>
      </rPr>
      <t>US</t>
    </r>
  </si>
  <si>
    <t>S1</t>
  </si>
  <si>
    <t>S2</t>
  </si>
  <si>
    <r>
      <rPr>
        <b/>
        <sz val="11"/>
        <color theme="1"/>
        <rFont val="Calibri"/>
        <family val="2"/>
        <charset val="204"/>
        <scheme val="minor"/>
      </rPr>
      <t>ERP</t>
    </r>
    <r>
      <rPr>
        <sz val="11"/>
        <color theme="1"/>
        <rFont val="Calibri"/>
        <family val="2"/>
        <charset val="204"/>
        <scheme val="minor"/>
      </rPr>
      <t>USrur</t>
    </r>
  </si>
  <si>
    <t>Бета авто ритейл</t>
  </si>
  <si>
    <t>irur</t>
  </si>
  <si>
    <t>iUS</t>
  </si>
  <si>
    <r>
      <t>Ku</t>
    </r>
    <r>
      <rPr>
        <sz val="11"/>
        <color theme="1"/>
        <rFont val="Calibri"/>
        <family val="2"/>
        <charset val="204"/>
        <scheme val="minor"/>
      </rPr>
      <t>US</t>
    </r>
  </si>
  <si>
    <r>
      <rPr>
        <b/>
        <sz val="11"/>
        <color theme="1"/>
        <rFont val="Calibri"/>
        <family val="2"/>
        <charset val="204"/>
        <scheme val="minor"/>
      </rPr>
      <t>Ku</t>
    </r>
    <r>
      <rPr>
        <sz val="11"/>
        <color theme="1"/>
        <rFont val="Calibri"/>
        <family val="2"/>
        <charset val="204"/>
        <scheme val="minor"/>
      </rPr>
      <t>RUR</t>
    </r>
  </si>
  <si>
    <r>
      <t>FA</t>
    </r>
    <r>
      <rPr>
        <sz val="11"/>
        <color theme="1"/>
        <rFont val="Calibri"/>
        <family val="2"/>
        <charset val="204"/>
        <scheme val="minor"/>
      </rPr>
      <t>t-1+</t>
    </r>
    <r>
      <rPr>
        <b/>
        <sz val="11"/>
        <color theme="1"/>
        <rFont val="Calibri"/>
        <family val="2"/>
        <charset val="204"/>
        <scheme val="minor"/>
      </rPr>
      <t>WC</t>
    </r>
    <r>
      <rPr>
        <sz val="11"/>
        <color theme="1"/>
        <rFont val="Calibri"/>
        <family val="2"/>
        <charset val="204"/>
        <scheme val="minor"/>
      </rPr>
      <t>t-1</t>
    </r>
  </si>
  <si>
    <r>
      <t>EVA</t>
    </r>
    <r>
      <rPr>
        <sz val="11"/>
        <color theme="1"/>
        <rFont val="Calibri"/>
        <family val="2"/>
        <charset val="204"/>
        <scheme val="minor"/>
      </rPr>
      <t>t</t>
    </r>
  </si>
  <si>
    <r>
      <t xml:space="preserve">Прирост </t>
    </r>
    <r>
      <rPr>
        <b/>
        <sz val="11"/>
        <color theme="1"/>
        <rFont val="Calibri"/>
        <family val="2"/>
        <charset val="204"/>
        <scheme val="minor"/>
      </rPr>
      <t>EVA</t>
    </r>
  </si>
  <si>
    <r>
      <rPr>
        <b/>
        <sz val="11"/>
        <color theme="1"/>
        <rFont val="Calibri"/>
        <family val="2"/>
        <charset val="204"/>
        <scheme val="minor"/>
      </rPr>
      <t>MVA</t>
    </r>
    <r>
      <rPr>
        <sz val="11"/>
        <color theme="1"/>
        <rFont val="Calibri"/>
        <family val="2"/>
        <charset val="204"/>
        <scheme val="minor"/>
      </rPr>
      <t>t-1</t>
    </r>
  </si>
  <si>
    <r>
      <t>V</t>
    </r>
    <r>
      <rPr>
        <sz val="11"/>
        <color theme="1"/>
        <rFont val="Calibri"/>
        <family val="2"/>
        <charset val="204"/>
        <scheme val="minor"/>
      </rPr>
      <t>t-1</t>
    </r>
  </si>
  <si>
    <t>Фиксированные активы</t>
  </si>
  <si>
    <t>- Накопленная аммортизация</t>
  </si>
  <si>
    <t>Итого активы</t>
  </si>
  <si>
    <t>Итого обязат и СК</t>
  </si>
  <si>
    <t>Общие и админ расохды</t>
  </si>
  <si>
    <t>NI (чистая прибыль)</t>
  </si>
  <si>
    <t>+ Амортзация</t>
  </si>
  <si>
    <t>- Прирост рабочего капитала</t>
  </si>
  <si>
    <t>Ku,%</t>
  </si>
  <si>
    <t>Vo</t>
  </si>
  <si>
    <t>ROEt,%</t>
  </si>
  <si>
    <t>V балансt-1</t>
  </si>
  <si>
    <t>EVAt</t>
  </si>
  <si>
    <t>Прирост EVA</t>
  </si>
  <si>
    <t>Vt-1</t>
  </si>
  <si>
    <t>MVAt-1</t>
  </si>
  <si>
    <t>MVAt-1=Vt-1-Vбалансt-1</t>
  </si>
  <si>
    <t>IRR</t>
  </si>
  <si>
    <t>Расчет по рыночным данным</t>
  </si>
  <si>
    <t>с/с</t>
  </si>
  <si>
    <r>
      <rPr>
        <b/>
        <sz val="11"/>
        <color theme="1"/>
        <rFont val="Calibri"/>
        <family val="2"/>
        <charset val="204"/>
        <scheme val="minor"/>
      </rPr>
      <t>PVDP</t>
    </r>
    <r>
      <rPr>
        <sz val="11"/>
        <color theme="1"/>
        <rFont val="Calibri"/>
        <family val="2"/>
        <charset val="204"/>
        <scheme val="minor"/>
      </rPr>
      <t>t</t>
    </r>
  </si>
  <si>
    <t>Год прогноза</t>
  </si>
  <si>
    <t>←</t>
  </si>
  <si>
    <t>Высвобождение рабочего капитала</t>
  </si>
  <si>
    <t>Всего амортзация</t>
  </si>
  <si>
    <r>
      <rPr>
        <b/>
        <sz val="11"/>
        <color theme="1"/>
        <rFont val="Calibri"/>
        <family val="2"/>
        <charset val="204"/>
        <scheme val="minor"/>
      </rPr>
      <t>NOPAT</t>
    </r>
    <r>
      <rPr>
        <sz val="11"/>
        <color theme="1"/>
        <rFont val="Calibri"/>
        <family val="2"/>
        <charset val="204"/>
        <scheme val="minor"/>
      </rPr>
      <t>t</t>
    </r>
  </si>
  <si>
    <t>Амортизацияt</t>
  </si>
  <si>
    <r>
      <rPr>
        <b/>
        <sz val="11"/>
        <color theme="1"/>
        <rFont val="Calibri"/>
        <family val="2"/>
        <charset val="204"/>
        <scheme val="minor"/>
      </rPr>
      <t>NOPAT</t>
    </r>
    <r>
      <rPr>
        <sz val="11"/>
        <color theme="1"/>
        <rFont val="Calibri"/>
        <family val="2"/>
        <charset val="204"/>
        <scheme val="minor"/>
      </rPr>
      <t>PVDPt</t>
    </r>
  </si>
  <si>
    <r>
      <t>FA</t>
    </r>
    <r>
      <rPr>
        <sz val="11"/>
        <color theme="1"/>
        <rFont val="Calibri"/>
        <family val="2"/>
        <charset val="204"/>
        <scheme val="minor"/>
      </rPr>
      <t>PVDPt-1+</t>
    </r>
    <r>
      <rPr>
        <b/>
        <sz val="11"/>
        <color theme="1"/>
        <rFont val="Calibri"/>
        <family val="2"/>
        <charset val="204"/>
        <scheme val="minor"/>
      </rPr>
      <t>WC</t>
    </r>
    <r>
      <rPr>
        <sz val="11"/>
        <color theme="1"/>
        <rFont val="Calibri"/>
        <family val="2"/>
        <charset val="204"/>
        <scheme val="minor"/>
      </rPr>
      <t>t-1</t>
    </r>
  </si>
  <si>
    <r>
      <t>RONA</t>
    </r>
    <r>
      <rPr>
        <sz val="11"/>
        <color theme="1"/>
        <rFont val="Calibri"/>
        <family val="2"/>
        <charset val="204"/>
        <scheme val="minor"/>
      </rPr>
      <t>PVDPt, %</t>
    </r>
  </si>
  <si>
    <r>
      <rPr>
        <b/>
        <sz val="11"/>
        <color theme="1"/>
        <rFont val="Calibri"/>
        <family val="2"/>
        <charset val="204"/>
        <scheme val="minor"/>
      </rPr>
      <t>COC</t>
    </r>
    <r>
      <rPr>
        <sz val="11"/>
        <color theme="1"/>
        <rFont val="Calibri"/>
        <family val="2"/>
        <charset val="204"/>
        <scheme val="minor"/>
      </rPr>
      <t>t, %</t>
    </r>
  </si>
  <si>
    <r>
      <rPr>
        <b/>
        <sz val="11"/>
        <color theme="1"/>
        <rFont val="Calibri"/>
        <family val="2"/>
        <charset val="204"/>
        <scheme val="minor"/>
      </rPr>
      <t>EVA</t>
    </r>
    <r>
      <rPr>
        <sz val="11"/>
        <color theme="1"/>
        <rFont val="Calibri"/>
        <family val="2"/>
        <charset val="204"/>
        <scheme val="minor"/>
      </rPr>
      <t>PVDPt</t>
    </r>
  </si>
  <si>
    <r>
      <t>ED</t>
    </r>
    <r>
      <rPr>
        <sz val="11"/>
        <color theme="1"/>
        <rFont val="Calibri"/>
        <family val="2"/>
        <charset val="204"/>
        <scheme val="minor"/>
      </rPr>
      <t>t</t>
    </r>
  </si>
  <si>
    <r>
      <t>COC</t>
    </r>
    <r>
      <rPr>
        <sz val="11"/>
        <color theme="1"/>
        <rFont val="Calibri"/>
        <family val="2"/>
        <charset val="204"/>
        <scheme val="minor"/>
      </rPr>
      <t>t, %</t>
    </r>
  </si>
  <si>
    <r>
      <t>EBITDA</t>
    </r>
    <r>
      <rPr>
        <sz val="11"/>
        <color theme="1"/>
        <rFont val="Calibri"/>
        <family val="2"/>
        <charset val="204"/>
        <scheme val="minor"/>
      </rPr>
      <t>t</t>
    </r>
  </si>
  <si>
    <t>Доналогавая прибыль (EBIT)</t>
  </si>
  <si>
    <t>Посленалоговая операционная прибыль</t>
  </si>
  <si>
    <r>
      <t>FA</t>
    </r>
    <r>
      <rPr>
        <sz val="11"/>
        <color theme="1"/>
        <rFont val="Calibri"/>
        <family val="2"/>
        <charset val="204"/>
        <scheme val="minor"/>
      </rPr>
      <t>EDt-1+</t>
    </r>
    <r>
      <rPr>
        <b/>
        <sz val="11"/>
        <color theme="1"/>
        <rFont val="Calibri"/>
        <family val="2"/>
        <charset val="204"/>
        <scheme val="minor"/>
      </rPr>
      <t>WC</t>
    </r>
    <r>
      <rPr>
        <sz val="11"/>
        <color theme="1"/>
        <rFont val="Calibri"/>
        <family val="2"/>
        <charset val="204"/>
        <scheme val="minor"/>
      </rPr>
      <t>t-1</t>
    </r>
  </si>
  <si>
    <t>"Плата за капитал"</t>
  </si>
  <si>
    <r>
      <t>WACC</t>
    </r>
    <r>
      <rPr>
        <sz val="11"/>
        <color theme="1"/>
        <rFont val="Calibri"/>
        <family val="2"/>
        <charset val="204"/>
        <scheme val="minor"/>
      </rPr>
      <t>t</t>
    </r>
  </si>
  <si>
    <r>
      <t>EVA</t>
    </r>
    <r>
      <rPr>
        <sz val="11"/>
        <color theme="1"/>
        <rFont val="Calibri"/>
        <family val="2"/>
        <charset val="204"/>
        <scheme val="minor"/>
      </rPr>
      <t>ED</t>
    </r>
  </si>
  <si>
    <r>
      <t>MVA</t>
    </r>
    <r>
      <rPr>
        <sz val="11"/>
        <color theme="1"/>
        <rFont val="Calibri"/>
        <family val="2"/>
        <charset val="204"/>
        <scheme val="minor"/>
      </rPr>
      <t>EDt-1</t>
    </r>
  </si>
  <si>
    <t>MVAEDt-1(Ku)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</si>
</sst>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5" formatCode="0.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  <font>
      <sz val="9"/>
      <name val="Geneva"/>
    </font>
    <font>
      <sz val="10"/>
      <name val="Arial"/>
      <family val="2"/>
    </font>
    <font>
      <sz val="1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2"/>
      <color indexed="8"/>
      <name val="Calibri"/>
      <family val="2"/>
    </font>
    <font>
      <sz val="11"/>
      <color rgb="FF000000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9" fontId="6" fillId="0" borderId="0" applyFont="0" applyFill="0" applyBorder="0" applyAlignment="0" applyProtection="0"/>
    <xf numFmtId="0" fontId="4" fillId="0" borderId="0"/>
    <xf numFmtId="0" fontId="10" fillId="0" borderId="0"/>
    <xf numFmtId="0" fontId="9" fillId="0" borderId="0"/>
    <xf numFmtId="9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2" fillId="0" borderId="0"/>
    <xf numFmtId="0" fontId="13" fillId="0" borderId="0"/>
  </cellStyleXfs>
  <cellXfs count="39">
    <xf numFmtId="0" fontId="0" fillId="0" borderId="0" xfId="0"/>
    <xf numFmtId="0" fontId="7" fillId="0" borderId="0" xfId="0" applyFont="1"/>
    <xf numFmtId="0" fontId="8" fillId="0" borderId="0" xfId="0" applyFont="1"/>
    <xf numFmtId="9" fontId="0" fillId="0" borderId="0" xfId="0" applyNumberFormat="1"/>
    <xf numFmtId="10" fontId="0" fillId="0" borderId="0" xfId="0" applyNumberFormat="1"/>
    <xf numFmtId="2" fontId="0" fillId="0" borderId="0" xfId="0" applyNumberFormat="1"/>
    <xf numFmtId="1" fontId="0" fillId="0" borderId="0" xfId="0" applyNumberFormat="1"/>
    <xf numFmtId="10" fontId="0" fillId="0" borderId="0" xfId="1" applyNumberFormat="1" applyFont="1"/>
    <xf numFmtId="0" fontId="5" fillId="0" borderId="0" xfId="0" applyFont="1"/>
    <xf numFmtId="0" fontId="4" fillId="0" borderId="0" xfId="0" applyFont="1"/>
    <xf numFmtId="0" fontId="15" fillId="0" borderId="0" xfId="0" applyFont="1"/>
    <xf numFmtId="0" fontId="0" fillId="0" borderId="0" xfId="0" quotePrefix="1"/>
    <xf numFmtId="0" fontId="4" fillId="0" borderId="1" xfId="0" applyFont="1" applyBorder="1"/>
    <xf numFmtId="10" fontId="14" fillId="0" borderId="2" xfId="7" applyNumberFormat="1" applyFont="1" applyBorder="1" applyAlignment="1">
      <alignment wrapText="1" readingOrder="1"/>
    </xf>
    <xf numFmtId="0" fontId="7" fillId="0" borderId="3" xfId="0" applyFont="1" applyBorder="1"/>
    <xf numFmtId="10" fontId="11" fillId="0" borderId="4" xfId="2" applyNumberFormat="1" applyFont="1" applyBorder="1" applyAlignment="1">
      <alignment readingOrder="1"/>
    </xf>
    <xf numFmtId="0" fontId="0" fillId="0" borderId="3" xfId="0" applyBorder="1"/>
    <xf numFmtId="9" fontId="4" fillId="0" borderId="4" xfId="0" applyNumberFormat="1" applyFont="1" applyBorder="1" applyAlignment="1">
      <alignment readingOrder="1"/>
    </xf>
    <xf numFmtId="0" fontId="4" fillId="0" borderId="3" xfId="0" applyFont="1" applyBorder="1"/>
    <xf numFmtId="10" fontId="4" fillId="0" borderId="4" xfId="0" applyNumberFormat="1" applyFont="1" applyBorder="1" applyAlignment="1">
      <alignment readingOrder="1"/>
    </xf>
    <xf numFmtId="2" fontId="4" fillId="0" borderId="4" xfId="8" applyNumberFormat="1" applyFont="1" applyFill="1" applyBorder="1" applyAlignment="1">
      <alignment readingOrder="1"/>
    </xf>
    <xf numFmtId="10" fontId="0" fillId="0" borderId="4" xfId="0" applyNumberFormat="1" applyBorder="1"/>
    <xf numFmtId="0" fontId="4" fillId="0" borderId="5" xfId="0" applyFont="1" applyBorder="1"/>
    <xf numFmtId="10" fontId="0" fillId="0" borderId="6" xfId="1" applyNumberFormat="1" applyFont="1" applyBorder="1"/>
    <xf numFmtId="0" fontId="0" fillId="0" borderId="8" xfId="0" applyBorder="1"/>
    <xf numFmtId="0" fontId="0" fillId="0" borderId="11" xfId="0" applyBorder="1"/>
    <xf numFmtId="0" fontId="2" fillId="0" borderId="0" xfId="0" applyFont="1"/>
    <xf numFmtId="0" fontId="2" fillId="0" borderId="0" xfId="0" applyFont="1" applyAlignment="1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9">
    <cellStyle name="Normal_Sovereign Ratings Summary 11-7-06" xfId="3"/>
    <cellStyle name="Обычный" xfId="0" builtinId="0"/>
    <cellStyle name="Обычный 2" xfId="4"/>
    <cellStyle name="Обычный 3" xfId="2"/>
    <cellStyle name="Обычный 4" xfId="7"/>
    <cellStyle name="Обычный 5" xfId="8"/>
    <cellStyle name="Процентный" xfId="1" builtinId="5"/>
    <cellStyle name="Процентный 2" xfId="6"/>
    <cellStyle name="Процентный 3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5"/>
  <sheetViews>
    <sheetView tabSelected="1" topLeftCell="A4" workbookViewId="0">
      <selection activeCell="B4" sqref="B4"/>
    </sheetView>
  </sheetViews>
  <sheetFormatPr defaultRowHeight="15"/>
  <cols>
    <col min="1" max="1" width="31.7109375" bestFit="1" customWidth="1"/>
    <col min="3" max="7" width="12.5703125" bestFit="1" customWidth="1"/>
  </cols>
  <sheetData>
    <row r="1" spans="1:7">
      <c r="A1" t="s">
        <v>11</v>
      </c>
      <c r="B1" s="3">
        <v>0.4</v>
      </c>
    </row>
    <row r="2" spans="1:7">
      <c r="A2" t="s">
        <v>12</v>
      </c>
      <c r="B2" s="3">
        <v>0.25</v>
      </c>
    </row>
    <row r="3" spans="1:7">
      <c r="A3" t="s">
        <v>13</v>
      </c>
      <c r="B3" s="3">
        <v>0.24</v>
      </c>
    </row>
    <row r="4" spans="1:7">
      <c r="A4" t="s">
        <v>14</v>
      </c>
      <c r="B4" s="4">
        <f>IRR(B34:G34)</f>
        <v>0.17508303618509458</v>
      </c>
    </row>
    <row r="5" spans="1:7">
      <c r="A5" t="s">
        <v>15</v>
      </c>
      <c r="B5" s="3">
        <v>0.08</v>
      </c>
    </row>
    <row r="7" spans="1:7">
      <c r="A7" s="1" t="s">
        <v>0</v>
      </c>
      <c r="B7" s="1">
        <v>0</v>
      </c>
      <c r="C7" s="1">
        <v>1</v>
      </c>
      <c r="D7" s="1">
        <v>2</v>
      </c>
      <c r="E7" s="1">
        <v>3</v>
      </c>
      <c r="F7" s="1">
        <v>4</v>
      </c>
      <c r="G7" s="1">
        <v>5</v>
      </c>
    </row>
    <row r="8" spans="1:7">
      <c r="A8" t="s">
        <v>1</v>
      </c>
      <c r="B8">
        <v>10000</v>
      </c>
      <c r="C8">
        <v>10000</v>
      </c>
      <c r="D8">
        <v>10000</v>
      </c>
      <c r="E8">
        <v>10000</v>
      </c>
      <c r="F8">
        <v>10000</v>
      </c>
      <c r="G8">
        <v>10000</v>
      </c>
    </row>
    <row r="9" spans="1:7">
      <c r="A9" t="s">
        <v>4</v>
      </c>
      <c r="C9">
        <f>C20+B9</f>
        <v>2000</v>
      </c>
      <c r="D9">
        <f t="shared" ref="D9:G9" si="0">D20+C9</f>
        <v>4000</v>
      </c>
      <c r="E9">
        <f t="shared" si="0"/>
        <v>6000</v>
      </c>
      <c r="F9">
        <f t="shared" si="0"/>
        <v>8000</v>
      </c>
      <c r="G9">
        <f t="shared" si="0"/>
        <v>10000</v>
      </c>
    </row>
    <row r="10" spans="1:7">
      <c r="A10" t="s">
        <v>2</v>
      </c>
      <c r="B10">
        <v>2000</v>
      </c>
      <c r="C10">
        <v>2000</v>
      </c>
      <c r="D10">
        <v>2000</v>
      </c>
      <c r="E10">
        <v>2000</v>
      </c>
      <c r="F10">
        <v>2000</v>
      </c>
      <c r="G10">
        <v>0</v>
      </c>
    </row>
    <row r="11" spans="1:7">
      <c r="A11" s="2" t="s">
        <v>3</v>
      </c>
      <c r="B11">
        <f>B8-B9+B10</f>
        <v>12000</v>
      </c>
      <c r="C11">
        <f t="shared" ref="C11:G11" si="1">C8-C9+C10</f>
        <v>10000</v>
      </c>
      <c r="D11">
        <f t="shared" si="1"/>
        <v>8000</v>
      </c>
      <c r="E11">
        <f t="shared" si="1"/>
        <v>6000</v>
      </c>
      <c r="F11">
        <f t="shared" si="1"/>
        <v>4000</v>
      </c>
      <c r="G11">
        <f t="shared" si="1"/>
        <v>0</v>
      </c>
    </row>
    <row r="12" spans="1:7">
      <c r="A12" t="s">
        <v>5</v>
      </c>
      <c r="B12">
        <v>4000</v>
      </c>
      <c r="C12">
        <v>4000</v>
      </c>
      <c r="D12">
        <v>4000</v>
      </c>
      <c r="E12">
        <v>4000</v>
      </c>
      <c r="F12">
        <v>4000</v>
      </c>
      <c r="G12">
        <v>0</v>
      </c>
    </row>
    <row r="13" spans="1:7">
      <c r="A13" t="s">
        <v>6</v>
      </c>
      <c r="B13">
        <f>B14-B12</f>
        <v>8000</v>
      </c>
      <c r="C13">
        <f t="shared" ref="C13:G13" si="2">C14-C12</f>
        <v>6000</v>
      </c>
      <c r="D13">
        <f t="shared" si="2"/>
        <v>4000</v>
      </c>
      <c r="E13">
        <f t="shared" si="2"/>
        <v>2000</v>
      </c>
      <c r="F13">
        <f t="shared" si="2"/>
        <v>0</v>
      </c>
      <c r="G13">
        <f t="shared" si="2"/>
        <v>0</v>
      </c>
    </row>
    <row r="14" spans="1:7">
      <c r="A14" s="2" t="s">
        <v>7</v>
      </c>
      <c r="B14">
        <f>B11</f>
        <v>12000</v>
      </c>
      <c r="C14">
        <f t="shared" ref="C14:G14" si="3">C11</f>
        <v>10000</v>
      </c>
      <c r="D14">
        <f t="shared" si="3"/>
        <v>8000</v>
      </c>
      <c r="E14">
        <f t="shared" si="3"/>
        <v>6000</v>
      </c>
      <c r="F14">
        <f t="shared" si="3"/>
        <v>4000</v>
      </c>
      <c r="G14">
        <f t="shared" si="3"/>
        <v>0</v>
      </c>
    </row>
    <row r="16" spans="1:7">
      <c r="A16" s="1" t="s">
        <v>8</v>
      </c>
      <c r="B16" s="1">
        <v>0</v>
      </c>
      <c r="C16" s="1">
        <v>1</v>
      </c>
      <c r="D16" s="1">
        <v>2</v>
      </c>
      <c r="E16" s="1">
        <v>3</v>
      </c>
      <c r="F16" s="1">
        <v>4</v>
      </c>
      <c r="G16" s="1">
        <v>5</v>
      </c>
    </row>
    <row r="17" spans="1:7">
      <c r="A17" t="s">
        <v>9</v>
      </c>
      <c r="B17" t="s">
        <v>10</v>
      </c>
      <c r="C17">
        <v>11400</v>
      </c>
      <c r="D17">
        <v>11400</v>
      </c>
      <c r="E17">
        <v>11400</v>
      </c>
      <c r="F17">
        <v>11400</v>
      </c>
      <c r="G17">
        <v>11400</v>
      </c>
    </row>
    <row r="18" spans="1:7">
      <c r="A18" t="s">
        <v>16</v>
      </c>
      <c r="B18" t="s">
        <v>10</v>
      </c>
      <c r="C18">
        <f>C17*$B$1</f>
        <v>4560</v>
      </c>
      <c r="D18">
        <f t="shared" ref="D18:G18" si="4">D17*$B$1</f>
        <v>4560</v>
      </c>
      <c r="E18">
        <f t="shared" si="4"/>
        <v>4560</v>
      </c>
      <c r="F18">
        <f t="shared" si="4"/>
        <v>4560</v>
      </c>
      <c r="G18">
        <f t="shared" si="4"/>
        <v>4560</v>
      </c>
    </row>
    <row r="19" spans="1:7">
      <c r="A19" t="s">
        <v>17</v>
      </c>
      <c r="B19" t="s">
        <v>10</v>
      </c>
      <c r="C19" s="6">
        <f>C17*$B$2</f>
        <v>2850</v>
      </c>
      <c r="D19">
        <f t="shared" ref="D19:G19" si="5">D17*$B$2</f>
        <v>2850</v>
      </c>
      <c r="E19">
        <f t="shared" si="5"/>
        <v>2850</v>
      </c>
      <c r="F19">
        <f t="shared" si="5"/>
        <v>2850</v>
      </c>
      <c r="G19">
        <f t="shared" si="5"/>
        <v>2850</v>
      </c>
    </row>
    <row r="20" spans="1:7">
      <c r="A20" t="s">
        <v>18</v>
      </c>
      <c r="B20" t="s">
        <v>10</v>
      </c>
      <c r="C20">
        <f>C8*0.2</f>
        <v>2000</v>
      </c>
      <c r="D20">
        <f t="shared" ref="D20:G20" si="6">D8*0.2</f>
        <v>2000</v>
      </c>
      <c r="E20">
        <f t="shared" si="6"/>
        <v>2000</v>
      </c>
      <c r="F20">
        <f t="shared" si="6"/>
        <v>2000</v>
      </c>
      <c r="G20">
        <f t="shared" si="6"/>
        <v>2000</v>
      </c>
    </row>
    <row r="21" spans="1:7">
      <c r="A21" s="1" t="s">
        <v>19</v>
      </c>
      <c r="B21" t="s">
        <v>10</v>
      </c>
      <c r="C21" s="6">
        <f>C17-C19-C18-C20</f>
        <v>1990</v>
      </c>
      <c r="D21" s="6">
        <f t="shared" ref="D21:G21" si="7">D17-D19-D18-D20</f>
        <v>1990</v>
      </c>
      <c r="E21" s="6">
        <f t="shared" si="7"/>
        <v>1990</v>
      </c>
      <c r="F21" s="6">
        <f t="shared" si="7"/>
        <v>1990</v>
      </c>
      <c r="G21" s="6">
        <f t="shared" si="7"/>
        <v>1990</v>
      </c>
    </row>
    <row r="22" spans="1:7">
      <c r="A22" t="s">
        <v>20</v>
      </c>
      <c r="B22" t="s">
        <v>10</v>
      </c>
      <c r="C22">
        <f>B12*$B$5</f>
        <v>320</v>
      </c>
      <c r="D22">
        <f t="shared" ref="D22:G22" si="8">C12*$B$5</f>
        <v>320</v>
      </c>
      <c r="E22">
        <f t="shared" si="8"/>
        <v>320</v>
      </c>
      <c r="F22">
        <f t="shared" si="8"/>
        <v>320</v>
      </c>
      <c r="G22">
        <f t="shared" si="8"/>
        <v>320</v>
      </c>
    </row>
    <row r="23" spans="1:7">
      <c r="A23" t="s">
        <v>21</v>
      </c>
      <c r="B23" t="s">
        <v>10</v>
      </c>
      <c r="C23" s="6">
        <f>C21-C22</f>
        <v>1670</v>
      </c>
      <c r="D23" s="6">
        <f t="shared" ref="D23:G23" si="9">D21-D22</f>
        <v>1670</v>
      </c>
      <c r="E23" s="6">
        <f t="shared" si="9"/>
        <v>1670</v>
      </c>
      <c r="F23" s="6">
        <f t="shared" si="9"/>
        <v>1670</v>
      </c>
      <c r="G23" s="6">
        <f t="shared" si="9"/>
        <v>1670</v>
      </c>
    </row>
    <row r="24" spans="1:7">
      <c r="A24" t="s">
        <v>22</v>
      </c>
      <c r="B24" t="s">
        <v>10</v>
      </c>
      <c r="C24">
        <f>C23*$B$3</f>
        <v>400.8</v>
      </c>
      <c r="D24">
        <f t="shared" ref="D24:G24" si="10">D23*$B$3</f>
        <v>400.8</v>
      </c>
      <c r="E24">
        <f t="shared" si="10"/>
        <v>400.8</v>
      </c>
      <c r="F24">
        <f t="shared" si="10"/>
        <v>400.8</v>
      </c>
      <c r="G24">
        <f t="shared" si="10"/>
        <v>400.8</v>
      </c>
    </row>
    <row r="25" spans="1:7">
      <c r="A25" s="1" t="s">
        <v>23</v>
      </c>
      <c r="B25" t="s">
        <v>10</v>
      </c>
      <c r="C25" s="6">
        <f>C23-C24</f>
        <v>1269.2</v>
      </c>
      <c r="D25" s="6">
        <f t="shared" ref="D25:G25" si="11">D23-D24</f>
        <v>1269.2</v>
      </c>
      <c r="E25" s="6">
        <f t="shared" si="11"/>
        <v>1269.2</v>
      </c>
      <c r="F25" s="6">
        <f t="shared" si="11"/>
        <v>1269.2</v>
      </c>
      <c r="G25" s="6">
        <f t="shared" si="11"/>
        <v>1269.2</v>
      </c>
    </row>
    <row r="26" spans="1:7">
      <c r="A26" s="1" t="s">
        <v>24</v>
      </c>
      <c r="B26" t="s">
        <v>10</v>
      </c>
      <c r="C26">
        <f>C25+$B$5*B12*(1-$B$3)</f>
        <v>1512.4</v>
      </c>
      <c r="D26">
        <f t="shared" ref="D26:G26" si="12">D25+$B$5*C12*(1-$B$3)</f>
        <v>1512.4</v>
      </c>
      <c r="E26">
        <f t="shared" si="12"/>
        <v>1512.4</v>
      </c>
      <c r="F26">
        <f t="shared" si="12"/>
        <v>1512.4</v>
      </c>
      <c r="G26">
        <f t="shared" si="12"/>
        <v>1512.4</v>
      </c>
    </row>
    <row r="27" spans="1:7">
      <c r="A27" s="1" t="s">
        <v>25</v>
      </c>
      <c r="B27" t="s">
        <v>10</v>
      </c>
      <c r="C27" s="7">
        <f>C26/B11</f>
        <v>0.12603333333333333</v>
      </c>
      <c r="D27" s="7">
        <f t="shared" ref="D27:G27" si="13">D26/C11</f>
        <v>0.15124000000000001</v>
      </c>
      <c r="E27" s="7">
        <f t="shared" si="13"/>
        <v>0.18905000000000002</v>
      </c>
      <c r="F27" s="7">
        <f t="shared" si="13"/>
        <v>0.25206666666666666</v>
      </c>
      <c r="G27" s="7">
        <f t="shared" si="13"/>
        <v>0.37810000000000005</v>
      </c>
    </row>
    <row r="28" spans="1:7">
      <c r="A28" s="1" t="s">
        <v>26</v>
      </c>
      <c r="B28" t="s">
        <v>10</v>
      </c>
      <c r="C28" s="7">
        <f>C25/B13</f>
        <v>0.15865000000000001</v>
      </c>
      <c r="D28" s="7">
        <f t="shared" ref="D28:F28" si="14">D25/C13</f>
        <v>0.21153333333333335</v>
      </c>
      <c r="E28" s="7">
        <f t="shared" si="14"/>
        <v>0.31730000000000003</v>
      </c>
      <c r="F28" s="7">
        <f t="shared" si="14"/>
        <v>0.63460000000000005</v>
      </c>
      <c r="G28" t="s">
        <v>10</v>
      </c>
    </row>
    <row r="30" spans="1:7">
      <c r="A30" s="1" t="s">
        <v>27</v>
      </c>
      <c r="B30" s="1">
        <v>0</v>
      </c>
      <c r="C30" s="1">
        <v>1</v>
      </c>
      <c r="D30" s="1">
        <v>2</v>
      </c>
      <c r="E30" s="1">
        <v>3</v>
      </c>
      <c r="F30" s="1">
        <v>4</v>
      </c>
      <c r="G30" s="1">
        <v>5</v>
      </c>
    </row>
    <row r="31" spans="1:7">
      <c r="A31" s="1" t="s">
        <v>24</v>
      </c>
      <c r="B31" t="s">
        <v>10</v>
      </c>
      <c r="C31">
        <f>C26</f>
        <v>1512.4</v>
      </c>
      <c r="D31">
        <f t="shared" ref="D31:G31" si="15">D26</f>
        <v>1512.4</v>
      </c>
      <c r="E31">
        <f t="shared" si="15"/>
        <v>1512.4</v>
      </c>
      <c r="F31">
        <f t="shared" si="15"/>
        <v>1512.4</v>
      </c>
      <c r="G31">
        <f t="shared" si="15"/>
        <v>1512.4</v>
      </c>
    </row>
    <row r="32" spans="1:7">
      <c r="A32" t="s">
        <v>30</v>
      </c>
      <c r="B32" t="s">
        <v>10</v>
      </c>
      <c r="C32">
        <f>C20</f>
        <v>2000</v>
      </c>
      <c r="D32">
        <f t="shared" ref="D32:G32" si="16">D20</f>
        <v>2000</v>
      </c>
      <c r="E32">
        <f t="shared" si="16"/>
        <v>2000</v>
      </c>
      <c r="F32">
        <f t="shared" si="16"/>
        <v>2000</v>
      </c>
      <c r="G32">
        <f t="shared" si="16"/>
        <v>2000</v>
      </c>
    </row>
    <row r="33" spans="1:7">
      <c r="A33" s="8" t="s">
        <v>29</v>
      </c>
      <c r="B33" t="s">
        <v>10</v>
      </c>
      <c r="C33">
        <f>C10-B10</f>
        <v>0</v>
      </c>
      <c r="D33">
        <f t="shared" ref="D33:G33" si="17">D10-C10</f>
        <v>0</v>
      </c>
      <c r="E33">
        <f t="shared" si="17"/>
        <v>0</v>
      </c>
      <c r="F33">
        <f t="shared" si="17"/>
        <v>0</v>
      </c>
      <c r="G33">
        <f t="shared" si="17"/>
        <v>-2000</v>
      </c>
    </row>
    <row r="34" spans="1:7">
      <c r="A34" s="1" t="s">
        <v>28</v>
      </c>
      <c r="B34">
        <f>-B8-B10</f>
        <v>-12000</v>
      </c>
      <c r="C34">
        <f>C31+C32-C33</f>
        <v>3512.4</v>
      </c>
      <c r="D34">
        <f t="shared" ref="D34:G34" si="18">D31+D32-D33</f>
        <v>3512.4</v>
      </c>
      <c r="E34">
        <f t="shared" si="18"/>
        <v>3512.4</v>
      </c>
      <c r="F34">
        <f t="shared" si="18"/>
        <v>3512.4</v>
      </c>
      <c r="G34">
        <f t="shared" si="18"/>
        <v>5512.4</v>
      </c>
    </row>
    <row r="35" spans="1:7">
      <c r="A35" s="1" t="s">
        <v>35</v>
      </c>
      <c r="B35">
        <f>B12</f>
        <v>4000</v>
      </c>
      <c r="C35">
        <f t="shared" ref="C35:G35" si="19">C12</f>
        <v>4000</v>
      </c>
      <c r="D35">
        <f t="shared" si="19"/>
        <v>4000</v>
      </c>
      <c r="E35">
        <f t="shared" si="19"/>
        <v>4000</v>
      </c>
      <c r="F35">
        <f t="shared" si="19"/>
        <v>4000</v>
      </c>
      <c r="G35">
        <f t="shared" si="19"/>
        <v>0</v>
      </c>
    </row>
    <row r="36" spans="1:7">
      <c r="A36" s="1" t="s">
        <v>36</v>
      </c>
      <c r="B36" s="5">
        <f ca="1">B42-B35</f>
        <v>8394.6998677444426</v>
      </c>
      <c r="C36" s="5">
        <f t="shared" ref="C36:F36" ca="1" si="20">C42-C35</f>
        <v>6902.9721522119198</v>
      </c>
      <c r="D36" s="5">
        <f t="shared" ca="1" si="20"/>
        <v>5162.0389394444228</v>
      </c>
      <c r="E36" s="5">
        <f t="shared" ca="1" si="20"/>
        <v>3130.9244450111109</v>
      </c>
      <c r="F36" s="5">
        <f t="shared" ca="1" si="20"/>
        <v>762.18385257115187</v>
      </c>
      <c r="G36">
        <f t="shared" ref="G36" si="21">G13</f>
        <v>0</v>
      </c>
    </row>
    <row r="37" spans="1:7">
      <c r="A37" s="1" t="s">
        <v>31</v>
      </c>
      <c r="B37" t="s">
        <v>10</v>
      </c>
      <c r="C37">
        <f>C22*$B$3</f>
        <v>76.8</v>
      </c>
      <c r="D37">
        <f>D22*$B$3</f>
        <v>76.8</v>
      </c>
      <c r="E37">
        <f>E22*$B$3</f>
        <v>76.8</v>
      </c>
      <c r="F37">
        <f>F22*$B$3</f>
        <v>76.8</v>
      </c>
      <c r="G37">
        <f>G22*$B$3</f>
        <v>76.8</v>
      </c>
    </row>
    <row r="38" spans="1:7">
      <c r="A38" s="1" t="s">
        <v>32</v>
      </c>
      <c r="B38" s="5">
        <f>G37/(1+$B$5)^G30+F37/(1+$B$5)^F30+E37/(1+$B$5)^E30+D37/(1+$B$5)^D30+C37/(1+$B$5)^C30</f>
        <v>306.64013084759694</v>
      </c>
      <c r="C38" s="5">
        <f>G37/(1+$B$5)^F30+F37/(1+$B$5)^E30+E37/(1+$B$5)^D30+D37/(1+$B$5)^C30</f>
        <v>254.37134131540466</v>
      </c>
      <c r="D38" s="5">
        <f>G37/(1+$B$5)^E30+F37/(1+$B$5)^D30+E37/(1+$B$5)^C30</f>
        <v>197.92104862063707</v>
      </c>
      <c r="E38" s="5">
        <f>G37/(1+$B$5)^D30+F37/(1+$B$5)^C30</f>
        <v>136.95473251028807</v>
      </c>
      <c r="F38" s="5">
        <f>G37/(1+$B$5)^C30</f>
        <v>71.1111111111111</v>
      </c>
      <c r="G38">
        <v>0</v>
      </c>
    </row>
    <row r="39" spans="1:7">
      <c r="A39" s="8" t="s">
        <v>33</v>
      </c>
      <c r="B39" t="s">
        <v>10</v>
      </c>
      <c r="C39" s="4">
        <f ca="1">$B$4+($B$4-C40)*(B35/B36)*(1-B38/B35)</f>
        <v>0.21691608270442783</v>
      </c>
      <c r="D39" s="4">
        <f t="shared" ref="D39:G39" ca="1" si="22">$B$4+($B$4-D40)*(C35/C36)*(1-C38/C35)</f>
        <v>0.22667613803116168</v>
      </c>
      <c r="E39" s="4">
        <f t="shared" ca="1" si="22"/>
        <v>0.24511606281536236</v>
      </c>
      <c r="F39" s="4">
        <f t="shared" ca="1" si="22"/>
        <v>0.29239984769061117</v>
      </c>
      <c r="G39" s="4">
        <f t="shared" ca="1" si="22"/>
        <v>0.66521502091454598</v>
      </c>
    </row>
    <row r="40" spans="1:7">
      <c r="A40" s="8" t="s">
        <v>34</v>
      </c>
      <c r="B40" t="s">
        <v>10</v>
      </c>
      <c r="C40" s="3">
        <f t="shared" ref="C40:F40" si="23">$B$5</f>
        <v>0.08</v>
      </c>
      <c r="D40" s="3">
        <f t="shared" si="23"/>
        <v>0.08</v>
      </c>
      <c r="E40" s="3">
        <f t="shared" si="23"/>
        <v>0.08</v>
      </c>
      <c r="F40" s="3">
        <f t="shared" si="23"/>
        <v>0.08</v>
      </c>
      <c r="G40" s="3">
        <f>$B$5</f>
        <v>0.08</v>
      </c>
    </row>
    <row r="41" spans="1:7">
      <c r="A41" s="1" t="s">
        <v>37</v>
      </c>
      <c r="B41" t="s">
        <v>10</v>
      </c>
      <c r="C41" s="7">
        <f t="shared" ref="C41:F41" ca="1" si="24">B36/(B35+B36)*C39+B35/(B35+B36)*C40*(1-$B$3)</f>
        <v>0.1665345214338079</v>
      </c>
      <c r="D41" s="7">
        <f t="shared" ca="1" si="24"/>
        <v>0.16582075448420477</v>
      </c>
      <c r="E41" s="7">
        <f t="shared" ca="1" si="24"/>
        <v>0.16464661096798172</v>
      </c>
      <c r="F41" s="7">
        <f t="shared" ca="1" si="24"/>
        <v>0.16248690331625787</v>
      </c>
      <c r="G41" s="7">
        <f ca="1">F36/(F35+F36)*G39+F35/(F35+F36)*G40*(1-$B$3)</f>
        <v>0.15753615791708642</v>
      </c>
    </row>
    <row r="42" spans="1:7">
      <c r="A42" s="8" t="s">
        <v>38</v>
      </c>
      <c r="B42">
        <f ca="1">G34/((1+G41)*(1+F41)*(1+E41)*(1+D41)*(1+C41))+F34/((1+G41)*(1+F41)*(1+E41)*(1+D41))+E34/((1+G41)*(1+F41)*(1+E41))+D34/((1+G41)*(1+F41))+C34/(1+G41)</f>
        <v>12394.699867744443</v>
      </c>
      <c r="C42">
        <f ca="1">G34/((1+G41)*(1+F41)*(1+E41)*(1+D41))+F34/((1+G41)*(1+F41)*(1+E41))+E34/((1+G41)*(1+F41))+D34/(1+G41)</f>
        <v>10902.97215221192</v>
      </c>
      <c r="D42">
        <f ca="1">G34/((1+G41)*(1+F41)*(1+E41))+F34/((1+F41)*(1+G41))+E34/(1+G41)</f>
        <v>9162.0389394444228</v>
      </c>
      <c r="E42">
        <f ca="1">G34/((1+G41)*(1+F41))+F34/(1+G41)</f>
        <v>7130.9244450111109</v>
      </c>
      <c r="F42">
        <f ca="1">G34/(1+G41)</f>
        <v>4762.1838525711519</v>
      </c>
      <c r="G42">
        <v>0</v>
      </c>
    </row>
    <row r="43" spans="1:7">
      <c r="A43" s="8" t="s">
        <v>39</v>
      </c>
      <c r="B43" t="s">
        <v>10</v>
      </c>
      <c r="C43" s="5">
        <f ca="1">B35/B36</f>
        <v>0.47649112690371298</v>
      </c>
      <c r="D43" s="5">
        <f t="shared" ref="D43:G43" ca="1" si="25">C35/C36</f>
        <v>0.57946054421185511</v>
      </c>
      <c r="E43" s="5">
        <f t="shared" ca="1" si="25"/>
        <v>0.77488760680106572</v>
      </c>
      <c r="F43" s="5">
        <f t="shared" ca="1" si="25"/>
        <v>1.2775779391207267</v>
      </c>
      <c r="G43" s="5">
        <f t="shared" ca="1" si="25"/>
        <v>5.248077595066329</v>
      </c>
    </row>
    <row r="45" spans="1:7">
      <c r="A45" s="1" t="s">
        <v>50</v>
      </c>
      <c r="B45">
        <f t="shared" ref="B45:G45" si="26">B11</f>
        <v>12000</v>
      </c>
      <c r="C45">
        <f t="shared" si="26"/>
        <v>10000</v>
      </c>
      <c r="D45">
        <f t="shared" si="26"/>
        <v>8000</v>
      </c>
      <c r="E45">
        <f t="shared" si="26"/>
        <v>6000</v>
      </c>
      <c r="F45">
        <f t="shared" si="26"/>
        <v>4000</v>
      </c>
      <c r="G45">
        <f t="shared" si="26"/>
        <v>0</v>
      </c>
    </row>
    <row r="46" spans="1:7">
      <c r="A46" s="1" t="s">
        <v>51</v>
      </c>
      <c r="B46" t="s">
        <v>10</v>
      </c>
      <c r="C46" s="5">
        <f ca="1">C26-C41*B45</f>
        <v>-486.01425720569478</v>
      </c>
      <c r="D46" s="5">
        <f t="shared" ref="D46:G46" ca="1" si="27">D26-D41*C45</f>
        <v>-145.80754484204772</v>
      </c>
      <c r="E46" s="5">
        <f t="shared" ca="1" si="27"/>
        <v>195.22711225614626</v>
      </c>
      <c r="F46" s="5">
        <f t="shared" ca="1" si="27"/>
        <v>537.47858010245284</v>
      </c>
      <c r="G46" s="5">
        <f t="shared" ca="1" si="27"/>
        <v>882.25536833165438</v>
      </c>
    </row>
    <row r="47" spans="1:7">
      <c r="A47" t="s">
        <v>52</v>
      </c>
      <c r="B47" t="s">
        <v>10</v>
      </c>
      <c r="C47" t="s">
        <v>10</v>
      </c>
      <c r="D47" s="5">
        <f ca="1">D46-C46</f>
        <v>340.20671236364706</v>
      </c>
      <c r="E47" s="5">
        <f t="shared" ref="E47:G47" ca="1" si="28">E46-D46</f>
        <v>341.03465709819397</v>
      </c>
      <c r="F47" s="5">
        <f t="shared" ca="1" si="28"/>
        <v>342.25146784630658</v>
      </c>
      <c r="G47" s="5">
        <f t="shared" ca="1" si="28"/>
        <v>344.77678822920154</v>
      </c>
    </row>
    <row r="48" spans="1:7">
      <c r="A48" s="9" t="s">
        <v>53</v>
      </c>
      <c r="B48">
        <f ca="1">G46/((1+G41)*(1+F41)*(1+E41)*(1+D41)*(1+C41))+F46/((1+G41)*(1+F41)*(1+E41)*(1+D41))+E46/((1+G41)*(1+F41)*(1+E41))+D46/((1+G41)*(1+F41))+C46/(1+G41)</f>
        <v>304.47596753175202</v>
      </c>
      <c r="C48">
        <f ca="1">G46/((1+G41)*(1+F41)*(1+E41)*(1+D41))+F46/((1+G41)*(1+F41)*(1+E41))+E46/((1+G41)*(1+F41))+D46/(1+G41)</f>
        <v>844.96755378937223</v>
      </c>
      <c r="D48">
        <f ca="1">G46/((1+G41)*(1+F41)*(1+E41))+F46/((1+F41)*(1+G41))+E46/(1+G41)</f>
        <v>1131.0454431139431</v>
      </c>
      <c r="E48">
        <f ca="1">G46/((1+G41)*(1+F41))+F46/(1+G41)</f>
        <v>1119.9792511926446</v>
      </c>
      <c r="F48">
        <f ca="1">G46/(1+G41)</f>
        <v>762.1838525711521</v>
      </c>
      <c r="G48">
        <v>0</v>
      </c>
    </row>
    <row r="49" spans="1:8">
      <c r="A49" s="1" t="s">
        <v>54</v>
      </c>
      <c r="B49">
        <f ca="1">B45+B48</f>
        <v>12304.475967531753</v>
      </c>
      <c r="C49">
        <f t="shared" ref="C49:F49" ca="1" si="29">C45+C48</f>
        <v>10844.967553789373</v>
      </c>
      <c r="D49">
        <f t="shared" ca="1" si="29"/>
        <v>9131.0454431139424</v>
      </c>
      <c r="E49">
        <f t="shared" ca="1" si="29"/>
        <v>7119.9792511926444</v>
      </c>
      <c r="F49">
        <f t="shared" ca="1" si="29"/>
        <v>4762.1838525711519</v>
      </c>
      <c r="G49">
        <v>0</v>
      </c>
    </row>
    <row r="51" spans="1:8" ht="15" customHeight="1">
      <c r="A51" s="33" t="s">
        <v>75</v>
      </c>
      <c r="B51" s="34" t="s">
        <v>76</v>
      </c>
      <c r="C51" s="35"/>
      <c r="D51" s="35" t="s">
        <v>76</v>
      </c>
      <c r="E51" s="35"/>
      <c r="F51" s="35"/>
      <c r="G51" s="35"/>
      <c r="H51" s="35"/>
    </row>
    <row r="52" spans="1:8" ht="15.75" customHeight="1">
      <c r="A52" s="33"/>
      <c r="B52" s="34"/>
      <c r="C52" s="35"/>
      <c r="D52">
        <v>1</v>
      </c>
      <c r="E52">
        <v>2</v>
      </c>
      <c r="F52">
        <v>3</v>
      </c>
      <c r="G52">
        <v>4</v>
      </c>
      <c r="H52">
        <v>5</v>
      </c>
    </row>
    <row r="53" spans="1:8">
      <c r="B53">
        <v>0</v>
      </c>
      <c r="C53">
        <f>H53/(1+$B$4)^H52+G53/(1+$B$4)^G52+F53/(1+$B$4)^F52+E53/(1+$B$4)^E52+D53/(1+$B$4)^D52</f>
        <v>12000.000000000413</v>
      </c>
      <c r="D53">
        <f>$C$34</f>
        <v>3512.4</v>
      </c>
      <c r="E53">
        <f>$D$34</f>
        <v>3512.4</v>
      </c>
      <c r="F53">
        <f>$E$34</f>
        <v>3512.4</v>
      </c>
      <c r="G53">
        <f t="shared" ref="G53:G55" si="30">$F$34</f>
        <v>3512.4</v>
      </c>
      <c r="H53">
        <f>$G$34</f>
        <v>5512.4</v>
      </c>
    </row>
    <row r="54" spans="1:8">
      <c r="A54" s="5">
        <f>C53-C54</f>
        <v>1411.4035657787936</v>
      </c>
      <c r="B54">
        <v>1</v>
      </c>
      <c r="C54">
        <f>H54/(1+$B$4)^G52+G54/(1+$B$4)^F52+F54/(1+$B$4)^E52+E54/(1+$B$4)^D52</f>
        <v>10588.596434221619</v>
      </c>
      <c r="D54" t="s">
        <v>77</v>
      </c>
      <c r="E54">
        <f>$D$34</f>
        <v>3512.4</v>
      </c>
      <c r="F54">
        <f t="shared" ref="F54:F55" si="31">$E$34</f>
        <v>3512.4</v>
      </c>
      <c r="G54">
        <f t="shared" si="30"/>
        <v>3512.4</v>
      </c>
      <c r="H54">
        <f t="shared" ref="H54:H57" si="32">$G$34</f>
        <v>5512.4</v>
      </c>
    </row>
    <row r="55" spans="1:8">
      <c r="A55" s="5">
        <f t="shared" ref="A55:A58" si="33">C54-C55</f>
        <v>1658.5163873578131</v>
      </c>
      <c r="B55">
        <v>2</v>
      </c>
      <c r="C55">
        <f>H55/(1+$B$4)^F52+G55/(1+$B$4)^E52+F55/(1+$B$4)^D52</f>
        <v>8930.0800468638063</v>
      </c>
      <c r="D55" t="s">
        <v>77</v>
      </c>
      <c r="E55" t="s">
        <v>77</v>
      </c>
      <c r="F55">
        <f t="shared" si="31"/>
        <v>3512.4</v>
      </c>
      <c r="G55">
        <f t="shared" si="30"/>
        <v>3512.4</v>
      </c>
      <c r="H55">
        <f t="shared" si="32"/>
        <v>5512.4</v>
      </c>
    </row>
    <row r="56" spans="1:8">
      <c r="A56" s="5">
        <f t="shared" si="33"/>
        <v>1948.8944720191521</v>
      </c>
      <c r="B56">
        <v>3</v>
      </c>
      <c r="C56">
        <f>H56/(1+$B$4)^E52+G56/(1+$B$4)^D52</f>
        <v>6981.1855748446542</v>
      </c>
      <c r="D56" t="s">
        <v>77</v>
      </c>
      <c r="E56" t="s">
        <v>77</v>
      </c>
      <c r="F56" t="s">
        <v>77</v>
      </c>
      <c r="G56">
        <f>$F$34</f>
        <v>3512.4</v>
      </c>
      <c r="H56">
        <f t="shared" si="32"/>
        <v>5512.4</v>
      </c>
    </row>
    <row r="57" spans="1:8" ht="15.75" thickBot="1">
      <c r="A57" s="5">
        <f t="shared" si="33"/>
        <v>2290.1128333846136</v>
      </c>
      <c r="B57">
        <v>4</v>
      </c>
      <c r="C57">
        <f>H57/(1+$B$4)^D52</f>
        <v>4691.0727414600406</v>
      </c>
      <c r="D57" t="s">
        <v>77</v>
      </c>
      <c r="E57" t="s">
        <v>77</v>
      </c>
      <c r="F57" t="s">
        <v>77</v>
      </c>
      <c r="G57" t="s">
        <v>77</v>
      </c>
      <c r="H57">
        <f t="shared" si="32"/>
        <v>5512.4</v>
      </c>
    </row>
    <row r="58" spans="1:8" ht="15.75" thickBot="1">
      <c r="A58" s="5">
        <f t="shared" si="33"/>
        <v>2691.0727414600406</v>
      </c>
      <c r="B58">
        <v>5</v>
      </c>
      <c r="C58" s="25">
        <f>-G33</f>
        <v>2000</v>
      </c>
      <c r="D58" s="36" t="s">
        <v>78</v>
      </c>
      <c r="E58" s="36"/>
      <c r="F58" s="36"/>
      <c r="G58" s="36"/>
      <c r="H58" s="37"/>
    </row>
    <row r="59" spans="1:8" ht="15.75" thickBot="1">
      <c r="A59" s="24">
        <f>SUM(A54:A58)</f>
        <v>10000.000000000413</v>
      </c>
      <c r="B59" s="31" t="s">
        <v>79</v>
      </c>
      <c r="C59" s="31"/>
      <c r="D59" s="31"/>
      <c r="E59" s="31"/>
      <c r="F59" s="31"/>
      <c r="G59" s="31"/>
      <c r="H59" s="32"/>
    </row>
    <row r="61" spans="1:8">
      <c r="A61" s="1" t="s">
        <v>27</v>
      </c>
      <c r="B61" s="1">
        <v>0</v>
      </c>
      <c r="C61" s="1">
        <v>1</v>
      </c>
      <c r="D61" s="1">
        <v>2</v>
      </c>
      <c r="E61" s="1">
        <v>3</v>
      </c>
      <c r="F61" s="1">
        <v>4</v>
      </c>
      <c r="G61" s="1">
        <v>5</v>
      </c>
    </row>
    <row r="62" spans="1:8">
      <c r="A62" s="1" t="s">
        <v>89</v>
      </c>
      <c r="B62" t="s">
        <v>10</v>
      </c>
      <c r="C62" s="6">
        <f>C21+C20</f>
        <v>3990</v>
      </c>
      <c r="D62" s="6">
        <f t="shared" ref="D62:G62" si="34">D21+D20</f>
        <v>3990</v>
      </c>
      <c r="E62" s="6">
        <f t="shared" si="34"/>
        <v>3990</v>
      </c>
      <c r="F62" s="6">
        <f t="shared" si="34"/>
        <v>3990</v>
      </c>
      <c r="G62" s="6">
        <f t="shared" si="34"/>
        <v>3990</v>
      </c>
    </row>
    <row r="63" spans="1:8">
      <c r="A63" s="1" t="s">
        <v>87</v>
      </c>
      <c r="B63" t="s">
        <v>10</v>
      </c>
      <c r="C63" s="5">
        <f>A54</f>
        <v>1411.4035657787936</v>
      </c>
      <c r="D63" s="5">
        <f>A55</f>
        <v>1658.5163873578131</v>
      </c>
      <c r="E63" s="5">
        <f>A56</f>
        <v>1948.8944720191521</v>
      </c>
      <c r="F63" s="5">
        <f>A57</f>
        <v>2290.1128333846136</v>
      </c>
      <c r="G63" s="5">
        <f>A58</f>
        <v>2691.0727414600406</v>
      </c>
    </row>
    <row r="64" spans="1:8">
      <c r="A64" t="s">
        <v>21</v>
      </c>
      <c r="B64" t="s">
        <v>10</v>
      </c>
      <c r="C64" s="5">
        <f>C62-C63</f>
        <v>2578.5964342212064</v>
      </c>
      <c r="D64" s="5">
        <f t="shared" ref="D64:G64" si="35">D62-D63</f>
        <v>2331.4836126421869</v>
      </c>
      <c r="E64" s="5">
        <f t="shared" si="35"/>
        <v>2041.1055279808479</v>
      </c>
      <c r="F64" s="5">
        <f t="shared" si="35"/>
        <v>1699.8871666153864</v>
      </c>
      <c r="G64" s="5">
        <f t="shared" si="35"/>
        <v>1298.9272585399594</v>
      </c>
    </row>
    <row r="65" spans="1:7">
      <c r="A65" s="26" t="s">
        <v>20</v>
      </c>
      <c r="B65" t="s">
        <v>10</v>
      </c>
      <c r="C65">
        <f>C22</f>
        <v>320</v>
      </c>
      <c r="D65">
        <f t="shared" ref="D65:G65" si="36">D22</f>
        <v>320</v>
      </c>
      <c r="E65">
        <f t="shared" si="36"/>
        <v>320</v>
      </c>
      <c r="F65">
        <f t="shared" si="36"/>
        <v>320</v>
      </c>
      <c r="G65">
        <f t="shared" si="36"/>
        <v>320</v>
      </c>
    </row>
    <row r="66" spans="1:7">
      <c r="A66" s="1" t="s">
        <v>22</v>
      </c>
      <c r="B66" t="str">
        <f>B23</f>
        <v>-</v>
      </c>
      <c r="C66">
        <f>'без долга'!C71</f>
        <v>477.59999999999997</v>
      </c>
      <c r="D66">
        <f>'без долга'!D71</f>
        <v>477.59999999999997</v>
      </c>
      <c r="E66">
        <f>'без долга'!E71</f>
        <v>477.59999999999997</v>
      </c>
      <c r="F66">
        <f>'без долга'!F71</f>
        <v>477.59999999999997</v>
      </c>
      <c r="G66">
        <f>'без долга'!G71</f>
        <v>477.59999999999997</v>
      </c>
    </row>
    <row r="67" spans="1:7">
      <c r="A67" s="26" t="s">
        <v>91</v>
      </c>
      <c r="B67" t="s">
        <v>10</v>
      </c>
      <c r="C67" s="5">
        <f>C64-C66</f>
        <v>2100.9964342212065</v>
      </c>
      <c r="D67" s="5">
        <f>D64-D66</f>
        <v>1853.883612642187</v>
      </c>
      <c r="E67" s="5">
        <f>E64-E66</f>
        <v>1563.505527980848</v>
      </c>
      <c r="F67" s="5">
        <f>F64-F66</f>
        <v>1222.2871666153865</v>
      </c>
      <c r="G67" s="5">
        <f>G64-G66</f>
        <v>821.32725853995953</v>
      </c>
    </row>
    <row r="68" spans="1:7">
      <c r="A68" s="1" t="s">
        <v>92</v>
      </c>
      <c r="B68">
        <f>B9+B11</f>
        <v>12000</v>
      </c>
      <c r="C68" s="5">
        <f>B68-C63+C33</f>
        <v>10588.596434221206</v>
      </c>
      <c r="D68" s="5">
        <f>C68-D63+D33</f>
        <v>8930.0800468633934</v>
      </c>
      <c r="E68" s="5">
        <f>D68-E63+E33</f>
        <v>6981.1855748442413</v>
      </c>
      <c r="F68" s="5">
        <f>E68-F63+F33</f>
        <v>4691.0727414596277</v>
      </c>
      <c r="G68" s="5">
        <f>F68-G63+G33</f>
        <v>-4.1291059460490942E-10</v>
      </c>
    </row>
    <row r="69" spans="1:7">
      <c r="A69" s="1" t="s">
        <v>94</v>
      </c>
      <c r="B69" t="str">
        <f t="shared" ref="B69:G69" si="37">B41</f>
        <v>-</v>
      </c>
      <c r="C69" s="7">
        <f t="shared" ca="1" si="37"/>
        <v>0.1665345214338079</v>
      </c>
      <c r="D69" s="7">
        <f t="shared" ca="1" si="37"/>
        <v>0.16582075448420477</v>
      </c>
      <c r="E69" s="7">
        <f t="shared" ca="1" si="37"/>
        <v>0.16464661096798172</v>
      </c>
      <c r="F69" s="7">
        <f t="shared" ca="1" si="37"/>
        <v>0.16248690331625787</v>
      </c>
      <c r="G69" s="7">
        <f t="shared" ca="1" si="37"/>
        <v>0.15753615791708642</v>
      </c>
    </row>
    <row r="70" spans="1:7">
      <c r="A70" s="1" t="s">
        <v>93</v>
      </c>
      <c r="B70" t="s">
        <v>10</v>
      </c>
      <c r="C70" s="5">
        <f ca="1">B68*C69</f>
        <v>1998.4142572056949</v>
      </c>
      <c r="D70" s="5">
        <f t="shared" ref="D70:G70" ca="1" si="38">C68*D69</f>
        <v>1755.8090496513207</v>
      </c>
      <c r="E70" s="5">
        <f t="shared" ca="1" si="38"/>
        <v>1470.3074153888531</v>
      </c>
      <c r="F70" s="5">
        <f t="shared" ca="1" si="38"/>
        <v>1134.3512255325704</v>
      </c>
      <c r="G70" s="5">
        <f t="shared" ca="1" si="38"/>
        <v>739.01357619912335</v>
      </c>
    </row>
    <row r="71" spans="1:7">
      <c r="A71" s="1" t="s">
        <v>95</v>
      </c>
      <c r="B71" t="s">
        <v>10</v>
      </c>
      <c r="C71" s="5">
        <f ca="1">C67-C70</f>
        <v>102.58217701551166</v>
      </c>
      <c r="D71" s="5">
        <f t="shared" ref="D71:G71" ca="1" si="39">D67-D70</f>
        <v>98.074562990866298</v>
      </c>
      <c r="E71" s="5">
        <f t="shared" ca="1" si="39"/>
        <v>93.198112591994914</v>
      </c>
      <c r="F71" s="5">
        <f t="shared" ca="1" si="39"/>
        <v>87.935941082816043</v>
      </c>
      <c r="G71" s="5">
        <f t="shared" ca="1" si="39"/>
        <v>82.313682340836181</v>
      </c>
    </row>
    <row r="72" spans="1:7">
      <c r="A72" s="1" t="s">
        <v>96</v>
      </c>
      <c r="B72">
        <f ca="1">G71/((1+G69)*(1+F69)*(1+E69)*(1+D69)*(1+C69))+F71/((1+G69)*(1+F69)*(1+E69)*(1+D69))+E71/((1+G69)*(1+F69)*(1+E69))+D71/((1+G69)*(1+F69))+C71/(1+G69)</f>
        <v>307.7257845023201</v>
      </c>
      <c r="C72">
        <f ca="1">G71/((1+G69)*(1+F69)*(1+E69)*(1+D69))+F71/((1+G69)*(1+F69)*(1+E69))+E71/((1+G69)*(1+F69))+D71/(1+G69)</f>
        <v>255.15149501080765</v>
      </c>
      <c r="D72">
        <f ca="1">G71/((1+G69)*(1+F69)*(1+E69))+F71/((1+F69)*(1+G69))+E71/(1+G69)</f>
        <v>198.38763023587779</v>
      </c>
      <c r="E72">
        <f ca="1">G71/((1+G69)*(1+F69))+F71/(1+G69)</f>
        <v>137.13973978330986</v>
      </c>
      <c r="F72">
        <f ca="1">G71/(1+G69)</f>
        <v>71.111111111167773</v>
      </c>
      <c r="G72">
        <v>0</v>
      </c>
    </row>
    <row r="73" spans="1:7">
      <c r="A73" s="1" t="s">
        <v>97</v>
      </c>
      <c r="B73">
        <f ca="1">G71/(1+$B$4)^G61+F71/(1+$B$4)^F61+E71/(1+$B$4)^E61+D71/(1+$B$4)^D61+C71/(1+$B$4)^C61</f>
        <v>298.62187548307378</v>
      </c>
      <c r="C73">
        <f ca="1">G71/(1+$B$4)^F61+F71/(1+$B$4)^E61+E71/(1+$B$4)^D61+D71/(1+$B$4)^C61</f>
        <v>248.32332309842593</v>
      </c>
      <c r="D73">
        <f ca="1">G71/(1+$B$4)^E61+F71/(1+$B$4)^D61+E71/(1+$B$4)^C61</f>
        <v>193.7259614712043</v>
      </c>
      <c r="E73">
        <f ca="1">G71/(1+$B$4)^D61+F71/(1+$B$4)^C61</f>
        <v>134.44597840146446</v>
      </c>
      <c r="F73">
        <f ca="1">G71/(1+$B$4)^C61</f>
        <v>70.049247420052481</v>
      </c>
      <c r="G73">
        <v>0</v>
      </c>
    </row>
    <row r="74" spans="1:7">
      <c r="A74" s="26"/>
      <c r="C74" s="30"/>
      <c r="D74" s="30"/>
      <c r="E74" s="30"/>
      <c r="F74" s="30"/>
      <c r="G74" s="30"/>
    </row>
    <row r="75" spans="1:7">
      <c r="A75" s="1"/>
      <c r="C75" s="5"/>
      <c r="D75" s="5"/>
      <c r="E75" s="5"/>
      <c r="F75" s="5"/>
      <c r="G75" s="5"/>
    </row>
  </sheetData>
  <mergeCells count="6">
    <mergeCell ref="B59:H59"/>
    <mergeCell ref="A51:A52"/>
    <mergeCell ref="B51:B52"/>
    <mergeCell ref="C51:C52"/>
    <mergeCell ref="D51:H51"/>
    <mergeCell ref="D58:H58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5"/>
  <sheetViews>
    <sheetView topLeftCell="A53" workbookViewId="0">
      <selection activeCell="D75" sqref="D75"/>
    </sheetView>
  </sheetViews>
  <sheetFormatPr defaultRowHeight="15"/>
  <cols>
    <col min="1" max="1" width="28.5703125" bestFit="1" customWidth="1"/>
    <col min="2" max="2" width="10.28515625" bestFit="1" customWidth="1"/>
  </cols>
  <sheetData>
    <row r="1" spans="1:7">
      <c r="A1" s="38" t="s">
        <v>73</v>
      </c>
      <c r="B1" s="38"/>
    </row>
    <row r="2" spans="1:7">
      <c r="A2" s="12" t="s">
        <v>40</v>
      </c>
      <c r="B2" s="13">
        <v>2.7400000000000001E-2</v>
      </c>
      <c r="D2" t="s">
        <v>74</v>
      </c>
      <c r="E2" s="3">
        <v>0.4</v>
      </c>
    </row>
    <row r="3" spans="1:7">
      <c r="A3" s="14" t="s">
        <v>41</v>
      </c>
      <c r="B3" s="15">
        <v>5.0799999999999998E-2</v>
      </c>
      <c r="D3" t="s">
        <v>12</v>
      </c>
      <c r="E3" s="3">
        <v>0.25</v>
      </c>
    </row>
    <row r="4" spans="1:7">
      <c r="A4" s="16" t="s">
        <v>42</v>
      </c>
      <c r="B4" s="17">
        <v>0.04</v>
      </c>
      <c r="D4" t="s">
        <v>13</v>
      </c>
      <c r="E4" s="3">
        <v>0.24</v>
      </c>
    </row>
    <row r="5" spans="1:7">
      <c r="A5" s="16" t="s">
        <v>43</v>
      </c>
      <c r="B5" s="17">
        <v>0.03</v>
      </c>
      <c r="D5" t="s">
        <v>72</v>
      </c>
      <c r="E5" s="4">
        <f>IRR(B34:G34)</f>
        <v>0.17508303618509458</v>
      </c>
    </row>
    <row r="6" spans="1:7">
      <c r="A6" s="18" t="s">
        <v>44</v>
      </c>
      <c r="B6" s="19">
        <f>B3+B4+B5</f>
        <v>0.12079999999999999</v>
      </c>
      <c r="D6" t="s">
        <v>14</v>
      </c>
      <c r="E6" s="4">
        <f>E5</f>
        <v>0.17508303618509458</v>
      </c>
    </row>
    <row r="7" spans="1:7">
      <c r="A7" s="16" t="s">
        <v>45</v>
      </c>
      <c r="B7" s="20">
        <v>0.95965311099999995</v>
      </c>
    </row>
    <row r="8" spans="1:7">
      <c r="A8" s="14" t="s">
        <v>48</v>
      </c>
      <c r="B8" s="21">
        <f>B2+B7*B6</f>
        <v>0.14332609580879999</v>
      </c>
    </row>
    <row r="9" spans="1:7">
      <c r="A9" s="16" t="s">
        <v>46</v>
      </c>
      <c r="B9" s="21">
        <v>2.52E-2</v>
      </c>
    </row>
    <row r="10" spans="1:7">
      <c r="A10" s="16" t="s">
        <v>47</v>
      </c>
      <c r="B10" s="21">
        <v>2.1700000000000001E-2</v>
      </c>
    </row>
    <row r="11" spans="1:7">
      <c r="A11" s="22" t="s">
        <v>49</v>
      </c>
      <c r="B11" s="23">
        <f>(1+B8)*((1+B9)/(1+B10))-1</f>
        <v>0.1472427458384864</v>
      </c>
    </row>
    <row r="12" spans="1:7" ht="15.75">
      <c r="A12" s="10" t="s">
        <v>0</v>
      </c>
      <c r="B12" s="10">
        <v>0</v>
      </c>
      <c r="C12" s="10">
        <v>1</v>
      </c>
      <c r="D12" s="10">
        <v>2</v>
      </c>
      <c r="E12" s="10">
        <v>3</v>
      </c>
      <c r="F12" s="10">
        <v>4</v>
      </c>
      <c r="G12" s="10">
        <v>5</v>
      </c>
    </row>
    <row r="13" spans="1:7">
      <c r="A13" t="s">
        <v>55</v>
      </c>
      <c r="B13">
        <v>10000</v>
      </c>
      <c r="C13">
        <v>10000</v>
      </c>
      <c r="D13">
        <v>10000</v>
      </c>
      <c r="E13">
        <v>10000</v>
      </c>
      <c r="F13">
        <v>10000</v>
      </c>
      <c r="G13">
        <v>10000</v>
      </c>
    </row>
    <row r="14" spans="1:7">
      <c r="A14" s="11" t="s">
        <v>56</v>
      </c>
      <c r="C14">
        <f>C24</f>
        <v>2000</v>
      </c>
      <c r="D14">
        <f>D24+C14</f>
        <v>4000</v>
      </c>
      <c r="E14">
        <f t="shared" ref="E14:F14" si="0">E24+D14</f>
        <v>6000</v>
      </c>
      <c r="F14">
        <f t="shared" si="0"/>
        <v>8000</v>
      </c>
      <c r="G14">
        <f>G24+F14</f>
        <v>10000</v>
      </c>
    </row>
    <row r="15" spans="1:7">
      <c r="A15" t="s">
        <v>2</v>
      </c>
      <c r="B15">
        <v>2000</v>
      </c>
      <c r="C15">
        <v>2000</v>
      </c>
      <c r="D15">
        <v>2000</v>
      </c>
      <c r="E15">
        <v>2000</v>
      </c>
      <c r="F15">
        <v>2000</v>
      </c>
      <c r="G15">
        <v>0</v>
      </c>
    </row>
    <row r="16" spans="1:7">
      <c r="A16" t="s">
        <v>57</v>
      </c>
      <c r="B16">
        <f>B13-B14+B15</f>
        <v>12000</v>
      </c>
      <c r="C16">
        <f t="shared" ref="C16:G16" si="1">C13-C14+C15</f>
        <v>10000</v>
      </c>
      <c r="D16">
        <f t="shared" si="1"/>
        <v>8000</v>
      </c>
      <c r="E16">
        <f t="shared" si="1"/>
        <v>6000</v>
      </c>
      <c r="F16">
        <f t="shared" si="1"/>
        <v>4000</v>
      </c>
      <c r="G16">
        <f t="shared" si="1"/>
        <v>0</v>
      </c>
    </row>
    <row r="17" spans="1:7">
      <c r="A17" t="s">
        <v>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6</v>
      </c>
      <c r="B18">
        <v>12000</v>
      </c>
      <c r="C18">
        <v>10000</v>
      </c>
      <c r="D18">
        <v>8000</v>
      </c>
      <c r="E18">
        <v>6000</v>
      </c>
      <c r="F18">
        <v>4000</v>
      </c>
      <c r="G18">
        <v>0</v>
      </c>
    </row>
    <row r="19" spans="1:7">
      <c r="A19" t="s">
        <v>58</v>
      </c>
      <c r="B19">
        <f>B17+B18</f>
        <v>12000</v>
      </c>
      <c r="C19">
        <f t="shared" ref="C19:G19" si="2">C17+C18</f>
        <v>10000</v>
      </c>
      <c r="D19">
        <f t="shared" si="2"/>
        <v>8000</v>
      </c>
      <c r="E19">
        <f t="shared" si="2"/>
        <v>6000</v>
      </c>
      <c r="F19">
        <f t="shared" si="2"/>
        <v>4000</v>
      </c>
      <c r="G19">
        <f t="shared" si="2"/>
        <v>0</v>
      </c>
    </row>
    <row r="20" spans="1:7" ht="15.75">
      <c r="A20" s="10" t="s">
        <v>8</v>
      </c>
      <c r="B20" s="10">
        <v>0</v>
      </c>
      <c r="C20" s="10">
        <v>1</v>
      </c>
      <c r="D20" s="10">
        <v>2</v>
      </c>
      <c r="E20" s="10">
        <v>3</v>
      </c>
      <c r="F20" s="10">
        <v>4</v>
      </c>
      <c r="G20" s="10">
        <v>5</v>
      </c>
    </row>
    <row r="21" spans="1:7">
      <c r="A21" t="s">
        <v>9</v>
      </c>
      <c r="B21" t="s">
        <v>10</v>
      </c>
      <c r="C21">
        <v>11400</v>
      </c>
      <c r="D21">
        <v>11400</v>
      </c>
      <c r="E21">
        <v>11400</v>
      </c>
      <c r="F21">
        <v>11400</v>
      </c>
      <c r="G21">
        <v>11400</v>
      </c>
    </row>
    <row r="22" spans="1:7">
      <c r="A22" t="s">
        <v>16</v>
      </c>
      <c r="B22" t="s">
        <v>10</v>
      </c>
      <c r="C22">
        <f>$E$2*C21</f>
        <v>4560</v>
      </c>
      <c r="D22">
        <f>$E$2*D21</f>
        <v>4560</v>
      </c>
      <c r="E22">
        <f>$E$2*E21</f>
        <v>4560</v>
      </c>
      <c r="F22">
        <f>$E$2*F21</f>
        <v>4560</v>
      </c>
      <c r="G22">
        <f>$E$2*G21</f>
        <v>4560</v>
      </c>
    </row>
    <row r="23" spans="1:7">
      <c r="A23" t="s">
        <v>59</v>
      </c>
      <c r="B23" t="s">
        <v>10</v>
      </c>
      <c r="C23">
        <f>$E$3*C21</f>
        <v>2850</v>
      </c>
      <c r="D23">
        <f>$E$3*D21</f>
        <v>2850</v>
      </c>
      <c r="E23">
        <f>$E$3*E21</f>
        <v>2850</v>
      </c>
      <c r="F23">
        <f>$E$3*F21</f>
        <v>2850</v>
      </c>
      <c r="G23">
        <f>$E$3*G21</f>
        <v>2850</v>
      </c>
    </row>
    <row r="24" spans="1:7">
      <c r="A24" t="s">
        <v>18</v>
      </c>
      <c r="B24" t="s">
        <v>10</v>
      </c>
      <c r="C24">
        <f>0.2*C13</f>
        <v>2000</v>
      </c>
      <c r="D24">
        <f t="shared" ref="D24:G24" si="3">0.2*D13</f>
        <v>2000</v>
      </c>
      <c r="E24">
        <f t="shared" si="3"/>
        <v>2000</v>
      </c>
      <c r="F24">
        <f t="shared" si="3"/>
        <v>2000</v>
      </c>
      <c r="G24">
        <f t="shared" si="3"/>
        <v>2000</v>
      </c>
    </row>
    <row r="25" spans="1:7">
      <c r="A25" t="s">
        <v>20</v>
      </c>
      <c r="B25" t="s">
        <v>10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90</v>
      </c>
      <c r="B26" t="s">
        <v>10</v>
      </c>
      <c r="C26">
        <f>C21-C22-C23-C24</f>
        <v>1990</v>
      </c>
      <c r="D26">
        <f t="shared" ref="D26:G26" si="4">D21-D22-D23-D24</f>
        <v>1990</v>
      </c>
      <c r="E26">
        <f t="shared" si="4"/>
        <v>1990</v>
      </c>
      <c r="F26">
        <f t="shared" si="4"/>
        <v>1990</v>
      </c>
      <c r="G26">
        <f t="shared" si="4"/>
        <v>1990</v>
      </c>
    </row>
    <row r="27" spans="1:7">
      <c r="A27" t="s">
        <v>22</v>
      </c>
      <c r="B27" t="s">
        <v>10</v>
      </c>
      <c r="C27">
        <f>C26*$E$4</f>
        <v>477.59999999999997</v>
      </c>
      <c r="D27">
        <f>D26*$E$4</f>
        <v>477.59999999999997</v>
      </c>
      <c r="E27">
        <f>E26*$E$4</f>
        <v>477.59999999999997</v>
      </c>
      <c r="F27">
        <f>F26*$E$4</f>
        <v>477.59999999999997</v>
      </c>
      <c r="G27">
        <f>G26*$E$4</f>
        <v>477.59999999999997</v>
      </c>
    </row>
    <row r="28" spans="1:7">
      <c r="A28" t="s">
        <v>60</v>
      </c>
      <c r="B28" t="s">
        <v>10</v>
      </c>
      <c r="C28">
        <f>C26-C27</f>
        <v>1512.4</v>
      </c>
      <c r="D28">
        <f t="shared" ref="D28:G28" si="5">D26-D27</f>
        <v>1512.4</v>
      </c>
      <c r="E28">
        <f t="shared" si="5"/>
        <v>1512.4</v>
      </c>
      <c r="F28">
        <f t="shared" si="5"/>
        <v>1512.4</v>
      </c>
      <c r="G28">
        <f t="shared" si="5"/>
        <v>1512.4</v>
      </c>
    </row>
    <row r="30" spans="1:7" ht="15.75">
      <c r="A30" s="10" t="s">
        <v>27</v>
      </c>
      <c r="B30" s="10">
        <v>0</v>
      </c>
      <c r="C30" s="10">
        <v>1</v>
      </c>
      <c r="D30" s="10">
        <v>2</v>
      </c>
      <c r="E30" s="10">
        <v>3</v>
      </c>
      <c r="F30" s="10">
        <v>4</v>
      </c>
      <c r="G30" s="10">
        <v>5</v>
      </c>
    </row>
    <row r="31" spans="1:7">
      <c r="A31" t="s">
        <v>60</v>
      </c>
      <c r="B31" t="str">
        <f>B28</f>
        <v>-</v>
      </c>
      <c r="C31">
        <f t="shared" ref="C31:G31" si="6">C28</f>
        <v>1512.4</v>
      </c>
      <c r="D31">
        <f t="shared" si="6"/>
        <v>1512.4</v>
      </c>
      <c r="E31">
        <f t="shared" si="6"/>
        <v>1512.4</v>
      </c>
      <c r="F31">
        <f t="shared" si="6"/>
        <v>1512.4</v>
      </c>
      <c r="G31">
        <f t="shared" si="6"/>
        <v>1512.4</v>
      </c>
    </row>
    <row r="32" spans="1:7">
      <c r="A32" s="11" t="s">
        <v>61</v>
      </c>
      <c r="B32" t="str">
        <f>B24</f>
        <v>-</v>
      </c>
      <c r="C32">
        <f t="shared" ref="C32:G32" si="7">C24</f>
        <v>2000</v>
      </c>
      <c r="D32">
        <f t="shared" si="7"/>
        <v>2000</v>
      </c>
      <c r="E32">
        <f t="shared" si="7"/>
        <v>2000</v>
      </c>
      <c r="F32">
        <f t="shared" si="7"/>
        <v>2000</v>
      </c>
      <c r="G32">
        <f t="shared" si="7"/>
        <v>2000</v>
      </c>
    </row>
    <row r="33" spans="1:8">
      <c r="A33" s="11" t="s">
        <v>62</v>
      </c>
      <c r="B33" t="s">
        <v>10</v>
      </c>
      <c r="C33">
        <f>C15-B15</f>
        <v>0</v>
      </c>
      <c r="D33">
        <f t="shared" ref="D33:G33" si="8">D15-C15</f>
        <v>0</v>
      </c>
      <c r="E33">
        <f t="shared" si="8"/>
        <v>0</v>
      </c>
      <c r="F33">
        <f t="shared" si="8"/>
        <v>0</v>
      </c>
      <c r="G33">
        <f t="shared" si="8"/>
        <v>-2000</v>
      </c>
    </row>
    <row r="34" spans="1:8">
      <c r="A34" t="s">
        <v>28</v>
      </c>
      <c r="B34">
        <f>-B13-B15</f>
        <v>-12000</v>
      </c>
      <c r="C34">
        <f t="shared" ref="C34:G34" si="9">C31+C32-C33</f>
        <v>3512.4</v>
      </c>
      <c r="D34">
        <f t="shared" si="9"/>
        <v>3512.4</v>
      </c>
      <c r="E34">
        <f t="shared" si="9"/>
        <v>3512.4</v>
      </c>
      <c r="F34">
        <f t="shared" si="9"/>
        <v>3512.4</v>
      </c>
      <c r="G34">
        <f t="shared" si="9"/>
        <v>5512.4</v>
      </c>
    </row>
    <row r="35" spans="1:8">
      <c r="A35" t="s">
        <v>63</v>
      </c>
      <c r="B35" t="s">
        <v>10</v>
      </c>
      <c r="C35" s="4">
        <f>$E$6</f>
        <v>0.17508303618509458</v>
      </c>
      <c r="D35" s="4">
        <f>$E$6</f>
        <v>0.17508303618509458</v>
      </c>
      <c r="E35" s="4">
        <f>$E$6</f>
        <v>0.17508303618509458</v>
      </c>
      <c r="F35" s="4">
        <f>$E$6</f>
        <v>0.17508303618509458</v>
      </c>
      <c r="G35" s="4">
        <f>$E$6</f>
        <v>0.17508303618509458</v>
      </c>
    </row>
    <row r="36" spans="1:8">
      <c r="A36" t="s">
        <v>64</v>
      </c>
      <c r="B36" s="5">
        <f>C34/(1+C35)^C30+D34/(1+D35)^D30+E34/(1+E35)^E30+F34/(1+F35)^F30+G34/(1+G35)^G30</f>
        <v>12000.000000000413</v>
      </c>
    </row>
    <row r="37" spans="1:8">
      <c r="A37" t="s">
        <v>65</v>
      </c>
      <c r="B37" t="s">
        <v>10</v>
      </c>
      <c r="C37" s="4">
        <f>C31/B18</f>
        <v>0.12603333333333333</v>
      </c>
      <c r="D37" s="4">
        <f t="shared" ref="D37:G37" si="10">D31/C18</f>
        <v>0.15124000000000001</v>
      </c>
      <c r="E37" s="4">
        <f t="shared" si="10"/>
        <v>0.18905000000000002</v>
      </c>
      <c r="F37" s="4">
        <f t="shared" si="10"/>
        <v>0.25206666666666666</v>
      </c>
      <c r="G37" s="4">
        <f t="shared" si="10"/>
        <v>0.37810000000000005</v>
      </c>
    </row>
    <row r="39" spans="1:8">
      <c r="A39" t="s">
        <v>66</v>
      </c>
      <c r="B39">
        <f>B16</f>
        <v>12000</v>
      </c>
      <c r="C39">
        <f t="shared" ref="C39:G39" si="11">C16</f>
        <v>10000</v>
      </c>
      <c r="D39">
        <f t="shared" si="11"/>
        <v>8000</v>
      </c>
      <c r="E39">
        <f t="shared" si="11"/>
        <v>6000</v>
      </c>
      <c r="F39">
        <f t="shared" si="11"/>
        <v>4000</v>
      </c>
      <c r="G39">
        <f t="shared" si="11"/>
        <v>0</v>
      </c>
    </row>
    <row r="40" spans="1:8">
      <c r="A40" t="s">
        <v>67</v>
      </c>
      <c r="B40" t="s">
        <v>10</v>
      </c>
      <c r="C40">
        <f>C31-C35*B39</f>
        <v>-588.59643422113504</v>
      </c>
      <c r="D40">
        <f>D31-D35*C39</f>
        <v>-238.4303618509457</v>
      </c>
      <c r="E40">
        <f t="shared" ref="E40:G40" si="12">E31-E35*D39</f>
        <v>111.73571051924341</v>
      </c>
      <c r="F40">
        <f t="shared" si="12"/>
        <v>461.90178288943252</v>
      </c>
      <c r="G40">
        <f t="shared" si="12"/>
        <v>812.06785525962175</v>
      </c>
    </row>
    <row r="41" spans="1:8">
      <c r="A41" t="s">
        <v>68</v>
      </c>
      <c r="B41" t="s">
        <v>10</v>
      </c>
      <c r="C41" t="s">
        <v>10</v>
      </c>
      <c r="D41">
        <f>D40-C40</f>
        <v>350.16607237018934</v>
      </c>
      <c r="E41">
        <f t="shared" ref="E41:G41" si="13">E40-D40</f>
        <v>350.16607237018911</v>
      </c>
      <c r="F41">
        <f t="shared" si="13"/>
        <v>350.16607237018911</v>
      </c>
      <c r="G41">
        <f t="shared" si="13"/>
        <v>350.16607237018923</v>
      </c>
    </row>
    <row r="42" spans="1:8">
      <c r="A42" t="s">
        <v>69</v>
      </c>
      <c r="B42" s="6">
        <f>B39+C40/(1+C35)^1+D40/(1+D35)^2+E40/(1+E35)^3+F40/(1+F35)^4+G40/(1+G35)^5</f>
        <v>12000.000000000411</v>
      </c>
      <c r="C42" s="6">
        <f>C39+D40/(1+D35)^1+E40/(1+E35)^2+F40/(1+F35)^3+G40/(1+G35)^4</f>
        <v>10588.596434221619</v>
      </c>
      <c r="D42" s="6">
        <f>D39+E40/(1+E35)^1+F40/(1+F35)^2+G40/(1+G35)^3</f>
        <v>8930.0800468638063</v>
      </c>
      <c r="E42" s="6">
        <f>E39+F40/(1+F35)^1+G40/(1+G35)^2</f>
        <v>6981.1855748446533</v>
      </c>
      <c r="F42" s="6">
        <f>F39+G40/(1+G35)^1</f>
        <v>4691.0727414600406</v>
      </c>
      <c r="G42" t="s">
        <v>10</v>
      </c>
    </row>
    <row r="43" spans="1:8">
      <c r="A43" t="s">
        <v>70</v>
      </c>
      <c r="B43" s="6">
        <f>C40/(1+C35)^1+D40/(1+D35)^2+E40/(1+E35)^3+F40/(1+F35)^4+G40/(1+G35)^5</f>
        <v>4.1245584725402296E-10</v>
      </c>
      <c r="C43" s="6">
        <f>D40/(1+D35)^1+E40/(1+E35)^2+F40/(1+F35)^3+G40/(1+G35)^4</f>
        <v>588.5964342216198</v>
      </c>
      <c r="D43" s="6">
        <f>E40/(1+E35)^1+F40/(1+F35)^2+G40/(1+G35)^3</f>
        <v>930.08004686380696</v>
      </c>
      <c r="E43" s="6">
        <f>F40/(1+F35)^1+G40/(1+G35)^2</f>
        <v>981.18557484465396</v>
      </c>
      <c r="F43" s="6">
        <f>G40/(1+G35)^1</f>
        <v>691.0727414600409</v>
      </c>
      <c r="G43" t="s">
        <v>10</v>
      </c>
    </row>
    <row r="44" spans="1:8">
      <c r="A44" t="s">
        <v>71</v>
      </c>
      <c r="B44" s="6">
        <f>B42-B39</f>
        <v>4.1109160520136356E-10</v>
      </c>
      <c r="C44" s="6">
        <f t="shared" ref="C44:F44" si="14">C42-C39</f>
        <v>588.59643422161935</v>
      </c>
      <c r="D44" s="6">
        <f t="shared" si="14"/>
        <v>930.08004686380627</v>
      </c>
      <c r="E44" s="6">
        <f t="shared" si="14"/>
        <v>981.18557484465327</v>
      </c>
      <c r="F44" s="6">
        <f t="shared" si="14"/>
        <v>691.07274146004056</v>
      </c>
      <c r="G44" t="s">
        <v>10</v>
      </c>
    </row>
    <row r="46" spans="1:8">
      <c r="A46" s="33" t="s">
        <v>75</v>
      </c>
      <c r="B46" s="34" t="s">
        <v>76</v>
      </c>
      <c r="C46" s="35"/>
      <c r="D46" s="35" t="s">
        <v>76</v>
      </c>
      <c r="E46" s="35"/>
      <c r="F46" s="35"/>
      <c r="G46" s="35"/>
      <c r="H46" s="35"/>
    </row>
    <row r="47" spans="1:8">
      <c r="A47" s="33"/>
      <c r="B47" s="34"/>
      <c r="C47" s="35"/>
      <c r="D47">
        <v>1</v>
      </c>
      <c r="E47">
        <v>2</v>
      </c>
      <c r="F47">
        <v>3</v>
      </c>
      <c r="G47">
        <v>4</v>
      </c>
      <c r="H47">
        <v>5</v>
      </c>
    </row>
    <row r="48" spans="1:8">
      <c r="B48">
        <v>0</v>
      </c>
      <c r="C48">
        <f>H48/(1+$E$6)^H47+G48/(1+$E$6)^G47+F48/(1+$E$6)^F47+E48/(1+$E$6)^E47+D48/(1+$E$6)^D47</f>
        <v>12000.000000000413</v>
      </c>
      <c r="D48">
        <f>$C$34</f>
        <v>3512.4</v>
      </c>
      <c r="E48">
        <f>$D$34</f>
        <v>3512.4</v>
      </c>
      <c r="F48">
        <f>$E$34</f>
        <v>3512.4</v>
      </c>
      <c r="G48">
        <f t="shared" ref="G48:G50" si="15">$F$34</f>
        <v>3512.4</v>
      </c>
      <c r="H48">
        <f>$G$34</f>
        <v>5512.4</v>
      </c>
    </row>
    <row r="49" spans="1:8">
      <c r="A49" s="5">
        <f>C48-C49</f>
        <v>1411.4035657787936</v>
      </c>
      <c r="B49">
        <v>1</v>
      </c>
      <c r="C49">
        <f>H49/(1+$E$6)^G47+G49/(1+$E$6)^F47+F49/(1+$E$6)^E47+E49/(1+$E$6)^D47</f>
        <v>10588.596434221619</v>
      </c>
      <c r="D49" t="s">
        <v>77</v>
      </c>
      <c r="E49">
        <f>$D$34</f>
        <v>3512.4</v>
      </c>
      <c r="F49">
        <f t="shared" ref="F49:F50" si="16">$E$34</f>
        <v>3512.4</v>
      </c>
      <c r="G49">
        <f t="shared" si="15"/>
        <v>3512.4</v>
      </c>
      <c r="H49">
        <f t="shared" ref="H49:H51" si="17">$G$34</f>
        <v>5512.4</v>
      </c>
    </row>
    <row r="50" spans="1:8">
      <c r="A50" s="5">
        <f t="shared" ref="A50:A53" si="18">C49-C50</f>
        <v>1658.5163873578131</v>
      </c>
      <c r="B50">
        <v>2</v>
      </c>
      <c r="C50">
        <f>H50/(1+$E$6)^F47+G50/(1+$E$6)^E47+F50/(1+$E$6)^D47</f>
        <v>8930.0800468638063</v>
      </c>
      <c r="D50" t="s">
        <v>77</v>
      </c>
      <c r="E50" t="s">
        <v>77</v>
      </c>
      <c r="F50">
        <f t="shared" si="16"/>
        <v>3512.4</v>
      </c>
      <c r="G50">
        <f t="shared" si="15"/>
        <v>3512.4</v>
      </c>
      <c r="H50">
        <f t="shared" si="17"/>
        <v>5512.4</v>
      </c>
    </row>
    <row r="51" spans="1:8">
      <c r="A51" s="5">
        <f t="shared" si="18"/>
        <v>1948.8944720191521</v>
      </c>
      <c r="B51">
        <v>3</v>
      </c>
      <c r="C51">
        <f>H51/(1+$E$6)^E47+G51/(1+$E$6)^D47</f>
        <v>6981.1855748446542</v>
      </c>
      <c r="D51" t="s">
        <v>77</v>
      </c>
      <c r="E51" t="s">
        <v>77</v>
      </c>
      <c r="F51" t="s">
        <v>77</v>
      </c>
      <c r="G51">
        <f>$F$34</f>
        <v>3512.4</v>
      </c>
      <c r="H51">
        <f t="shared" si="17"/>
        <v>5512.4</v>
      </c>
    </row>
    <row r="52" spans="1:8" ht="15.75" thickBot="1">
      <c r="A52" s="5">
        <f t="shared" si="18"/>
        <v>2290.1128333846136</v>
      </c>
      <c r="B52">
        <v>4</v>
      </c>
      <c r="C52">
        <f>H52/(1+$E$6)^D47</f>
        <v>4691.0727414600406</v>
      </c>
      <c r="D52" t="s">
        <v>77</v>
      </c>
      <c r="E52" t="s">
        <v>77</v>
      </c>
      <c r="F52" t="s">
        <v>77</v>
      </c>
      <c r="G52" t="s">
        <v>77</v>
      </c>
      <c r="H52">
        <f>$G$34</f>
        <v>5512.4</v>
      </c>
    </row>
    <row r="53" spans="1:8" ht="15.75" thickBot="1">
      <c r="A53" s="5">
        <f t="shared" si="18"/>
        <v>2691.0727414600406</v>
      </c>
      <c r="B53">
        <v>5</v>
      </c>
      <c r="C53" s="25">
        <f>-G33</f>
        <v>2000</v>
      </c>
      <c r="D53" s="36" t="s">
        <v>78</v>
      </c>
      <c r="E53" s="36"/>
      <c r="F53" s="36"/>
      <c r="G53" s="36"/>
      <c r="H53" s="37"/>
    </row>
    <row r="54" spans="1:8" ht="15.75" thickBot="1">
      <c r="A54" s="24">
        <f>SUM(A49:A53)</f>
        <v>10000.000000000413</v>
      </c>
      <c r="B54" s="31" t="s">
        <v>79</v>
      </c>
      <c r="C54" s="31"/>
      <c r="D54" s="31"/>
      <c r="E54" s="31"/>
      <c r="F54" s="31"/>
      <c r="G54" s="31"/>
      <c r="H54" s="32"/>
    </row>
    <row r="56" spans="1:8">
      <c r="A56" s="1" t="s">
        <v>27</v>
      </c>
      <c r="B56" s="1">
        <v>0</v>
      </c>
      <c r="C56" s="1">
        <v>1</v>
      </c>
      <c r="D56" s="1">
        <v>2</v>
      </c>
      <c r="E56" s="1">
        <v>3</v>
      </c>
      <c r="F56" s="1">
        <v>4</v>
      </c>
      <c r="G56" s="1">
        <v>5</v>
      </c>
    </row>
    <row r="57" spans="1:8">
      <c r="A57" s="26" t="s">
        <v>80</v>
      </c>
      <c r="B57" t="str">
        <f>B28</f>
        <v>-</v>
      </c>
      <c r="C57">
        <f>C28</f>
        <v>1512.4</v>
      </c>
      <c r="D57">
        <f t="shared" ref="D57:G57" si="19">D28</f>
        <v>1512.4</v>
      </c>
      <c r="E57">
        <f t="shared" si="19"/>
        <v>1512.4</v>
      </c>
      <c r="F57">
        <f t="shared" si="19"/>
        <v>1512.4</v>
      </c>
      <c r="G57">
        <f t="shared" si="19"/>
        <v>1512.4</v>
      </c>
    </row>
    <row r="58" spans="1:8">
      <c r="A58" t="s">
        <v>81</v>
      </c>
      <c r="B58" t="str">
        <f>B24</f>
        <v>-</v>
      </c>
      <c r="C58">
        <f t="shared" ref="C58:G58" si="20">C24</f>
        <v>2000</v>
      </c>
      <c r="D58">
        <f t="shared" si="20"/>
        <v>2000</v>
      </c>
      <c r="E58">
        <f t="shared" si="20"/>
        <v>2000</v>
      </c>
      <c r="F58">
        <f t="shared" si="20"/>
        <v>2000</v>
      </c>
      <c r="G58">
        <f t="shared" si="20"/>
        <v>2000</v>
      </c>
    </row>
    <row r="59" spans="1:8">
      <c r="A59" s="27" t="s">
        <v>75</v>
      </c>
      <c r="B59" t="s">
        <v>10</v>
      </c>
      <c r="C59" s="5">
        <f>A49</f>
        <v>1411.4035657787936</v>
      </c>
      <c r="D59" s="5">
        <f>A50</f>
        <v>1658.5163873578131</v>
      </c>
      <c r="E59" s="5">
        <f>A51</f>
        <v>1948.8944720191521</v>
      </c>
      <c r="F59" s="5">
        <f>A52</f>
        <v>2290.1128333846136</v>
      </c>
      <c r="G59" s="5">
        <f>A53</f>
        <v>2691.0727414600406</v>
      </c>
    </row>
    <row r="60" spans="1:8">
      <c r="A60" s="27" t="s">
        <v>82</v>
      </c>
      <c r="B60" t="s">
        <v>10</v>
      </c>
      <c r="C60" s="5">
        <f>C57+C58-C59</f>
        <v>2100.9964342212065</v>
      </c>
      <c r="D60" s="5">
        <f t="shared" ref="D60:G60" si="21">D57+D58-D59</f>
        <v>1853.883612642187</v>
      </c>
      <c r="E60" s="5">
        <f t="shared" si="21"/>
        <v>1563.505527980848</v>
      </c>
      <c r="F60" s="5">
        <f t="shared" si="21"/>
        <v>1222.2871666153865</v>
      </c>
      <c r="G60" s="5">
        <f t="shared" si="21"/>
        <v>821.32725853995953</v>
      </c>
    </row>
    <row r="61" spans="1:8">
      <c r="A61" s="1" t="s">
        <v>83</v>
      </c>
      <c r="B61">
        <f>B13+B15</f>
        <v>12000</v>
      </c>
      <c r="C61" s="5">
        <f>B61-C59</f>
        <v>10588.596434221206</v>
      </c>
      <c r="D61" s="5">
        <f t="shared" ref="D61:F61" si="22">C61-D59</f>
        <v>8930.0800468633934</v>
      </c>
      <c r="E61" s="5">
        <f>D61-E59</f>
        <v>6981.1855748442413</v>
      </c>
      <c r="F61" s="5">
        <f t="shared" si="22"/>
        <v>4691.0727414596277</v>
      </c>
      <c r="G61" s="5" t="s">
        <v>10</v>
      </c>
    </row>
    <row r="62" spans="1:8">
      <c r="A62" s="1" t="s">
        <v>84</v>
      </c>
      <c r="B62" t="s">
        <v>10</v>
      </c>
      <c r="C62" s="28">
        <f>C60/B61</f>
        <v>0.17508303618510054</v>
      </c>
      <c r="D62" s="28">
        <f t="shared" ref="D62:G62" si="23">D60/C61</f>
        <v>0.17508303618510138</v>
      </c>
      <c r="E62" s="28">
        <f t="shared" si="23"/>
        <v>0.17508303618510279</v>
      </c>
      <c r="F62" s="28">
        <f t="shared" si="23"/>
        <v>0.17508303618510487</v>
      </c>
      <c r="G62" s="28">
        <f t="shared" si="23"/>
        <v>0.17508303618511009</v>
      </c>
    </row>
    <row r="63" spans="1:8">
      <c r="A63" s="26" t="s">
        <v>85</v>
      </c>
      <c r="B63" t="s">
        <v>10</v>
      </c>
      <c r="C63" s="29">
        <f>$E$6</f>
        <v>0.17508303618509458</v>
      </c>
      <c r="D63" s="29">
        <f t="shared" ref="D63:G63" si="24">$E$6</f>
        <v>0.17508303618509458</v>
      </c>
      <c r="E63" s="29">
        <f t="shared" si="24"/>
        <v>0.17508303618509458</v>
      </c>
      <c r="F63" s="29">
        <f t="shared" si="24"/>
        <v>0.17508303618509458</v>
      </c>
      <c r="G63" s="29">
        <f t="shared" si="24"/>
        <v>0.17508303618509458</v>
      </c>
    </row>
    <row r="64" spans="1:8">
      <c r="A64" s="26" t="s">
        <v>86</v>
      </c>
      <c r="B64" t="s">
        <v>10</v>
      </c>
      <c r="C64" s="5">
        <f>C60-B61*C63</f>
        <v>7.1395334089174867E-11</v>
      </c>
      <c r="D64" s="5">
        <f t="shared" ref="D64:G64" si="25">D60-C61*D63</f>
        <v>7.2077455115504563E-11</v>
      </c>
      <c r="E64" s="5">
        <f t="shared" si="25"/>
        <v>7.3441697168163955E-11</v>
      </c>
      <c r="F64" s="5">
        <f t="shared" si="25"/>
        <v>7.1850081440061331E-11</v>
      </c>
      <c r="G64" s="5">
        <f t="shared" si="25"/>
        <v>7.2759576141834259E-11</v>
      </c>
    </row>
    <row r="66" spans="1:7">
      <c r="A66" s="1" t="s">
        <v>27</v>
      </c>
      <c r="B66" s="1">
        <v>0</v>
      </c>
      <c r="C66" s="1">
        <v>1</v>
      </c>
      <c r="D66" s="1">
        <v>2</v>
      </c>
      <c r="E66" s="1">
        <v>3</v>
      </c>
      <c r="F66" s="1">
        <v>4</v>
      </c>
      <c r="G66" s="1">
        <v>5</v>
      </c>
    </row>
    <row r="67" spans="1:7">
      <c r="A67" s="1" t="s">
        <v>88</v>
      </c>
      <c r="B67" t="s">
        <v>10</v>
      </c>
      <c r="C67" s="4">
        <f>$E$6</f>
        <v>0.17508303618509458</v>
      </c>
      <c r="D67" s="4">
        <f t="shared" ref="D67:G67" si="26">$E$6</f>
        <v>0.17508303618509458</v>
      </c>
      <c r="E67" s="4">
        <f t="shared" si="26"/>
        <v>0.17508303618509458</v>
      </c>
      <c r="F67" s="4">
        <f t="shared" si="26"/>
        <v>0.17508303618509458</v>
      </c>
      <c r="G67" s="4">
        <f t="shared" si="26"/>
        <v>0.17508303618509458</v>
      </c>
    </row>
    <row r="68" spans="1:7">
      <c r="A68" s="1" t="s">
        <v>89</v>
      </c>
      <c r="B68" t="s">
        <v>10</v>
      </c>
      <c r="C68">
        <f>C26+C24</f>
        <v>3990</v>
      </c>
      <c r="D68">
        <f t="shared" ref="D68:G68" si="27">D26+D24</f>
        <v>3990</v>
      </c>
      <c r="E68">
        <f t="shared" si="27"/>
        <v>3990</v>
      </c>
      <c r="F68">
        <f t="shared" si="27"/>
        <v>3990</v>
      </c>
      <c r="G68">
        <f t="shared" si="27"/>
        <v>3990</v>
      </c>
    </row>
    <row r="69" spans="1:7">
      <c r="A69" s="1" t="s">
        <v>87</v>
      </c>
      <c r="B69" t="str">
        <f t="shared" ref="B69:G69" si="28">B59</f>
        <v>-</v>
      </c>
      <c r="C69" s="5">
        <f t="shared" si="28"/>
        <v>1411.4035657787936</v>
      </c>
      <c r="D69" s="5">
        <f t="shared" si="28"/>
        <v>1658.5163873578131</v>
      </c>
      <c r="E69" s="5">
        <f t="shared" si="28"/>
        <v>1948.8944720191521</v>
      </c>
      <c r="F69" s="5">
        <f t="shared" si="28"/>
        <v>2290.1128333846136</v>
      </c>
      <c r="G69" s="5">
        <f t="shared" si="28"/>
        <v>2691.0727414600406</v>
      </c>
    </row>
    <row r="70" spans="1:7">
      <c r="A70" t="s">
        <v>21</v>
      </c>
      <c r="B70" t="s">
        <v>10</v>
      </c>
      <c r="C70" s="5">
        <f>C68-C69</f>
        <v>2578.5964342212064</v>
      </c>
      <c r="D70" s="5">
        <f t="shared" ref="D70:G70" si="29">D68-D69</f>
        <v>2331.4836126421869</v>
      </c>
      <c r="E70" s="5">
        <f t="shared" si="29"/>
        <v>2041.1055279808479</v>
      </c>
      <c r="F70" s="5">
        <f t="shared" si="29"/>
        <v>1699.8871666153864</v>
      </c>
      <c r="G70" s="5">
        <f t="shared" si="29"/>
        <v>1298.9272585399594</v>
      </c>
    </row>
    <row r="71" spans="1:7">
      <c r="A71" s="1" t="s">
        <v>22</v>
      </c>
      <c r="B71" t="str">
        <f>B27</f>
        <v>-</v>
      </c>
      <c r="C71">
        <f t="shared" ref="C71:G71" si="30">C27</f>
        <v>477.59999999999997</v>
      </c>
      <c r="D71">
        <f t="shared" si="30"/>
        <v>477.59999999999997</v>
      </c>
      <c r="E71">
        <f t="shared" si="30"/>
        <v>477.59999999999997</v>
      </c>
      <c r="F71">
        <f t="shared" si="30"/>
        <v>477.59999999999997</v>
      </c>
      <c r="G71">
        <f t="shared" si="30"/>
        <v>477.59999999999997</v>
      </c>
    </row>
    <row r="72" spans="1:7">
      <c r="A72" s="26" t="s">
        <v>91</v>
      </c>
      <c r="B72" t="s">
        <v>10</v>
      </c>
      <c r="C72" s="5">
        <f>C70-C71</f>
        <v>2100.9964342212065</v>
      </c>
      <c r="D72" s="5">
        <f t="shared" ref="D72:G72" si="31">D70-D71</f>
        <v>1853.883612642187</v>
      </c>
      <c r="E72" s="5">
        <f t="shared" si="31"/>
        <v>1563.505527980848</v>
      </c>
      <c r="F72" s="5">
        <f t="shared" si="31"/>
        <v>1222.2871666153865</v>
      </c>
      <c r="G72" s="5">
        <f t="shared" si="31"/>
        <v>821.32725853995953</v>
      </c>
    </row>
    <row r="73" spans="1:7">
      <c r="A73" s="1" t="s">
        <v>92</v>
      </c>
      <c r="B73">
        <f>B13+B15</f>
        <v>12000</v>
      </c>
      <c r="C73" s="5">
        <f t="shared" ref="C73:F73" si="32">B73-C69+C33</f>
        <v>10588.596434221206</v>
      </c>
      <c r="D73" s="5">
        <f t="shared" si="32"/>
        <v>8930.0800468633934</v>
      </c>
      <c r="E73" s="5">
        <f t="shared" si="32"/>
        <v>6981.1855748442413</v>
      </c>
      <c r="F73" s="5">
        <f t="shared" si="32"/>
        <v>4691.0727414596277</v>
      </c>
      <c r="G73" s="5">
        <f>F73-G69+G33</f>
        <v>-4.1291059460490942E-10</v>
      </c>
    </row>
    <row r="74" spans="1:7">
      <c r="A74" s="1" t="s">
        <v>93</v>
      </c>
      <c r="B74" t="s">
        <v>10</v>
      </c>
      <c r="C74">
        <f>B73*C67</f>
        <v>2100.9964342211351</v>
      </c>
      <c r="D74">
        <f t="shared" ref="D74:G74" si="33">C73*D67</f>
        <v>1853.8836126421149</v>
      </c>
      <c r="E74">
        <f t="shared" si="33"/>
        <v>1563.5055279807746</v>
      </c>
      <c r="F74">
        <f t="shared" si="33"/>
        <v>1222.2871666153146</v>
      </c>
      <c r="G74">
        <f t="shared" si="33"/>
        <v>821.32725853988677</v>
      </c>
    </row>
    <row r="75" spans="1:7">
      <c r="A75" s="1" t="s">
        <v>51</v>
      </c>
      <c r="B75" t="s">
        <v>10</v>
      </c>
      <c r="C75" s="5">
        <f>C72-C74</f>
        <v>7.1395334089174867E-11</v>
      </c>
      <c r="D75" s="5">
        <f t="shared" ref="D75:G75" si="34">D72-D74</f>
        <v>7.2077455115504563E-11</v>
      </c>
      <c r="E75" s="5">
        <f t="shared" si="34"/>
        <v>7.3441697168163955E-11</v>
      </c>
      <c r="F75" s="5">
        <f t="shared" si="34"/>
        <v>7.1850081440061331E-11</v>
      </c>
      <c r="G75" s="5">
        <f t="shared" si="34"/>
        <v>7.2759576141834259E-11</v>
      </c>
    </row>
  </sheetData>
  <mergeCells count="7">
    <mergeCell ref="D53:H53"/>
    <mergeCell ref="B54:H54"/>
    <mergeCell ref="A1:B1"/>
    <mergeCell ref="A46:A47"/>
    <mergeCell ref="B46:B47"/>
    <mergeCell ref="C46:C47"/>
    <mergeCell ref="D46:H46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 долгом</vt:lpstr>
      <vt:lpstr>без долга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2020-03-13T12:30:52Z</dcterms:modified>
</cp:coreProperties>
</file>