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5"/>
  <workbookPr showInkAnnotation="0"/>
  <mc:AlternateContent xmlns:mc="http://schemas.openxmlformats.org/markup-compatibility/2006">
    <mc:Choice Requires="x15">
      <x15ac:absPath xmlns:x15ac="http://schemas.microsoft.com/office/spreadsheetml/2010/11/ac" url="https://numagroupinc.sharepoint.com/sites/HikerTrailers/Shared Documents/General/"/>
    </mc:Choice>
  </mc:AlternateContent>
  <xr:revisionPtr revIDLastSave="11" documentId="13_ncr:1_{AFF04B3F-5DDB-4DCF-9F8E-4BE600DB05B4}" xr6:coauthVersionLast="47" xr6:coauthVersionMax="47" xr10:uidLastSave="{38509A72-F4CE-480C-99BA-9B33672EC536}"/>
  <bookViews>
    <workbookView xWindow="-120" yWindow="-120" windowWidth="29040" windowHeight="15840" xr2:uid="{0C97DAE7-C29E-4E3F-BA6E-544962C7DAEA}"/>
  </bookViews>
  <sheets>
    <sheet name="INPUT (Quote)" sheetId="3" r:id="rId1"/>
    <sheet name="Contract" sheetId="23" r:id="rId2"/>
    <sheet name="Final Build Sheet" sheetId="24" r:id="rId3"/>
    <sheet name="Bill Of Sale" sheetId="22" r:id="rId4"/>
    <sheet name="Traveler" sheetId="16" r:id="rId5"/>
    <sheet name="Data" sheetId="17" r:id="rId6"/>
  </sheets>
  <definedNames>
    <definedName name="AC_Prep_Price">Data!$LJ$3</definedName>
    <definedName name="Add_Airbags">Data!$JI$14</definedName>
    <definedName name="Add_Bunk_Beds">Data!$DG$16</definedName>
    <definedName name="Add_Stab_Jacks">Data!$JI$13</definedName>
    <definedName name="Airbag_Price">Data!$IU$4</definedName>
    <definedName name="ArkJack_Price">Data!$PX$5</definedName>
    <definedName name="AutowBrake_Message">Data!$JC$8</definedName>
    <definedName name="AutowBrake_Price">Data!$JE$3</definedName>
    <definedName name="Awning_Price">Data!$FR$3:$FT$7</definedName>
    <definedName name="Axel_Chart">Data!$RV$12:$RX$15</definedName>
    <definedName name="Ball_Only">Data!$HR$8</definedName>
    <definedName name="Basic_Light">Data!$OH$3</definedName>
    <definedName name="Battery_List">Data!$LZ$2:$LZ$6</definedName>
    <definedName name="Battery_Location_List">Data!$MF$3:$MF$4</definedName>
    <definedName name="Battery_Location_Price">Data!$MF$2:$MG$4</definedName>
    <definedName name="Battery_Price">Data!$LZ$3:$MB$6</definedName>
    <definedName name="Brakes_Price">Data!$IY$3</definedName>
    <definedName name="Build_Number">Contract!$AC$11</definedName>
    <definedName name="Bunk_Bed_Price">Data!$DI$3</definedName>
    <definedName name="Bunk_Compatible">Data!$CX$17</definedName>
    <definedName name="Cabin_Light_list">Data!$NV$3:$NV$4</definedName>
    <definedName name="Cabin_Light_Price">Data!$NV$3:$NX$4</definedName>
    <definedName name="Cabinet_Door_FrontOnly">Data!$DS$2:$DS$3</definedName>
    <definedName name="Cabinet_Door_Price">Data!$DM$2:$DO$5</definedName>
    <definedName name="Cabinet_Doors_List">Data!$DM$2:$DM$5</definedName>
    <definedName name="Cargo_Pan_Message">Data!$ET$14</definedName>
    <definedName name="Cargo_Pan_Price">Data!$EV$3</definedName>
    <definedName name="Contract_Date">Contract!$AC$8</definedName>
    <definedName name="Custom_Options">Data!$RV$18</definedName>
    <definedName name="Customer_Address_1">'INPUT (Quote)'!$AD$5</definedName>
    <definedName name="Customer_Address_2">'INPUT (Quote)'!$AD$6</definedName>
    <definedName name="Customer_Email">'INPUT (Quote)'!$AD$4</definedName>
    <definedName name="Customer_Name">'INPUT (Quote)'!$AD$2</definedName>
    <definedName name="Customer_Phone">'INPUT (Quote)'!$AD$3</definedName>
    <definedName name="Customer_Provided">Data!$HT$3</definedName>
    <definedName name="Customer_State">'INPUT (Quote)'!$AG$6</definedName>
    <definedName name="Dealer_Fee">Data!$PR$8:$PR$11</definedName>
    <definedName name="Delivery_Type">Data!$RT$2:$RT$5</definedName>
    <definedName name="Door_Bungie_Price">Data!$CB$3</definedName>
    <definedName name="Door_Color_List">Data!$BW$3:$BW$4</definedName>
    <definedName name="DPlate_Color">Data!$AV$2:$AV$4</definedName>
    <definedName name="Drawer_Compatible">Data!$CU$17</definedName>
    <definedName name="Drawer_List">Data!$DA$2:$DA$4</definedName>
    <definedName name="Drawer_Price">Data!$DA$3:$DC$4</definedName>
    <definedName name="DVR_Awning_List">Data!$FX$2:$FX$4</definedName>
    <definedName name="EOR_Price_List">Data!$X$3:$Z$4</definedName>
    <definedName name="EOR_Spare_List">Data!$GQ$25:$GQ$27</definedName>
    <definedName name="EOR_Spare_Price">Data!$HI$3:$HK$4</definedName>
    <definedName name="EOR_Susp_Desc">Data!$GN$25</definedName>
    <definedName name="EOR_Tire_Only">Data!$GQ$26</definedName>
    <definedName name="EOR_Tire_Price">Data!$HK$3</definedName>
    <definedName name="EOR_Toolbox">Data!$JX$3</definedName>
    <definedName name="EOR_Trailer_Size">Data!$X$2:$X$4</definedName>
    <definedName name="EOR_With_Spare_Price">Data!$HI$9:$HJ$9</definedName>
    <definedName name="Exclusive_Option">Data!$JI$15</definedName>
    <definedName name="EXT_Light_List">Data!$OH$2:$OH$5</definedName>
    <definedName name="EXT_Light_Price">Data!$OH$3:$OJ$5</definedName>
    <definedName name="Extreme_OffRoad">Data!$D$6</definedName>
    <definedName name="Fan_Type_List">Data!$LB$3:$LB$5</definedName>
    <definedName name="FB_110_Price">Data!$NL$6</definedName>
    <definedName name="FB_12V_Price">Data!$NL$5</definedName>
    <definedName name="FBS_110Front">'Final Build Sheet'!$B$64</definedName>
    <definedName name="FBS_12VPlug">'Final Build Sheet'!$C$61</definedName>
    <definedName name="FBS_7pinAdapter">'Final Build Sheet'!$B$88</definedName>
    <definedName name="FBS_AddTire">'Final Build Sheet'!$B$35</definedName>
    <definedName name="FBS_AirBags">'Final Build Sheet'!$B$41</definedName>
    <definedName name="FBS_AutowBrake">'Final Build Sheet'!$B$38</definedName>
    <definedName name="FBS_BattLocation">'Final Build Sheet'!$G$59</definedName>
    <definedName name="FBS_BattSelection">'Final Build Sheet'!$J$57</definedName>
    <definedName name="FBS_Brakes">'Final Build Sheet'!$B$37</definedName>
    <definedName name="FBS_Bungies">'Final Build Sheet'!$B$12</definedName>
    <definedName name="FBS_Bunks">'Final Build Sheet'!$O$16</definedName>
    <definedName name="FBS_CabinetDoors">'Final Build Sheet'!$H$19</definedName>
    <definedName name="FBS_CabinLight">'Final Build Sheet'!$F$68</definedName>
    <definedName name="FBS_CargoPan">'Final Build Sheet'!$B$24</definedName>
    <definedName name="FBS_Color">'Final Build Sheet'!$J$5</definedName>
    <definedName name="FBS_Controller">'Final Build Sheet'!$B$86</definedName>
    <definedName name="FBS_Cover">'Final Build Sheet'!$B$85</definedName>
    <definedName name="FBS_DCDC">'Final Build Sheet'!$C$63</definedName>
    <definedName name="FBS_Dolly">'Final Build Sheet'!$B$87</definedName>
    <definedName name="FBS_DoorColor">'Final Build Sheet'!$S$11</definedName>
    <definedName name="FBS_DoorType">'Final Build Sheet'!$K$11</definedName>
    <definedName name="FBS_DPlateColor">'Final Build Sheet'!$P$8</definedName>
    <definedName name="FBS_Drawers">'Final Build Sheet'!$H$18</definedName>
    <definedName name="FBS_DVR_TankSize">'Final Build Sheet'!$L$47</definedName>
    <definedName name="FBS_DVR_WithTank">'Final Build Sheet'!$O$47</definedName>
    <definedName name="FBS_DVRAwning">'Final Build Sheet'!$K$28</definedName>
    <definedName name="FBS_DVRLight">'Final Build Sheet'!$K$71</definedName>
    <definedName name="FBS_Extension">'Final Build Sheet'!$B$89</definedName>
    <definedName name="FBS_Fan">'Final Build Sheet'!$G$50</definedName>
    <definedName name="FBS_FB110">'Final Build Sheet'!$O$65</definedName>
    <definedName name="FBS_FB12V">'Final Build Sheet'!$H$65</definedName>
    <definedName name="FBS_Fridge">'Final Build Sheet'!$J$82</definedName>
    <definedName name="FBS_FridgeBox">'Final Build Sheet'!$B$44</definedName>
    <definedName name="FBS_FridgeRack">'Final Build Sheet'!$H$44</definedName>
    <definedName name="FBS_FridgeSlide">'Final Build Sheet'!$B$83</definedName>
    <definedName name="FBS_FrontAC">'Final Build Sheet'!$B$51</definedName>
    <definedName name="FBS_FrontDPlate">'Final Build Sheet'!$G$7</definedName>
    <definedName name="FBS_FrontShelf">'Final Build Sheet'!$B$22</definedName>
    <definedName name="FBS_GalleyDepth">'Final Build Sheet'!$E$16</definedName>
    <definedName name="FBS_GalleyType">'Final Build Sheet'!$G$17</definedName>
    <definedName name="FBS_GoalZeroMount">'Final Build Sheet'!$C$62</definedName>
    <definedName name="FBS_GoalZeroType">'Final Build Sheet'!$K$60</definedName>
    <definedName name="FBS_Heat">'Final Build Sheet'!$I$53</definedName>
    <definedName name="FBS_HitchExtend">'Final Build Sheet'!$B$90</definedName>
    <definedName name="FBS_HotShower">'Final Build Sheet'!$B$80</definedName>
    <definedName name="FBS_Inverter">'Final Build Sheet'!$C$58</definedName>
    <definedName name="FBS_Lug">'Final Build Sheet'!$B$39</definedName>
    <definedName name="FBS_Model">'Final Build Sheet'!$B$3</definedName>
    <definedName name="FBS_PAS_TankSize">'Final Build Sheet'!$L$46</definedName>
    <definedName name="FBS_PAS_WithTank">'Final Build Sheet'!$O$46</definedName>
    <definedName name="FBS_PASAwning">'Final Build Sheet'!$K$27</definedName>
    <definedName name="FBS_PASLight">'Final Build Sheet'!$K$70</definedName>
    <definedName name="FBS_PermPanelType">'Final Build Sheet'!$J$75</definedName>
    <definedName name="FBS_PermPanelWiring">'Final Build Sheet'!$T$75</definedName>
    <definedName name="FBS_PortSolar">'Final Build Sheet'!$J$74</definedName>
    <definedName name="FBS_PULocation">'Final Build Sheet'!$B$98</definedName>
    <definedName name="FBS_ReadingLights">'Final Build Sheet'!$I$69</definedName>
    <definedName name="FBS_RearLight">'Final Build Sheet'!$K$72</definedName>
    <definedName name="FBS_RearShelf">'Final Build Sheet'!$J$23</definedName>
    <definedName name="FBS_RearUSB">'Final Build Sheet'!$B$65</definedName>
    <definedName name="FBS_RoofRack">'Final Build Sheet'!$J$26</definedName>
    <definedName name="FBS_RoofStorage">'Final Build Sheet'!$K$30</definedName>
    <definedName name="FBS_RoofWater">'Final Build Sheet'!$K$29</definedName>
    <definedName name="FBS_RTAC">'Final Build Sheet'!$I$52</definedName>
    <definedName name="FBS_RTT">'Final Build Sheet'!$K$31</definedName>
    <definedName name="FBS_SecondDoor">'Final Build Sheet'!$B$11</definedName>
    <definedName name="FBS_Shirt1">'Final Build Sheet'!$J$95</definedName>
    <definedName name="FBS_Shirt2">'Final Build Sheet'!$O$95</definedName>
    <definedName name="FBS_ShowerRoom">'Final Build Sheet'!$B$78</definedName>
    <definedName name="FBS_SideDPlate">'Final Build Sheet'!$G$8</definedName>
    <definedName name="FBS_SideTable">'Final Build Sheet'!$J$21</definedName>
    <definedName name="FBS_Size">'Final Build Sheet'!$J$3</definedName>
    <definedName name="FBS_SlideOut">'Final Build Sheet'!$J$20</definedName>
    <definedName name="FBS_SolarAdapter">'Final Build Sheet'!$J$76</definedName>
    <definedName name="FBS_SpareTire">'Final Build Sheet'!$J$35</definedName>
    <definedName name="FBS_Toolbox">'Final Build Sheet'!$H$43</definedName>
    <definedName name="FBS_TrailerHitch">'Final Build Sheet'!$E$36</definedName>
    <definedName name="FBS_VehicleHitch">'Final Build Sheet'!$N$36</definedName>
    <definedName name="FBS_WaterTank">'Final Build Sheet'!$B$79</definedName>
    <definedName name="FBS_WheelJack">'Final Build Sheet'!$B$40</definedName>
    <definedName name="Final_C1">'Final Build Sheet'!$AC$18</definedName>
    <definedName name="Final_C2">'Final Build Sheet'!$AC$19</definedName>
    <definedName name="Final_C3">'Final Build Sheet'!$AC$20</definedName>
    <definedName name="Final_C4">'Final Build Sheet'!$AC$21</definedName>
    <definedName name="Final_C5">'Final Build Sheet'!$AC$22</definedName>
    <definedName name="Final_C6">'Final Build Sheet'!$AC$23</definedName>
    <definedName name="Flood_Light">Data!$OH$4</definedName>
    <definedName name="Fridge_List">Data!$PL$2:$PL$10</definedName>
    <definedName name="Fridge_Price">Data!$PL$3:$PN$10</definedName>
    <definedName name="FridgeBox_Combined">Data!$JZ$12</definedName>
    <definedName name="FridgeBox_Price">Data!$JZ$9</definedName>
    <definedName name="Front_110_Price">Data!$NF$3</definedName>
    <definedName name="Front_DPlate_List">Data!$AP$2:$AP$4</definedName>
    <definedName name="Front_DPlate_Price">Data!$AP$2:$AR$4</definedName>
    <definedName name="Front_Shelf_Price">Data!$EJ$3</definedName>
    <definedName name="Galley_24">Data!$CF$4</definedName>
    <definedName name="Galley_CloseOFF_List">Data!$CO$3:$CO$7</definedName>
    <definedName name="Galley_CloseOFF_Price">Data!$CO$3:$CQ$7</definedName>
    <definedName name="Galley_CloseOFF_Required">Data!$CU$3:$CU$5</definedName>
    <definedName name="Galley_Depth_List">Data!$CF$3:$CF$4</definedName>
    <definedName name="Galley_Price">Data!$CF$3:$CH$4</definedName>
    <definedName name="Galley_Required_Price">Data!$CU$3:$CV$5</definedName>
    <definedName name="Galley_Size_Error">Data!$CL$7</definedName>
    <definedName name="Galley_SolidWall_Required">Data!$CX$3</definedName>
    <definedName name="Galley_Standard">Data!$CL$3</definedName>
    <definedName name="GoalZero_List">Data!$MO$2:$MO$8</definedName>
    <definedName name="GoalZero_Mount_List">Data!$MT$2:$MT$5</definedName>
    <definedName name="GoalZero_Mount_Price">Data!$MT$3:$MV$5</definedName>
    <definedName name="GoalZero_Price">Data!$MO$3:$MQ$8</definedName>
    <definedName name="HD_5x10_Price">Data!$H$5</definedName>
    <definedName name="HD_5x8_Price">Data!$H$3</definedName>
    <definedName name="HD_5x9_Price">Data!$H$4</definedName>
    <definedName name="HD_Price_List">Data!$F$3:$H$5</definedName>
    <definedName name="HD_Spare_List">Data!$GQ$14:$GQ$17</definedName>
    <definedName name="HD_Spare_Price">Data!$GQ$3:$GS$5</definedName>
    <definedName name="HD_Spare_With_Price">Data!$GQ$9:$GR$10</definedName>
    <definedName name="HD_Susp_Desc">Data!$GN$16</definedName>
    <definedName name="HD_Tire_Only">Data!$GQ$15</definedName>
    <definedName name="HD_Tire_Price">Data!$GS$3</definedName>
    <definedName name="HD_Toolbox">Data!$JR$2:$JR$6</definedName>
    <definedName name="Heat_List">Data!$LT$2:$LT$4</definedName>
    <definedName name="Highway_Deluxe">Data!$D$3</definedName>
    <definedName name="Loc_ABV">Data!$RV$7</definedName>
    <definedName name="Lock_N_Roll_Price">Data!$HR$12:$HT$14</definedName>
    <definedName name="Logic_Bunk_Bed">Data!$CX$9</definedName>
    <definedName name="Logic_Drawers">Data!$CU$11</definedName>
    <definedName name="Logic_Roof_Rack_Required">Data!$FF$29</definedName>
    <definedName name="Lug_Upgrade_Price">Data!$IF$4</definedName>
    <definedName name="Male_Plug_Price">Data!$NR$3</definedName>
    <definedName name="Master_Spare_List">Data!$GQ$15:$GR$27</definedName>
    <definedName name="Master_Spare_List_With">Data!$GQ$15:$GS$27</definedName>
    <definedName name="MidRange_Deluxe">Data!$D$4</definedName>
    <definedName name="MidRange_XL">Data!$D$5</definedName>
    <definedName name="MR_5x10_Price">Data!$N$5</definedName>
    <definedName name="MR_5x8_Price">Data!$N$3</definedName>
    <definedName name="MR_5x9_Price">Data!$N$4</definedName>
    <definedName name="MR_Price_List">Data!$L$3:$N$5</definedName>
    <definedName name="MR_Spare_List">Data!$GQ$18:$GQ$21</definedName>
    <definedName name="MR_Spare_Price">Data!$GW$3:$GY$5</definedName>
    <definedName name="MR_Susp_Desc">Data!$GN$19</definedName>
    <definedName name="MR_Tire_Only">Data!$GQ$19</definedName>
    <definedName name="MR_Tire_Price">Data!$GY$3</definedName>
    <definedName name="MR_With_Spare_Price">Data!$GW$9:$GX$10</definedName>
    <definedName name="No_Battery">Data!$LZ$3</definedName>
    <definedName name="No_Bunks_Galley">Data!$DG$18</definedName>
    <definedName name="No_Bunks_Size">Data!$DG$17</definedName>
    <definedName name="NoTank_List">Data!$KD$15:$KF$16</definedName>
    <definedName name="Occlusion_Message">Data!$EZ$36</definedName>
    <definedName name="PAS_Awning_List">Data!$FR$2:$FR$7</definedName>
    <definedName name="Payment_Methods">Data!$RM$2:$RM$8</definedName>
    <definedName name="Permanent_Install_List">Data!$OZ$28:$OZ$30</definedName>
    <definedName name="Permanent_Solar_List">Data!$OZ$2:$OZ$6</definedName>
    <definedName name="Permanent_Solar_Price">Data!$OZ$3:$PB$6</definedName>
    <definedName name="Pick_Up_List">Data!$PR$3:$PR$5</definedName>
    <definedName name="Pick_Up_Price">Data!$PR$3:$PT$5</definedName>
    <definedName name="PickUP_CO">Data!$PR$4</definedName>
    <definedName name="PickUP_Del">Data!$PR$5</definedName>
    <definedName name="PickUp_IN">Data!$PR$3</definedName>
    <definedName name="Portable_Solar_List">Data!$ON$2:$ON$12</definedName>
    <definedName name="Portable_Solar_Price">Data!$ON$3:$OP$12</definedName>
    <definedName name="Premium_Color_List">Data!$AJ$2:$AJ$13</definedName>
    <definedName name="Premium_Color_Price">Data!$AJ$2:$AL$13</definedName>
    <definedName name="Quote_Add_2nd_Door">'INPUT (Quote)'!$B$11</definedName>
    <definedName name="Quote_Add_Bungies">'INPUT (Quote)'!$B$12</definedName>
    <definedName name="Quote_Color_Premium">'INPUT (Quote)'!$F$5</definedName>
    <definedName name="Quote_Color_Selection">'INPUT (Quote)'!$J$5</definedName>
    <definedName name="Quote_Color_Standard">'INPUT (Quote)'!$B$5</definedName>
    <definedName name="Quote_Date">'INPUT (Quote)'!$AC$8</definedName>
    <definedName name="Quote_Door_Color">'INPUT (Quote)'!$S$11</definedName>
    <definedName name="Quote_Door_Type">'INPUT (Quote)'!$K$11</definedName>
    <definedName name="Quote_DPlate_Color">'INPUT (Quote)'!$P$8</definedName>
    <definedName name="Quote_Drawer_Type">'INPUT (Quote)'!$H$18</definedName>
    <definedName name="Quote_Front_DPlate">'INPUT (Quote)'!$B$7</definedName>
    <definedName name="Quote_Front_DPlate_Selection">'INPUT (Quote)'!$G$7</definedName>
    <definedName name="Quote_Galley_Depth">'INPUT (Quote)'!$E$16</definedName>
    <definedName name="Quote_Side_DPlate">'INPUT (Quote)'!$B$8</definedName>
    <definedName name="Quote_Side_DPlate_Selection">'INPUT (Quote)'!$G$8</definedName>
    <definedName name="Quote_SpareTire">'INPUT (Quote)'!$J$35</definedName>
    <definedName name="Quote_Trailer_Model">'INPUT (Quote)'!$B$3</definedName>
    <definedName name="Quote_Trailer_Size">'INPUT (Quote)'!$J$3</definedName>
    <definedName name="Reading_Light_List">Data!$OB$2:$OB$5</definedName>
    <definedName name="Reading_Light_Price">Data!$OB$3:$OD$5</definedName>
    <definedName name="Rear_Jacks_Price">Data!$JK$4</definedName>
    <definedName name="Rear_Shelf_Compatible">Data!$EN$17</definedName>
    <definedName name="Rear_Shelf_List">Data!$EN$2:$EN$4</definedName>
    <definedName name="Rear_Shelf_Price">Data!$EN$3:$EP$4</definedName>
    <definedName name="Rear_USB_Price">Data!$NL$3</definedName>
    <definedName name="Referall_2">'INPUT (Quote)'!$AF$14</definedName>
    <definedName name="Referral_1">'INPUT (Quote)'!$AD$14</definedName>
    <definedName name="Roof_Rack_List">Data!$EZ$2:$EZ$6</definedName>
    <definedName name="Roof_Rack_Price">Data!$FF$3:$FH$6</definedName>
    <definedName name="Roof_Rack_Required">Data!$FF$3:$FF$6</definedName>
    <definedName name="Roof_Rack_RTT_List">Data!$EZ$5:$EZ$6</definedName>
    <definedName name="RoofRack_Message">Data!$EZ$37</definedName>
    <definedName name="Rooftop_AC_List">Data!$LN$2:$LN$4</definedName>
    <definedName name="Rooftop_AC_Price">Data!$LN$3:$LP$4</definedName>
    <definedName name="Rooftop_Storage_List">Data!$FL$2:$FL$3</definedName>
    <definedName name="Rooftop_Storage_Price">Data!$FL$3:$FN$3</definedName>
    <definedName name="Rooftop_Water_List">Data!$GA$2:$GA$6</definedName>
    <definedName name="Rooftop_Water_Price">Data!$GA$3:$GC$6</definedName>
    <definedName name="RTT_List">Data!$GG$2:$GG$8</definedName>
    <definedName name="RTT_List_Logic">Data!$EZ$15</definedName>
    <definedName name="RTT_Message">Data!$EZ$38</definedName>
    <definedName name="RTT_Price">Data!$GG$3:$GI$8</definedName>
    <definedName name="RTT_Required">Data!$EZ$18</definedName>
    <definedName name="Second_Door_List">Data!$BQ$3:$BQ$5</definedName>
    <definedName name="Second_Door_Price">Data!$BQ$2:$BS$5</definedName>
    <definedName name="Shirt_Size">Data!$RD$2:$RD$8</definedName>
    <definedName name="Side_DPlate_List">Data!$AY$2:$AY$4</definedName>
    <definedName name="Side_DPlate_Price">Data!$AY$2:$BA$4</definedName>
    <definedName name="Side_Table_List">Data!$EB$2:$EB$4</definedName>
    <definedName name="Side_Table_Price">Data!$EB$2:$ED$4</definedName>
    <definedName name="Single_Door_List">Data!$BK$3:$BK$5</definedName>
    <definedName name="Single_Door_Price">Data!$BK$2:$BM$5</definedName>
    <definedName name="Size_5x10">Data!$F$5</definedName>
    <definedName name="Size_5x8">Data!$F$3</definedName>
    <definedName name="Size_5x9">Data!$F$4</definedName>
    <definedName name="Slide_Out_List">Data!$DV$2:$DV$4</definedName>
    <definedName name="Slide_Out_Price">Data!$DV$2:$DX$4</definedName>
    <definedName name="Solar_Adapter_Price">Data!$OT$3:$OV$8</definedName>
    <definedName name="Solar_Adapters">Data!$OT$2:$OT$8</definedName>
    <definedName name="Spec_Table">Data!$RF$4:$RK$14</definedName>
    <definedName name="Spot_Light">Data!$OH$5</definedName>
    <definedName name="Standard_Color_List">Data!$AD$2:$AD$6</definedName>
    <definedName name="State_Tax">Data!$RQ$2:$RR$54</definedName>
    <definedName name="States_List">Data!$RA$2:$RA$54</definedName>
    <definedName name="Switch_EXT">Data!$OH$18</definedName>
    <definedName name="Switch_INT">Data!$OH$19</definedName>
    <definedName name="TankMount_11lb_Price">Data!$KF$5</definedName>
    <definedName name="TankMount_5lb_Price">Data!$KF$3</definedName>
    <definedName name="TankMount_List">Data!$KD$14:$KD$16</definedName>
    <definedName name="TankMount_WithTank_11lb_Price">Data!$KF$6</definedName>
    <definedName name="TankMount_WithTank_5lb">Data!$KF$4</definedName>
    <definedName name="Toolbox_Price">Data!$JR$3:$JT$6</definedName>
    <definedName name="Trailer_Cover_Price">Data!$QN$3:$QP$5</definedName>
    <definedName name="Trailer_Hitch_List">Data!$HR$8:$HR$9</definedName>
    <definedName name="Trailer_Model_List">Data!$D$2:$D$6</definedName>
    <definedName name="Trailer_Selection">Data!$RF$18</definedName>
    <definedName name="Trailer_Size">Data!$F$2:$F$5</definedName>
    <definedName name="Vehicle_Hitch_List">Data!$HR$4:$HR$6</definedName>
    <definedName name="Weight_Chart">Data!$RF$4:$RH$14</definedName>
    <definedName name="WithTank_List">Data!$KD$18:$KF$19</definedName>
    <definedName name="XL_Price_List">Data!$R$3:$T$5</definedName>
    <definedName name="XL_Spare_List">Data!$GQ$22:$GQ$24</definedName>
    <definedName name="XL_Spare_Price">Data!$HC$3:$HE$4</definedName>
    <definedName name="XL_Susp_Desc">Data!$GN$22</definedName>
    <definedName name="XL_Tire_Only">Data!$GQ$23</definedName>
    <definedName name="XL_Tire_Price">Data!$HE$3</definedName>
    <definedName name="XL_With_Spare_Price">Data!$HC$9:$HD$9</definedName>
    <definedName name="Yes_No">Data!$RO$2:$RO$4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72" i="3" l="1"/>
  <c r="O71" i="3"/>
  <c r="O70" i="3"/>
  <c r="AM8" i="17"/>
  <c r="AN13" i="17"/>
  <c r="AM13" i="17"/>
  <c r="I3" i="17"/>
  <c r="I4" i="17"/>
  <c r="AB95" i="3"/>
  <c r="BS5" i="17"/>
  <c r="BR5" i="17"/>
  <c r="AB12" i="22" l="1"/>
  <c r="AB57" i="3"/>
  <c r="AB57" i="23" s="1"/>
  <c r="AB57" i="24" s="1"/>
  <c r="AB57" i="22" s="1"/>
  <c r="AB12" i="24"/>
  <c r="AB20" i="3"/>
  <c r="AB59" i="3"/>
  <c r="GR35" i="17"/>
  <c r="GR32" i="17"/>
  <c r="GQ47" i="17" s="1"/>
  <c r="GS21" i="17"/>
  <c r="GS20" i="17"/>
  <c r="P43" i="3"/>
  <c r="AB43" i="3" s="1"/>
  <c r="O65" i="23"/>
  <c r="O65" i="24" s="1"/>
  <c r="H65" i="23"/>
  <c r="H65" i="24" s="1"/>
  <c r="NJ11" i="17"/>
  <c r="AB65" i="3" s="1"/>
  <c r="AB65" i="23" s="1"/>
  <c r="AB65" i="24" s="1"/>
  <c r="AB65" i="22" s="1"/>
  <c r="NL5" i="17"/>
  <c r="P65" i="3"/>
  <c r="P65" i="23" s="1"/>
  <c r="P65" i="24" s="1"/>
  <c r="P65" i="22" s="1"/>
  <c r="I65" i="3"/>
  <c r="I65" i="23" s="1"/>
  <c r="I65" i="24" s="1"/>
  <c r="I65" i="22" s="1"/>
  <c r="AB3" i="3"/>
  <c r="AC26" i="3" s="1"/>
  <c r="AC26" i="23" s="1"/>
  <c r="RV15" i="17"/>
  <c r="RV14" i="17"/>
  <c r="RV13" i="17"/>
  <c r="RV12" i="17"/>
  <c r="D1" i="16"/>
  <c r="M1" i="16" s="1"/>
  <c r="AE79" i="22"/>
  <c r="AG67" i="22"/>
  <c r="AF33" i="22"/>
  <c r="I44" i="22"/>
  <c r="C44" i="22"/>
  <c r="C43" i="22"/>
  <c r="C41" i="22"/>
  <c r="C39" i="22"/>
  <c r="B33" i="22"/>
  <c r="C24" i="22"/>
  <c r="P16" i="22"/>
  <c r="V11" i="22"/>
  <c r="AC11" i="22"/>
  <c r="AC8" i="22"/>
  <c r="AD6" i="22"/>
  <c r="AD5" i="22"/>
  <c r="AD4" i="22"/>
  <c r="AD3" i="22"/>
  <c r="AD2" i="22"/>
  <c r="H43" i="23"/>
  <c r="H43" i="24" s="1"/>
  <c r="H43" i="22" s="1"/>
  <c r="AF14" i="24"/>
  <c r="AD14" i="24"/>
  <c r="AC11" i="24"/>
  <c r="AF8" i="24"/>
  <c r="AC8" i="24"/>
  <c r="AD6" i="24"/>
  <c r="AD5" i="24"/>
  <c r="AD4" i="24"/>
  <c r="AD3" i="24"/>
  <c r="AD2" i="24"/>
  <c r="J23" i="24"/>
  <c r="J23" i="22" s="1"/>
  <c r="B20" i="24"/>
  <c r="B20" i="22" s="1"/>
  <c r="B7" i="23"/>
  <c r="B7" i="24" s="1"/>
  <c r="B7" i="22" s="1"/>
  <c r="AF76" i="24"/>
  <c r="AF72" i="22" s="1"/>
  <c r="I44" i="24"/>
  <c r="C44" i="24"/>
  <c r="C43" i="24"/>
  <c r="B33" i="24"/>
  <c r="AF14" i="23"/>
  <c r="AD14" i="23"/>
  <c r="AD6" i="23"/>
  <c r="AG23" i="23"/>
  <c r="AG23" i="24" s="1"/>
  <c r="AG26" i="22" s="1"/>
  <c r="AG22" i="23"/>
  <c r="AG22" i="24" s="1"/>
  <c r="AG25" i="22" s="1"/>
  <c r="AG21" i="23"/>
  <c r="AG21" i="24" s="1"/>
  <c r="AG24" i="22" s="1"/>
  <c r="AG20" i="23"/>
  <c r="AG20" i="24" s="1"/>
  <c r="AG23" i="22" s="1"/>
  <c r="AG19" i="23"/>
  <c r="AG19" i="24" s="1"/>
  <c r="AG22" i="22" s="1"/>
  <c r="AG18" i="23"/>
  <c r="AG18" i="24" s="1"/>
  <c r="AC23" i="23"/>
  <c r="AC23" i="24" s="1"/>
  <c r="AC26" i="22" s="1"/>
  <c r="AC22" i="23"/>
  <c r="AC22" i="24" s="1"/>
  <c r="AC25" i="22" s="1"/>
  <c r="AC21" i="23"/>
  <c r="AC21" i="24" s="1"/>
  <c r="AC24" i="22" s="1"/>
  <c r="AC20" i="23"/>
  <c r="AC20" i="24" s="1"/>
  <c r="AC23" i="22" s="1"/>
  <c r="AC19" i="23"/>
  <c r="AC19" i="24" s="1"/>
  <c r="AC22" i="22" s="1"/>
  <c r="AC18" i="23"/>
  <c r="AC18" i="24" s="1"/>
  <c r="AC46" i="23"/>
  <c r="AC59" i="23"/>
  <c r="AB100" i="23"/>
  <c r="AB100" i="24" s="1"/>
  <c r="AB100" i="22" s="1"/>
  <c r="B98" i="23"/>
  <c r="B98" i="24" s="1"/>
  <c r="B95" i="23"/>
  <c r="B95" i="24" s="1"/>
  <c r="J95" i="23"/>
  <c r="J95" i="24" s="1"/>
  <c r="BO16" i="16" s="1"/>
  <c r="O95" i="23"/>
  <c r="O95" i="24" s="1"/>
  <c r="BO17" i="16" s="1"/>
  <c r="B90" i="23"/>
  <c r="B90" i="24" s="1"/>
  <c r="B89" i="23"/>
  <c r="B89" i="24" s="1"/>
  <c r="B88" i="23"/>
  <c r="B88" i="24" s="1"/>
  <c r="B87" i="23"/>
  <c r="B87" i="24" s="1"/>
  <c r="B86" i="23"/>
  <c r="B86" i="24" s="1"/>
  <c r="B85" i="23"/>
  <c r="B85" i="24" s="1"/>
  <c r="BN9" i="16" s="1"/>
  <c r="B83" i="23"/>
  <c r="B83" i="24" s="1"/>
  <c r="B82" i="23"/>
  <c r="B82" i="24" s="1"/>
  <c r="B82" i="22" s="1"/>
  <c r="J82" i="23"/>
  <c r="J82" i="24" s="1"/>
  <c r="AY15" i="16" s="1"/>
  <c r="B80" i="23"/>
  <c r="B80" i="24" s="1"/>
  <c r="B80" i="22" s="1"/>
  <c r="B79" i="23"/>
  <c r="B79" i="24" s="1"/>
  <c r="B78" i="23"/>
  <c r="B78" i="24" s="1"/>
  <c r="AV22" i="16" s="1"/>
  <c r="T75" i="23"/>
  <c r="T75" i="24" s="1"/>
  <c r="T75" i="22" s="1"/>
  <c r="J76" i="23"/>
  <c r="J76" i="24" s="1"/>
  <c r="J76" i="22" s="1"/>
  <c r="J75" i="23"/>
  <c r="J74" i="23"/>
  <c r="J74" i="24" s="1"/>
  <c r="B76" i="23"/>
  <c r="B76" i="24" s="1"/>
  <c r="B75" i="23"/>
  <c r="B75" i="24" s="1"/>
  <c r="B75" i="22" s="1"/>
  <c r="B74" i="23"/>
  <c r="B74" i="24" s="1"/>
  <c r="Q74" i="3"/>
  <c r="Q74" i="23" s="1"/>
  <c r="Q74" i="24" s="1"/>
  <c r="K72" i="23"/>
  <c r="K72" i="24" s="1"/>
  <c r="K71" i="23"/>
  <c r="K71" i="24" s="1"/>
  <c r="K70" i="23"/>
  <c r="K70" i="24" s="1"/>
  <c r="I69" i="23"/>
  <c r="I69" i="24" s="1"/>
  <c r="B72" i="23"/>
  <c r="B72" i="24" s="1"/>
  <c r="B72" i="22" s="1"/>
  <c r="B71" i="23"/>
  <c r="B71" i="24" s="1"/>
  <c r="B71" i="22" s="1"/>
  <c r="B70" i="23"/>
  <c r="B70" i="24" s="1"/>
  <c r="B70" i="22" s="1"/>
  <c r="B69" i="23"/>
  <c r="B69" i="24" s="1"/>
  <c r="B69" i="22" s="1"/>
  <c r="F68" i="23"/>
  <c r="F68" i="24" s="1"/>
  <c r="P62" i="23"/>
  <c r="P62" i="24" s="1"/>
  <c r="P62" i="22" s="1"/>
  <c r="K60" i="23"/>
  <c r="K60" i="24" s="1"/>
  <c r="G59" i="23"/>
  <c r="G59" i="24" s="1"/>
  <c r="MF24" i="17" s="1"/>
  <c r="J57" i="23"/>
  <c r="J57" i="24" s="1"/>
  <c r="B65" i="23"/>
  <c r="B65" i="24" s="1"/>
  <c r="B64" i="23"/>
  <c r="B64" i="24" s="1"/>
  <c r="BE19" i="16" s="1"/>
  <c r="C63" i="23"/>
  <c r="C63" i="24" s="1"/>
  <c r="C62" i="23"/>
  <c r="C62" i="24" s="1"/>
  <c r="C62" i="22" s="1"/>
  <c r="C61" i="23"/>
  <c r="C61" i="24" s="1"/>
  <c r="C58" i="23"/>
  <c r="C58" i="24" s="1"/>
  <c r="B60" i="23"/>
  <c r="B60" i="24" s="1"/>
  <c r="B60" i="22" s="1"/>
  <c r="B57" i="23"/>
  <c r="B57" i="24" s="1"/>
  <c r="B57" i="22" s="1"/>
  <c r="B53" i="23"/>
  <c r="B53" i="24" s="1"/>
  <c r="B53" i="22" s="1"/>
  <c r="B52" i="23"/>
  <c r="B52" i="24" s="1"/>
  <c r="B52" i="22" s="1"/>
  <c r="B51" i="23"/>
  <c r="B51" i="24" s="1"/>
  <c r="B51" i="22" s="1"/>
  <c r="I53" i="23"/>
  <c r="I53" i="24" s="1"/>
  <c r="I52" i="23"/>
  <c r="I52" i="24" s="1"/>
  <c r="LN22" i="17" s="1"/>
  <c r="G50" i="23"/>
  <c r="G50" i="24" s="1"/>
  <c r="L47" i="23"/>
  <c r="L47" i="24" s="1"/>
  <c r="L46" i="23"/>
  <c r="L46" i="24" s="1"/>
  <c r="O47" i="23"/>
  <c r="O47" i="24" s="1"/>
  <c r="O46" i="23"/>
  <c r="O46" i="24" s="1"/>
  <c r="B47" i="23"/>
  <c r="B47" i="24" s="1"/>
  <c r="B47" i="22" s="1"/>
  <c r="B46" i="23"/>
  <c r="B46" i="24" s="1"/>
  <c r="B46" i="22" s="1"/>
  <c r="S47" i="3"/>
  <c r="S47" i="23" s="1"/>
  <c r="S47" i="24" s="1"/>
  <c r="H44" i="23"/>
  <c r="H44" i="24" s="1"/>
  <c r="B44" i="23"/>
  <c r="B44" i="24" s="1"/>
  <c r="JR24" i="17" s="1"/>
  <c r="B43" i="23"/>
  <c r="B43" i="24" s="1"/>
  <c r="B43" i="22" s="1"/>
  <c r="E36" i="23"/>
  <c r="E36" i="24" s="1"/>
  <c r="N36" i="23"/>
  <c r="N36" i="24" s="1"/>
  <c r="BN14" i="16" s="1"/>
  <c r="J35" i="23"/>
  <c r="J35" i="24" s="1"/>
  <c r="B41" i="23"/>
  <c r="B41" i="24" s="1"/>
  <c r="B40" i="23"/>
  <c r="B40" i="24" s="1"/>
  <c r="B39" i="23"/>
  <c r="B39" i="24" s="1"/>
  <c r="B38" i="23"/>
  <c r="B38" i="24" s="1"/>
  <c r="B37" i="23"/>
  <c r="B35" i="23"/>
  <c r="B35" i="24" s="1"/>
  <c r="B31" i="23"/>
  <c r="B31" i="24" s="1"/>
  <c r="B30" i="23"/>
  <c r="B30" i="24" s="1"/>
  <c r="B30" i="22" s="1"/>
  <c r="B29" i="23"/>
  <c r="B29" i="24" s="1"/>
  <c r="B29" i="22" s="1"/>
  <c r="B28" i="23"/>
  <c r="B28" i="24" s="1"/>
  <c r="B28" i="22" s="1"/>
  <c r="B27" i="23"/>
  <c r="B27" i="24" s="1"/>
  <c r="B27" i="22" s="1"/>
  <c r="B26" i="23"/>
  <c r="B26" i="24" s="1"/>
  <c r="B26" i="22" s="1"/>
  <c r="K31" i="23"/>
  <c r="K31" i="24" s="1"/>
  <c r="K30" i="23"/>
  <c r="K30" i="24" s="1"/>
  <c r="K29" i="23"/>
  <c r="K29" i="24" s="1"/>
  <c r="K28" i="23"/>
  <c r="K28" i="24" s="1"/>
  <c r="K28" i="22" s="1"/>
  <c r="K27" i="23"/>
  <c r="K27" i="24" s="1"/>
  <c r="AV6" i="16" s="1"/>
  <c r="J26" i="23"/>
  <c r="J26" i="24" s="1"/>
  <c r="J23" i="23"/>
  <c r="J21" i="23"/>
  <c r="J21" i="24" s="1"/>
  <c r="J20" i="23"/>
  <c r="J20" i="24" s="1"/>
  <c r="J20" i="22" s="1"/>
  <c r="H19" i="23"/>
  <c r="H19" i="24" s="1"/>
  <c r="H18" i="23"/>
  <c r="H18" i="24" s="1"/>
  <c r="G17" i="23"/>
  <c r="G17" i="24" s="1"/>
  <c r="O16" i="23"/>
  <c r="O16" i="24" s="1"/>
  <c r="B24" i="23"/>
  <c r="B24" i="24" s="1"/>
  <c r="Q7" i="16" s="1"/>
  <c r="B23" i="23"/>
  <c r="B23" i="24" s="1"/>
  <c r="B23" i="22" s="1"/>
  <c r="B22" i="23"/>
  <c r="B22" i="24" s="1"/>
  <c r="B21" i="23"/>
  <c r="B21" i="24" s="1"/>
  <c r="B21" i="22" s="1"/>
  <c r="B20" i="23"/>
  <c r="B19" i="23"/>
  <c r="B19" i="24" s="1"/>
  <c r="B19" i="22" s="1"/>
  <c r="B18" i="23"/>
  <c r="B18" i="24" s="1"/>
  <c r="B18" i="22" s="1"/>
  <c r="E16" i="23"/>
  <c r="E16" i="24" s="1"/>
  <c r="S11" i="23"/>
  <c r="S11" i="24" s="1"/>
  <c r="S11" i="22" s="1"/>
  <c r="K11" i="23"/>
  <c r="K11" i="24" s="1"/>
  <c r="B12" i="23"/>
  <c r="B12" i="24" s="1"/>
  <c r="AV25" i="16" s="1"/>
  <c r="B11" i="23"/>
  <c r="B11" i="24" s="1"/>
  <c r="P8" i="23"/>
  <c r="P8" i="24" s="1"/>
  <c r="G8" i="23"/>
  <c r="G8" i="24" s="1"/>
  <c r="G7" i="23"/>
  <c r="G7" i="24" s="1"/>
  <c r="B8" i="23"/>
  <c r="B8" i="24" s="1"/>
  <c r="B8" i="22" s="1"/>
  <c r="AG6" i="23"/>
  <c r="AG6" i="24" s="1"/>
  <c r="AG6" i="22" s="1"/>
  <c r="AE48" i="22" s="1"/>
  <c r="AE49" i="22" s="1"/>
  <c r="AD5" i="23"/>
  <c r="AD4" i="23"/>
  <c r="AD3" i="23"/>
  <c r="AD2" i="23"/>
  <c r="J5" i="23"/>
  <c r="J5" i="24" s="1"/>
  <c r="F5" i="23"/>
  <c r="F5" i="24" s="1"/>
  <c r="F5" i="22" s="1"/>
  <c r="B5" i="23"/>
  <c r="B5" i="24" s="1"/>
  <c r="B5" i="22" s="1"/>
  <c r="J3" i="23"/>
  <c r="J3" i="24" s="1"/>
  <c r="B3" i="23"/>
  <c r="AF8" i="23"/>
  <c r="AC95" i="3"/>
  <c r="AC99" i="3"/>
  <c r="AC92" i="3"/>
  <c r="AF76" i="3"/>
  <c r="AF76" i="23" s="1"/>
  <c r="JC16" i="17"/>
  <c r="JC13" i="17"/>
  <c r="RF18" i="17"/>
  <c r="AG74" i="3" s="1"/>
  <c r="AG74" i="23" s="1"/>
  <c r="AC36" i="3"/>
  <c r="AC36" i="23" s="1"/>
  <c r="C24" i="3"/>
  <c r="C24" i="23" s="1"/>
  <c r="C24" i="24" s="1"/>
  <c r="AB24" i="3"/>
  <c r="AB24" i="23" s="1"/>
  <c r="AB24" i="24" s="1"/>
  <c r="AB24" i="22" s="1"/>
  <c r="N24" i="22" s="1"/>
  <c r="LN13" i="17"/>
  <c r="LN10" i="17"/>
  <c r="AB98" i="3"/>
  <c r="AB98" i="23" s="1"/>
  <c r="AB98" i="24" s="1"/>
  <c r="AB98" i="22" s="1"/>
  <c r="AB95" i="23"/>
  <c r="AB95" i="24" s="1"/>
  <c r="AB95" i="22" s="1"/>
  <c r="AB90" i="3"/>
  <c r="AB90" i="23" s="1"/>
  <c r="AB90" i="24" s="1"/>
  <c r="AB90" i="22" s="1"/>
  <c r="AB89" i="3"/>
  <c r="AB89" i="23" s="1"/>
  <c r="AB89" i="24" s="1"/>
  <c r="AB89" i="22" s="1"/>
  <c r="H88" i="3"/>
  <c r="AB88" i="3"/>
  <c r="AB88" i="23" s="1"/>
  <c r="AB88" i="24" s="1"/>
  <c r="AB88" i="22" s="1"/>
  <c r="AB87" i="3"/>
  <c r="AB87" i="23" s="1"/>
  <c r="AB87" i="24" s="1"/>
  <c r="AB87" i="22" s="1"/>
  <c r="AB86" i="3"/>
  <c r="AB86" i="23" s="1"/>
  <c r="AB86" i="24" s="1"/>
  <c r="AB86" i="22" s="1"/>
  <c r="AB85" i="3"/>
  <c r="AB85" i="23" s="1"/>
  <c r="AB85" i="24" s="1"/>
  <c r="AB85" i="22" s="1"/>
  <c r="QQ4" i="17"/>
  <c r="QR4" i="17"/>
  <c r="QQ5" i="17"/>
  <c r="QR5" i="17"/>
  <c r="QR3" i="17"/>
  <c r="QQ3" i="17"/>
  <c r="PL41" i="17"/>
  <c r="AB83" i="3" s="1"/>
  <c r="AB83" i="23" s="1"/>
  <c r="AB83" i="24" s="1"/>
  <c r="AB83" i="22" s="1"/>
  <c r="PP13" i="17"/>
  <c r="PO13" i="17"/>
  <c r="PL38" i="17"/>
  <c r="S82" i="22" s="1"/>
  <c r="AB82" i="3"/>
  <c r="AB82" i="23" s="1"/>
  <c r="AB82" i="24" s="1"/>
  <c r="AB82" i="22" s="1"/>
  <c r="PL28" i="17"/>
  <c r="PL31" i="17" s="1"/>
  <c r="PM4" i="17"/>
  <c r="PO4" i="17" s="1"/>
  <c r="PM5" i="17"/>
  <c r="PP5" i="17" s="1"/>
  <c r="PM6" i="17"/>
  <c r="PP6" i="17" s="1"/>
  <c r="PM7" i="17"/>
  <c r="PO7" i="17" s="1"/>
  <c r="PM8" i="17"/>
  <c r="PO8" i="17" s="1"/>
  <c r="PM9" i="17"/>
  <c r="PO9" i="17" s="1"/>
  <c r="PM10" i="17"/>
  <c r="PO10" i="17" s="1"/>
  <c r="PM3" i="17"/>
  <c r="PP3" i="17" s="1"/>
  <c r="J80" i="3"/>
  <c r="J80" i="23" s="1"/>
  <c r="J80" i="24" s="1"/>
  <c r="AB80" i="3"/>
  <c r="AB80" i="23" s="1"/>
  <c r="AB80" i="24" s="1"/>
  <c r="AB80" i="22" s="1"/>
  <c r="PF31" i="17"/>
  <c r="PF34" i="17" s="1"/>
  <c r="PF28" i="17"/>
  <c r="PF37" i="17" s="1"/>
  <c r="AB78" i="3"/>
  <c r="AB78" i="23" s="1"/>
  <c r="AB78" i="24" s="1"/>
  <c r="AB78" i="22" s="1"/>
  <c r="PH6" i="17"/>
  <c r="PG5" i="17"/>
  <c r="PI3" i="17"/>
  <c r="PJ3" i="17"/>
  <c r="AB76" i="3"/>
  <c r="AB76" i="23" s="1"/>
  <c r="AB76" i="24" s="1"/>
  <c r="AB76" i="22" s="1"/>
  <c r="Y75" i="3"/>
  <c r="AB75" i="3" s="1"/>
  <c r="AB75" i="23" s="1"/>
  <c r="AB75" i="24" s="1"/>
  <c r="AB75" i="22" s="1"/>
  <c r="AB74" i="3"/>
  <c r="AB74" i="23" s="1"/>
  <c r="AB74" i="24" s="1"/>
  <c r="AB74" i="22" s="1"/>
  <c r="PA5" i="17"/>
  <c r="PD5" i="17" s="1"/>
  <c r="PA3" i="17"/>
  <c r="PC3" i="17" s="1"/>
  <c r="OW4" i="17"/>
  <c r="OX4" i="17"/>
  <c r="OW5" i="17"/>
  <c r="OX5" i="17"/>
  <c r="OW6" i="17"/>
  <c r="OX6" i="17"/>
  <c r="OW7" i="17"/>
  <c r="OX7" i="17"/>
  <c r="OW8" i="17"/>
  <c r="OX8" i="17"/>
  <c r="OX3" i="17"/>
  <c r="OW3" i="17"/>
  <c r="ON31" i="17"/>
  <c r="ON34" i="17" s="1"/>
  <c r="OP12" i="17"/>
  <c r="OQ12" i="17" s="1"/>
  <c r="OP11" i="17"/>
  <c r="OQ11" i="17" s="1"/>
  <c r="ON17" i="17"/>
  <c r="ON20" i="17" s="1" a="1"/>
  <c r="ON20" i="17" s="1"/>
  <c r="OQ4" i="17"/>
  <c r="OR4" i="17"/>
  <c r="OQ5" i="17"/>
  <c r="OR5" i="17"/>
  <c r="OQ6" i="17"/>
  <c r="OR6" i="17"/>
  <c r="OQ7" i="17"/>
  <c r="OR7" i="17"/>
  <c r="OQ8" i="17"/>
  <c r="OR8" i="17"/>
  <c r="OQ9" i="17"/>
  <c r="OR9" i="17"/>
  <c r="OQ10" i="17"/>
  <c r="OR10" i="17"/>
  <c r="OR3" i="17"/>
  <c r="OQ3" i="17"/>
  <c r="O71" i="23"/>
  <c r="O71" i="24" s="1"/>
  <c r="O72" i="23"/>
  <c r="O72" i="24" s="1"/>
  <c r="O70" i="23"/>
  <c r="O70" i="24" s="1"/>
  <c r="AB72" i="3"/>
  <c r="AB72" i="23" s="1"/>
  <c r="AB72" i="24" s="1"/>
  <c r="AB72" i="22" s="1"/>
  <c r="AB71" i="3"/>
  <c r="AB71" i="23" s="1"/>
  <c r="AB71" i="24" s="1"/>
  <c r="AB71" i="22" s="1"/>
  <c r="AB70" i="3"/>
  <c r="AB70" i="23" s="1"/>
  <c r="AB70" i="24" s="1"/>
  <c r="AB70" i="22" s="1"/>
  <c r="AB69" i="3"/>
  <c r="AB69" i="23" s="1"/>
  <c r="AB69" i="24" s="1"/>
  <c r="AB69" i="22" s="1"/>
  <c r="AB68" i="3"/>
  <c r="AB68" i="23" s="1"/>
  <c r="AB68" i="24" s="1"/>
  <c r="AB68" i="22" s="1"/>
  <c r="AB64" i="3"/>
  <c r="AB64" i="23" s="1"/>
  <c r="AB64" i="24" s="1"/>
  <c r="AB64" i="22" s="1"/>
  <c r="MA6" i="17"/>
  <c r="AB63" i="3"/>
  <c r="AB63" i="23" s="1"/>
  <c r="AB63" i="24" s="1"/>
  <c r="AB63" i="22" s="1"/>
  <c r="NB3" i="17"/>
  <c r="AB62" i="3"/>
  <c r="AB62" i="23" s="1"/>
  <c r="AB62" i="24" s="1"/>
  <c r="AB62" i="22" s="1"/>
  <c r="MW4" i="17"/>
  <c r="MW5" i="17"/>
  <c r="MW3" i="17"/>
  <c r="AB61" i="3"/>
  <c r="AB61" i="23" s="1"/>
  <c r="AB61" i="24" s="1"/>
  <c r="AB61" i="22" s="1"/>
  <c r="MI10" i="17"/>
  <c r="MI13" i="17" s="1"/>
  <c r="D58" i="3" s="1"/>
  <c r="D58" i="23" s="1"/>
  <c r="D58" i="24" s="1"/>
  <c r="MO15" i="17"/>
  <c r="MO18" i="17" s="1" a="1"/>
  <c r="MO18" i="17" s="1"/>
  <c r="R60" i="3" s="1"/>
  <c r="R60" i="23" s="1"/>
  <c r="R60" i="24" s="1"/>
  <c r="AB60" i="3"/>
  <c r="AB60" i="23" s="1"/>
  <c r="AB60" i="24" s="1"/>
  <c r="AB60" i="22" s="1"/>
  <c r="MR4" i="17"/>
  <c r="MR5" i="17"/>
  <c r="MR6" i="17"/>
  <c r="MR7" i="17"/>
  <c r="MR8" i="17"/>
  <c r="MR3" i="17"/>
  <c r="MF16" i="17"/>
  <c r="MF10" i="17"/>
  <c r="MF13" i="17" s="1"/>
  <c r="AB58" i="3"/>
  <c r="AB58" i="23" s="1"/>
  <c r="AB58" i="24" s="1"/>
  <c r="AB58" i="22" s="1"/>
  <c r="LE11" i="17"/>
  <c r="LE12" i="17"/>
  <c r="LE10" i="17"/>
  <c r="JK12" i="17"/>
  <c r="IU12" i="17"/>
  <c r="FT13" i="17"/>
  <c r="FT12" i="17"/>
  <c r="BE12" i="17"/>
  <c r="EK9" i="17"/>
  <c r="AB53" i="3"/>
  <c r="AB53" i="23" s="1"/>
  <c r="AB53" i="24" s="1"/>
  <c r="AB53" i="22" s="1"/>
  <c r="P52" i="3"/>
  <c r="AB52" i="3" s="1"/>
  <c r="AB52" i="23" s="1"/>
  <c r="AB52" i="24" s="1"/>
  <c r="AB52" i="22" s="1"/>
  <c r="LO4" i="17"/>
  <c r="AB51" i="3"/>
  <c r="AB51" i="23" s="1"/>
  <c r="AB51" i="24" s="1"/>
  <c r="AB51" i="22" s="1"/>
  <c r="AB50" i="3"/>
  <c r="AB50" i="23" s="1"/>
  <c r="AB50" i="24" s="1"/>
  <c r="AB50" i="22" s="1"/>
  <c r="KM4" i="17"/>
  <c r="KN4" i="17"/>
  <c r="KN3" i="17"/>
  <c r="KM3" i="17"/>
  <c r="AB47" i="3"/>
  <c r="AB47" i="23" s="1"/>
  <c r="AB47" i="24" s="1"/>
  <c r="AB47" i="22" s="1"/>
  <c r="AB46" i="3"/>
  <c r="P53" i="3" s="1"/>
  <c r="S46" i="3" s="1"/>
  <c r="S46" i="23" s="1"/>
  <c r="S46" i="24" s="1"/>
  <c r="AB44" i="3"/>
  <c r="I44" i="3"/>
  <c r="C44" i="3"/>
  <c r="C43" i="3"/>
  <c r="KB10" i="17"/>
  <c r="KA10" i="17"/>
  <c r="KB9" i="17"/>
  <c r="KA9" i="17"/>
  <c r="AB40" i="3"/>
  <c r="AB40" i="23" s="1"/>
  <c r="AB40" i="24" s="1"/>
  <c r="AB40" i="22" s="1"/>
  <c r="PX5" i="17"/>
  <c r="AB16" i="3"/>
  <c r="AB16" i="23" s="1"/>
  <c r="AB16" i="24" s="1"/>
  <c r="AB16" i="22" s="1"/>
  <c r="C41" i="3"/>
  <c r="AB41" i="3" s="1"/>
  <c r="AB41" i="23" s="1"/>
  <c r="AB41" i="24" s="1"/>
  <c r="AB41" i="22" s="1"/>
  <c r="AB39" i="3"/>
  <c r="AB39" i="23" s="1"/>
  <c r="AB39" i="24" s="1"/>
  <c r="AB39" i="22" s="1"/>
  <c r="C39" i="3"/>
  <c r="C39" i="23" s="1"/>
  <c r="C39" i="24" s="1"/>
  <c r="L38" i="3"/>
  <c r="L38" i="23" s="1"/>
  <c r="L38" i="24" s="1"/>
  <c r="AB38" i="3"/>
  <c r="AB38" i="23" s="1"/>
  <c r="AB38" i="24" s="1"/>
  <c r="AB38" i="22" s="1"/>
  <c r="AB37" i="3"/>
  <c r="AB37" i="23" s="1"/>
  <c r="AB37" i="24" s="1"/>
  <c r="AB37" i="22" s="1"/>
  <c r="IX26" i="17"/>
  <c r="IX37" i="17" s="1"/>
  <c r="T36" i="3"/>
  <c r="AB36" i="3" s="1"/>
  <c r="AB36" i="23" s="1"/>
  <c r="AB36" i="24" s="1"/>
  <c r="AB36" i="22" s="1"/>
  <c r="HT14" i="17"/>
  <c r="HT13" i="17"/>
  <c r="R35" i="3"/>
  <c r="GX10" i="17"/>
  <c r="GX9" i="17"/>
  <c r="HJ9" i="17"/>
  <c r="HD9" i="17"/>
  <c r="GR10" i="17"/>
  <c r="GR9" i="17"/>
  <c r="B33" i="3"/>
  <c r="B33" i="23" s="1"/>
  <c r="LN28" i="17" l="1"/>
  <c r="LN25" i="17"/>
  <c r="RV18" i="17"/>
  <c r="S47" i="22"/>
  <c r="P52" i="23"/>
  <c r="P52" i="24" s="1"/>
  <c r="AB59" i="23"/>
  <c r="AB59" i="24" s="1"/>
  <c r="AB59" i="22" s="1"/>
  <c r="BN19" i="16"/>
  <c r="B98" i="22"/>
  <c r="H88" i="23"/>
  <c r="AD8" i="16"/>
  <c r="H18" i="22"/>
  <c r="O65" i="22"/>
  <c r="NJ18" i="17"/>
  <c r="H65" i="22"/>
  <c r="NJ15" i="17"/>
  <c r="NJ21" i="17" s="1"/>
  <c r="BF20" i="16" s="1"/>
  <c r="B65" i="22"/>
  <c r="BE18" i="16"/>
  <c r="B74" i="22"/>
  <c r="BE11" i="16"/>
  <c r="L10" i="16"/>
  <c r="C58" i="22"/>
  <c r="B76" i="22"/>
  <c r="BE15" i="16"/>
  <c r="C61" i="22"/>
  <c r="B88" i="22"/>
  <c r="BN12" i="16"/>
  <c r="F68" i="22"/>
  <c r="BE17" i="16"/>
  <c r="AC4" i="16"/>
  <c r="E16" i="22"/>
  <c r="B89" i="22"/>
  <c r="BN13" i="16"/>
  <c r="I69" i="22"/>
  <c r="BE22" i="16"/>
  <c r="B95" i="22"/>
  <c r="B85" i="22"/>
  <c r="AG21" i="22"/>
  <c r="AF27" i="22" s="1"/>
  <c r="AC36" i="24"/>
  <c r="B86" i="22"/>
  <c r="BN10" i="16"/>
  <c r="B87" i="22"/>
  <c r="BN11" i="16"/>
  <c r="BE14" i="16"/>
  <c r="K60" i="22"/>
  <c r="BN15" i="16"/>
  <c r="B90" i="22"/>
  <c r="RV4" i="17"/>
  <c r="RV7" i="17" s="1"/>
  <c r="C1" i="16" s="1"/>
  <c r="L1" i="16" s="1"/>
  <c r="AD1" i="16" s="1"/>
  <c r="AV1" i="16" s="1"/>
  <c r="BN1" i="16" s="1"/>
  <c r="B31" i="22"/>
  <c r="P52" i="22" s="1"/>
  <c r="BD25" i="16"/>
  <c r="BJ14" i="16"/>
  <c r="Y75" i="23"/>
  <c r="BI25" i="16"/>
  <c r="BN6" i="16"/>
  <c r="BN5" i="16"/>
  <c r="J74" i="22"/>
  <c r="Q74" i="22" s="1"/>
  <c r="BN7" i="16"/>
  <c r="O95" i="22"/>
  <c r="J95" i="22"/>
  <c r="R60" i="22"/>
  <c r="AD16" i="16"/>
  <c r="AQ12" i="16"/>
  <c r="BF10" i="16"/>
  <c r="JC19" i="17"/>
  <c r="AG73" i="3" s="1"/>
  <c r="AG73" i="23" s="1"/>
  <c r="BH6" i="16"/>
  <c r="G50" i="22"/>
  <c r="BE6" i="16"/>
  <c r="B38" i="22"/>
  <c r="L38" i="22" s="1"/>
  <c r="B12" i="22"/>
  <c r="I53" i="22"/>
  <c r="AV24" i="16"/>
  <c r="B78" i="22"/>
  <c r="AZ19" i="16"/>
  <c r="L47" i="22"/>
  <c r="AZ20" i="16"/>
  <c r="O47" i="22"/>
  <c r="O46" i="22"/>
  <c r="AV20" i="16"/>
  <c r="L46" i="22"/>
  <c r="AV19" i="16"/>
  <c r="AB46" i="23"/>
  <c r="AB46" i="24" s="1"/>
  <c r="AB46" i="22" s="1"/>
  <c r="J82" i="22"/>
  <c r="AV15" i="16"/>
  <c r="B83" i="22"/>
  <c r="AZ14" i="16"/>
  <c r="H44" i="22"/>
  <c r="K31" i="22"/>
  <c r="AV10" i="16"/>
  <c r="K30" i="22"/>
  <c r="AV9" i="16"/>
  <c r="AV8" i="16"/>
  <c r="K29" i="22"/>
  <c r="AV7" i="16"/>
  <c r="K27" i="22"/>
  <c r="J26" i="22"/>
  <c r="AV5" i="16"/>
  <c r="AY5" i="16" s="1"/>
  <c r="AV4" i="16"/>
  <c r="AM14" i="16"/>
  <c r="K11" i="22"/>
  <c r="AN10" i="16"/>
  <c r="P8" i="22"/>
  <c r="G8" i="22"/>
  <c r="AN8" i="16"/>
  <c r="G7" i="22"/>
  <c r="AN6" i="16"/>
  <c r="AL4" i="16"/>
  <c r="J5" i="22"/>
  <c r="BN4" i="16"/>
  <c r="AD14" i="16"/>
  <c r="AV23" i="16"/>
  <c r="J21" i="22"/>
  <c r="B22" i="22"/>
  <c r="AE12" i="16"/>
  <c r="H19" i="22"/>
  <c r="AD10" i="16"/>
  <c r="AD6" i="16"/>
  <c r="G17" i="22"/>
  <c r="AC20" i="16"/>
  <c r="O16" i="22"/>
  <c r="G16" i="22" s="1"/>
  <c r="J3" i="22"/>
  <c r="M2" i="16"/>
  <c r="D2" i="16"/>
  <c r="AE2" i="16" s="1"/>
  <c r="B24" i="22"/>
  <c r="J75" i="24"/>
  <c r="AV11" i="16"/>
  <c r="BE27" i="16"/>
  <c r="I52" i="22"/>
  <c r="K70" i="22"/>
  <c r="O70" i="22" s="1"/>
  <c r="BJ17" i="16"/>
  <c r="OH33" i="17"/>
  <c r="U10" i="16" s="1"/>
  <c r="BJ19" i="16"/>
  <c r="K72" i="22"/>
  <c r="K71" i="22"/>
  <c r="BJ18" i="16"/>
  <c r="OH30" i="17"/>
  <c r="U8" i="16" s="1"/>
  <c r="OH27" i="17"/>
  <c r="U6" i="16" s="1"/>
  <c r="B11" i="22"/>
  <c r="AM12" i="16"/>
  <c r="U4" i="16"/>
  <c r="AV17" i="16"/>
  <c r="U14" i="16"/>
  <c r="N36" i="22"/>
  <c r="E36" i="22"/>
  <c r="P5" i="16"/>
  <c r="T36" i="23"/>
  <c r="T36" i="24" s="1"/>
  <c r="B40" i="22"/>
  <c r="L28" i="16"/>
  <c r="BD24" i="16"/>
  <c r="L26" i="16"/>
  <c r="B79" i="22"/>
  <c r="J80" i="22" s="1"/>
  <c r="C63" i="22"/>
  <c r="L24" i="16"/>
  <c r="BJ15" i="16"/>
  <c r="B37" i="24"/>
  <c r="B37" i="22" s="1"/>
  <c r="H88" i="24"/>
  <c r="BE5" i="16"/>
  <c r="ND13" i="17"/>
  <c r="M12" i="16"/>
  <c r="B64" i="22"/>
  <c r="B3" i="24"/>
  <c r="L18" i="16" s="1"/>
  <c r="C83" i="22"/>
  <c r="AV14" i="16"/>
  <c r="B44" i="22"/>
  <c r="C83" i="24"/>
  <c r="JR21" i="17"/>
  <c r="JR11" i="17"/>
  <c r="JR14" i="17" s="1"/>
  <c r="AV13" i="16"/>
  <c r="BI5" i="16"/>
  <c r="GQ38" i="17"/>
  <c r="GQ41" i="17"/>
  <c r="GQ44" i="17"/>
  <c r="GR41" i="17" a="1"/>
  <c r="GR41" i="17" s="1"/>
  <c r="GR47" i="17" a="1"/>
  <c r="GR47" i="17" s="1"/>
  <c r="GS47" i="17" s="1"/>
  <c r="GR44" i="17" a="1"/>
  <c r="GR44" i="17" s="1"/>
  <c r="GR38" i="17" a="1"/>
  <c r="GR38" i="17" s="1"/>
  <c r="AB43" i="23"/>
  <c r="AB43" i="24" s="1"/>
  <c r="AB43" i="22" s="1"/>
  <c r="GW16" i="17"/>
  <c r="GW19" i="17" s="1"/>
  <c r="J35" i="22"/>
  <c r="B35" i="22"/>
  <c r="Q19" i="16"/>
  <c r="MF36" i="17"/>
  <c r="MF22" i="17" a="1"/>
  <c r="MF22" i="17" s="1"/>
  <c r="MF27" i="17" s="1"/>
  <c r="MF30" i="17" a="1"/>
  <c r="MF30" i="17" s="1"/>
  <c r="MF33" i="17" s="1"/>
  <c r="BE8" i="16"/>
  <c r="BD12" i="16" s="1"/>
  <c r="BO1" i="16"/>
  <c r="B39" i="22"/>
  <c r="B41" i="22"/>
  <c r="LZ22" i="17"/>
  <c r="LZ25" i="17" s="1" a="1"/>
  <c r="LZ25" i="17" s="1"/>
  <c r="M8" i="16" s="1"/>
  <c r="J57" i="22"/>
  <c r="D58" i="22"/>
  <c r="M6" i="16"/>
  <c r="G59" i="22"/>
  <c r="P43" i="23"/>
  <c r="P43" i="24" s="1"/>
  <c r="BF1" i="16"/>
  <c r="AW1" i="16"/>
  <c r="AN1" i="16"/>
  <c r="V1" i="16"/>
  <c r="AE1" i="16"/>
  <c r="AC21" i="22"/>
  <c r="AG74" i="24"/>
  <c r="AG70" i="22" s="1"/>
  <c r="AD72" i="24"/>
  <c r="AD68" i="22" s="1"/>
  <c r="AG75" i="24"/>
  <c r="AG71" i="22" s="1"/>
  <c r="P53" i="23"/>
  <c r="P53" i="24" s="1"/>
  <c r="R35" i="23"/>
  <c r="R35" i="24" s="1"/>
  <c r="C41" i="23"/>
  <c r="C41" i="24" s="1"/>
  <c r="AD71" i="24"/>
  <c r="AD67" i="22" s="1"/>
  <c r="AB44" i="23"/>
  <c r="AB44" i="24" s="1"/>
  <c r="AB44" i="22" s="1"/>
  <c r="AB3" i="23"/>
  <c r="AB3" i="24" s="1"/>
  <c r="AG75" i="3"/>
  <c r="AG75" i="23" s="1"/>
  <c r="AD72" i="3"/>
  <c r="AD72" i="23" s="1"/>
  <c r="AD71" i="3"/>
  <c r="AD71" i="23" s="1"/>
  <c r="LN18" i="17"/>
  <c r="PC5" i="17"/>
  <c r="PO5" i="17"/>
  <c r="PD3" i="17"/>
  <c r="C83" i="3"/>
  <c r="C83" i="23" s="1"/>
  <c r="S82" i="3"/>
  <c r="S82" i="23" s="1"/>
  <c r="S82" i="24" s="1"/>
  <c r="PP10" i="17"/>
  <c r="PP9" i="17"/>
  <c r="PP8" i="17"/>
  <c r="PP7" i="17"/>
  <c r="PO6" i="17"/>
  <c r="PP4" i="17"/>
  <c r="PO3" i="17"/>
  <c r="PF40" i="17"/>
  <c r="ON43" i="17"/>
  <c r="ON37" i="17"/>
  <c r="ON40" i="17"/>
  <c r="OR12" i="17"/>
  <c r="OR11" i="17"/>
  <c r="IX32" i="17"/>
  <c r="IX29" i="17"/>
  <c r="IX33" i="17"/>
  <c r="IX40" i="17"/>
  <c r="IX39" i="17"/>
  <c r="IX38" i="17"/>
  <c r="IX36" i="17"/>
  <c r="IX27" i="17"/>
  <c r="IX31" i="17"/>
  <c r="IX30" i="17"/>
  <c r="IX28" i="17"/>
  <c r="AB27" i="3"/>
  <c r="AB27" i="23" s="1"/>
  <c r="AB27" i="24" s="1"/>
  <c r="AB27" i="22" s="1"/>
  <c r="EZ41" i="17"/>
  <c r="FF22" i="17"/>
  <c r="EZ32" i="17"/>
  <c r="EZ29" i="17"/>
  <c r="FF41" i="17"/>
  <c r="EZ18" i="17" s="1"/>
  <c r="EZ15" i="17" s="1"/>
  <c r="FF38" i="17"/>
  <c r="FF35" i="17"/>
  <c r="FF32" i="17"/>
  <c r="FA6" i="17"/>
  <c r="FD6" i="17" s="1"/>
  <c r="FA5" i="17"/>
  <c r="FD5" i="17" s="1"/>
  <c r="FA4" i="17"/>
  <c r="FC4" i="17" s="1"/>
  <c r="FA3" i="17"/>
  <c r="FD3" i="17" s="1"/>
  <c r="FH18" i="17"/>
  <c r="FH19" i="17"/>
  <c r="N24" i="3"/>
  <c r="N24" i="23" s="1"/>
  <c r="N24" i="24" s="1"/>
  <c r="EN9" i="17"/>
  <c r="AB22" i="3"/>
  <c r="AB22" i="23" s="1"/>
  <c r="AB22" i="24" s="1"/>
  <c r="AB22" i="22" s="1"/>
  <c r="AB21" i="3"/>
  <c r="AB21" i="23" s="1"/>
  <c r="AB21" i="24" s="1"/>
  <c r="AB21" i="22" s="1"/>
  <c r="AB20" i="23"/>
  <c r="AB20" i="24" s="1"/>
  <c r="AB20" i="22" s="1"/>
  <c r="DS11" i="17"/>
  <c r="CX14" i="17"/>
  <c r="CU14" i="17"/>
  <c r="AB18" i="3"/>
  <c r="G16" i="3"/>
  <c r="G16" i="23" s="1"/>
  <c r="G16" i="24" s="1"/>
  <c r="P16" i="3"/>
  <c r="P16" i="23" s="1"/>
  <c r="P16" i="24" s="1"/>
  <c r="AB12" i="3"/>
  <c r="BS4" i="17"/>
  <c r="V11" i="3"/>
  <c r="AB8" i="3"/>
  <c r="AB8" i="23" s="1"/>
  <c r="AB8" i="24" s="1"/>
  <c r="AB8" i="22" s="1"/>
  <c r="AB7" i="3"/>
  <c r="AB7" i="23" s="1"/>
  <c r="AB7" i="24" s="1"/>
  <c r="AB7" i="22" s="1"/>
  <c r="AB5" i="3"/>
  <c r="AB5" i="23" s="1"/>
  <c r="AB5" i="24" s="1"/>
  <c r="AB5" i="22" s="1"/>
  <c r="FK18" i="17"/>
  <c r="FK19" i="17"/>
  <c r="FK20" i="17"/>
  <c r="FK21" i="17"/>
  <c r="FK22" i="17"/>
  <c r="FJ18" i="17"/>
  <c r="FJ19" i="17"/>
  <c r="FJ20" i="17"/>
  <c r="FJ21" i="17"/>
  <c r="FJ22" i="17"/>
  <c r="FI18" i="17"/>
  <c r="FI19" i="17"/>
  <c r="FI20" i="17"/>
  <c r="FI21" i="17"/>
  <c r="FI22" i="17"/>
  <c r="FH22" i="17"/>
  <c r="FH21" i="17"/>
  <c r="FH20" i="17"/>
  <c r="EW9" i="17"/>
  <c r="EW10" i="17"/>
  <c r="EW8" i="17"/>
  <c r="EQ4" i="17"/>
  <c r="ER4" i="17"/>
  <c r="ER3" i="17"/>
  <c r="EQ3" i="17"/>
  <c r="EK8" i="17"/>
  <c r="EK10" i="17" s="1"/>
  <c r="EI3" i="17" s="1"/>
  <c r="EL3" i="17" s="1"/>
  <c r="EE9" i="17"/>
  <c r="EE11" i="17"/>
  <c r="EE16" i="17"/>
  <c r="EE17" i="17"/>
  <c r="EE8" i="17"/>
  <c r="DY9" i="17"/>
  <c r="DY8" i="17"/>
  <c r="DP9" i="17"/>
  <c r="DP10" i="17"/>
  <c r="DP8" i="17"/>
  <c r="DJ9" i="17"/>
  <c r="DJ10" i="17"/>
  <c r="DJ8" i="17"/>
  <c r="DD9" i="17"/>
  <c r="DD10" i="17"/>
  <c r="DC13" i="17" s="1"/>
  <c r="DD8" i="17"/>
  <c r="CV5" i="17"/>
  <c r="CV4" i="17"/>
  <c r="CV3" i="17"/>
  <c r="CQ12" i="17"/>
  <c r="CP5" i="17" s="1"/>
  <c r="CQ13" i="17"/>
  <c r="CP6" i="17" s="1"/>
  <c r="CQ14" i="17"/>
  <c r="CP7" i="17" s="1"/>
  <c r="CQ11" i="17"/>
  <c r="CP4" i="17" s="1"/>
  <c r="CI8" i="17"/>
  <c r="CG4" i="17" s="1"/>
  <c r="CD3" i="17"/>
  <c r="CC3" i="17"/>
  <c r="BS10" i="17"/>
  <c r="BU10" i="17" s="1"/>
  <c r="BS9" i="17"/>
  <c r="BU9" i="17" s="1"/>
  <c r="BR4" i="17" s="1"/>
  <c r="BL8" i="17"/>
  <c r="BM10" i="17" s="1"/>
  <c r="BU3" i="17"/>
  <c r="BT3" i="17"/>
  <c r="BN4" i="17"/>
  <c r="BO4" i="17"/>
  <c r="BN5" i="17"/>
  <c r="BO5" i="17"/>
  <c r="BO3" i="17"/>
  <c r="BN3" i="17"/>
  <c r="BI3" i="17"/>
  <c r="BH3" i="17"/>
  <c r="BB7" i="17"/>
  <c r="AZ3" i="17" s="1"/>
  <c r="BC3" i="17" s="1"/>
  <c r="BB11" i="17"/>
  <c r="BB10" i="17"/>
  <c r="AS4" i="17"/>
  <c r="AT4" i="17"/>
  <c r="AT3" i="17"/>
  <c r="AS3" i="17"/>
  <c r="AM4" i="17"/>
  <c r="AN4" i="17"/>
  <c r="AM5" i="17"/>
  <c r="AN5" i="17"/>
  <c r="AM6" i="17"/>
  <c r="AN6" i="17"/>
  <c r="AM7" i="17"/>
  <c r="AN7" i="17"/>
  <c r="AN8" i="17"/>
  <c r="AM9" i="17"/>
  <c r="AN9" i="17"/>
  <c r="AM10" i="17"/>
  <c r="AN10" i="17"/>
  <c r="AM11" i="17"/>
  <c r="AN11" i="17"/>
  <c r="AM12" i="17"/>
  <c r="AN12" i="17"/>
  <c r="AN3" i="17"/>
  <c r="AM3" i="17"/>
  <c r="AA4" i="17"/>
  <c r="AB4" i="17"/>
  <c r="U4" i="17"/>
  <c r="V4" i="17"/>
  <c r="U5" i="17"/>
  <c r="V5" i="17"/>
  <c r="O4" i="17"/>
  <c r="P4" i="17"/>
  <c r="O5" i="17"/>
  <c r="P5" i="17"/>
  <c r="J4" i="17"/>
  <c r="I5" i="17"/>
  <c r="J5" i="17"/>
  <c r="AB3" i="17"/>
  <c r="AA3" i="17"/>
  <c r="V3" i="17"/>
  <c r="U3" i="17"/>
  <c r="P3" i="17"/>
  <c r="O3" i="17"/>
  <c r="J3" i="17"/>
  <c r="QW3" i="17"/>
  <c r="QX3" i="17"/>
  <c r="QW4" i="17"/>
  <c r="QX4" i="17"/>
  <c r="QW5" i="17"/>
  <c r="QX5" i="17"/>
  <c r="QW6" i="17"/>
  <c r="QX6" i="17"/>
  <c r="QW7" i="17"/>
  <c r="QX7" i="17"/>
  <c r="QC3" i="17"/>
  <c r="QF3" i="17" s="1"/>
  <c r="QL3" i="17"/>
  <c r="QK3" i="17"/>
  <c r="PZ3" i="17"/>
  <c r="PY3" i="17"/>
  <c r="PG12" i="17"/>
  <c r="PA6" i="17"/>
  <c r="PA4" i="17"/>
  <c r="PD4" i="17" s="1"/>
  <c r="OI4" i="17"/>
  <c r="OK4" i="17" s="1"/>
  <c r="OI5" i="17"/>
  <c r="OK5" i="17" s="1"/>
  <c r="OI3" i="17"/>
  <c r="OL3" i="17" s="1"/>
  <c r="OC5" i="17"/>
  <c r="OF5" i="17" s="1"/>
  <c r="OC4" i="17"/>
  <c r="OE4" i="17" s="1"/>
  <c r="OC3" i="17"/>
  <c r="OE3" i="17" s="1"/>
  <c r="NQ6" i="17"/>
  <c r="NQ3" i="17" s="1"/>
  <c r="NT3" i="17" s="1"/>
  <c r="NZ4" i="17"/>
  <c r="NY4" i="17"/>
  <c r="NN3" i="17"/>
  <c r="NM3" i="17"/>
  <c r="NE7" i="17"/>
  <c r="NE6" i="17"/>
  <c r="MM4" i="17"/>
  <c r="ML4" i="17"/>
  <c r="MC6" i="17"/>
  <c r="MA5" i="17"/>
  <c r="MC5" i="17" s="1"/>
  <c r="MA4" i="17"/>
  <c r="MD4" i="17" s="1"/>
  <c r="LU16" i="17"/>
  <c r="LU3" i="17" s="1"/>
  <c r="LX3" i="17" s="1"/>
  <c r="LU12" i="17"/>
  <c r="LU4" i="17" s="1"/>
  <c r="LR4" i="17"/>
  <c r="LR3" i="17"/>
  <c r="LQ3" i="17"/>
  <c r="LJ8" i="17"/>
  <c r="LJ7" i="17"/>
  <c r="LJ6" i="17"/>
  <c r="LF4" i="17"/>
  <c r="LF5" i="17"/>
  <c r="LE4" i="17"/>
  <c r="LE5" i="17"/>
  <c r="KF6" i="17"/>
  <c r="KF4" i="17"/>
  <c r="KH10" i="17"/>
  <c r="KG10" i="17"/>
  <c r="KH9" i="17"/>
  <c r="KG9" i="17"/>
  <c r="KE4" i="17"/>
  <c r="KE6" i="17"/>
  <c r="KH5" i="17"/>
  <c r="KG5" i="17"/>
  <c r="KH3" i="17"/>
  <c r="KG3" i="17"/>
  <c r="JV4" i="17"/>
  <c r="JV5" i="17"/>
  <c r="JV6" i="17"/>
  <c r="JU4" i="17"/>
  <c r="JU5" i="17"/>
  <c r="JU6" i="17"/>
  <c r="JV3" i="17"/>
  <c r="JU3" i="17"/>
  <c r="JJ4" i="17"/>
  <c r="JM4" i="17" s="1"/>
  <c r="IY16" i="17"/>
  <c r="IY14" i="17"/>
  <c r="IY12" i="17"/>
  <c r="IX3" i="17" s="1"/>
  <c r="IY7" i="17"/>
  <c r="IY6" i="17"/>
  <c r="JG3" i="17"/>
  <c r="JF3" i="17"/>
  <c r="HT12" i="17"/>
  <c r="HV9" i="17"/>
  <c r="HU9" i="17"/>
  <c r="HV4" i="17"/>
  <c r="HV5" i="17"/>
  <c r="HV6" i="17"/>
  <c r="HU4" i="17"/>
  <c r="HU5" i="17"/>
  <c r="HU6" i="17"/>
  <c r="HM4" i="17"/>
  <c r="HL4" i="17"/>
  <c r="HJ3" i="17"/>
  <c r="HL3" i="17" s="1"/>
  <c r="HD3" i="17"/>
  <c r="HG3" i="17" s="1"/>
  <c r="HG4" i="17"/>
  <c r="HF4" i="17"/>
  <c r="HA4" i="17"/>
  <c r="HA5" i="17"/>
  <c r="GZ4" i="17"/>
  <c r="GZ5" i="17"/>
  <c r="HA3" i="17"/>
  <c r="GZ3" i="17"/>
  <c r="GT4" i="17"/>
  <c r="GT5" i="17"/>
  <c r="GU4" i="17"/>
  <c r="GU5" i="17"/>
  <c r="GU3" i="17"/>
  <c r="GT3" i="17"/>
  <c r="GH3" i="17"/>
  <c r="GK3" i="17" s="1"/>
  <c r="GH4" i="17"/>
  <c r="GK4" i="17" s="1"/>
  <c r="GH6" i="17"/>
  <c r="GK6" i="17" s="1"/>
  <c r="GH7" i="17"/>
  <c r="GK7" i="17" s="1"/>
  <c r="GH8" i="17"/>
  <c r="GK8" i="17" s="1"/>
  <c r="GH5" i="17"/>
  <c r="GJ5" i="17" s="1"/>
  <c r="GD4" i="17"/>
  <c r="GE4" i="17"/>
  <c r="GD5" i="17"/>
  <c r="GE5" i="17"/>
  <c r="GD6" i="17"/>
  <c r="GE6" i="17"/>
  <c r="GE3" i="17"/>
  <c r="GD3" i="17"/>
  <c r="FV4" i="17"/>
  <c r="FV5" i="17"/>
  <c r="FV8" i="17"/>
  <c r="FV6" i="17"/>
  <c r="FV7" i="17"/>
  <c r="FV3" i="17"/>
  <c r="FU4" i="17"/>
  <c r="FU5" i="17"/>
  <c r="FU8" i="17"/>
  <c r="FU6" i="17"/>
  <c r="FU7" i="17"/>
  <c r="FU3" i="17"/>
  <c r="FP7" i="17"/>
  <c r="FP3" i="17"/>
  <c r="FP6" i="17"/>
  <c r="FO7" i="17"/>
  <c r="FO3" i="17"/>
  <c r="FO6" i="17"/>
  <c r="FG10" i="17"/>
  <c r="FJ17" i="17" s="1"/>
  <c r="EC15" i="17"/>
  <c r="EE15" i="17" s="1"/>
  <c r="EC14" i="17"/>
  <c r="EE14" i="17" s="1"/>
  <c r="EC13" i="17"/>
  <c r="EE13" i="17" s="1"/>
  <c r="EC12" i="17"/>
  <c r="EE12" i="17" s="1"/>
  <c r="EC10" i="17"/>
  <c r="EE10" i="17" s="1"/>
  <c r="DY10" i="17"/>
  <c r="CC9" i="17"/>
  <c r="CD9" i="17" s="1"/>
  <c r="CD7" i="17"/>
  <c r="CC8" i="17"/>
  <c r="CD8" i="17" s="1"/>
  <c r="AG4" i="17"/>
  <c r="AG5" i="17"/>
  <c r="AG6" i="17"/>
  <c r="AG3" i="17"/>
  <c r="AH4" i="17"/>
  <c r="AH5" i="17"/>
  <c r="AH6" i="17"/>
  <c r="AH3" i="17"/>
  <c r="KR5" i="17"/>
  <c r="KR4" i="17"/>
  <c r="KR3" i="17"/>
  <c r="FY4" i="17"/>
  <c r="FY3" i="17"/>
  <c r="U12" i="16" l="1"/>
  <c r="GS41" i="17"/>
  <c r="GS44" i="17"/>
  <c r="GS38" i="17"/>
  <c r="P43" i="22"/>
  <c r="AC26" i="24"/>
  <c r="AB3" i="22"/>
  <c r="AF29" i="22" s="1"/>
  <c r="O2" i="16"/>
  <c r="L14" i="16"/>
  <c r="JR17" i="17"/>
  <c r="RV10" i="17"/>
  <c r="F2" i="16"/>
  <c r="AY2" i="16" s="1"/>
  <c r="O71" i="22"/>
  <c r="U74" i="22"/>
  <c r="AN2" i="16"/>
  <c r="R30" i="22"/>
  <c r="R29" i="22"/>
  <c r="BF2" i="16"/>
  <c r="V2" i="16"/>
  <c r="AW2" i="16"/>
  <c r="R31" i="22"/>
  <c r="R28" i="22"/>
  <c r="U1" i="16"/>
  <c r="AM1" i="16" s="1"/>
  <c r="BE1" i="16" s="1"/>
  <c r="BO2" i="16"/>
  <c r="BN8" i="16"/>
  <c r="B3" i="22"/>
  <c r="AG73" i="24"/>
  <c r="AG69" i="22" s="1"/>
  <c r="P53" i="22"/>
  <c r="S46" i="22" s="1"/>
  <c r="ND16" i="17"/>
  <c r="ND19" i="17" s="1"/>
  <c r="V16" i="16" s="1"/>
  <c r="AE18" i="16" s="1"/>
  <c r="OZ35" i="17"/>
  <c r="Y75" i="24"/>
  <c r="BI24" i="16"/>
  <c r="J75" i="22"/>
  <c r="Y75" i="22" s="1"/>
  <c r="O72" i="22"/>
  <c r="T36" i="22"/>
  <c r="H88" i="22"/>
  <c r="L22" i="16"/>
  <c r="R35" i="22"/>
  <c r="L16" i="16"/>
  <c r="MF39" i="17"/>
  <c r="BE9" i="16" s="1"/>
  <c r="JS24" i="17"/>
  <c r="JR27" i="17" s="1"/>
  <c r="D7" i="16" s="1"/>
  <c r="D5" i="16"/>
  <c r="M20" i="16" s="1"/>
  <c r="C79" i="22"/>
  <c r="R28" i="3"/>
  <c r="R28" i="23" s="1"/>
  <c r="R28" i="24" s="1"/>
  <c r="R31" i="3"/>
  <c r="CU11" i="17"/>
  <c r="CU17" i="17" s="1"/>
  <c r="AB18" i="23"/>
  <c r="AB18" i="24" s="1"/>
  <c r="AB18" i="22" s="1"/>
  <c r="AB11" i="3"/>
  <c r="AB11" i="23" s="1"/>
  <c r="AB11" i="24" s="1"/>
  <c r="AB11" i="22" s="1"/>
  <c r="K12" i="22" s="1"/>
  <c r="V11" i="23"/>
  <c r="V11" i="24" s="1"/>
  <c r="C79" i="3"/>
  <c r="PJ5" i="17"/>
  <c r="PG4" i="17"/>
  <c r="U74" i="3"/>
  <c r="U74" i="23" s="1"/>
  <c r="U74" i="24" s="1"/>
  <c r="IY40" i="17" a="1"/>
  <c r="IY40" i="17" s="1"/>
  <c r="EK3" i="17"/>
  <c r="R30" i="3"/>
  <c r="IY33" i="17" a="1"/>
  <c r="IY33" i="17" s="1"/>
  <c r="R29" i="3"/>
  <c r="FF29" i="17"/>
  <c r="FC3" i="17"/>
  <c r="FD4" i="17"/>
  <c r="FC5" i="17"/>
  <c r="FC6" i="17"/>
  <c r="FH17" i="17"/>
  <c r="FH23" i="17" s="1"/>
  <c r="FG3" i="17" s="1"/>
  <c r="FJ3" i="17" s="1"/>
  <c r="CX9" i="17"/>
  <c r="FJ23" i="17"/>
  <c r="FG5" i="17" s="1"/>
  <c r="FI5" i="17" s="1"/>
  <c r="FK17" i="17"/>
  <c r="FK23" i="17" s="1"/>
  <c r="FG6" i="17" s="1"/>
  <c r="FI6" i="17" s="1"/>
  <c r="EW11" i="17"/>
  <c r="EU3" i="17" s="1"/>
  <c r="EX3" i="17" s="1"/>
  <c r="FI17" i="17"/>
  <c r="FI23" i="17" s="1"/>
  <c r="FG4" i="17" s="1"/>
  <c r="JA3" i="17"/>
  <c r="EE18" i="17"/>
  <c r="EC4" i="17" s="1"/>
  <c r="ED18" i="17"/>
  <c r="EC3" i="17" s="1"/>
  <c r="DJ11" i="17"/>
  <c r="DH3" i="17" s="1"/>
  <c r="DK3" i="17" s="1"/>
  <c r="DD12" i="17"/>
  <c r="CR6" i="17"/>
  <c r="CS6" i="17"/>
  <c r="CI4" i="17"/>
  <c r="CJ4" i="17"/>
  <c r="CR4" i="17"/>
  <c r="CS4" i="17"/>
  <c r="CR5" i="17"/>
  <c r="CS5" i="17"/>
  <c r="CR7" i="17"/>
  <c r="CS7" i="17"/>
  <c r="BT4" i="17"/>
  <c r="BU4" i="17"/>
  <c r="BT5" i="17"/>
  <c r="BU5" i="17"/>
  <c r="BM9" i="17"/>
  <c r="BB12" i="17"/>
  <c r="AZ4" i="17" s="1"/>
  <c r="BC4" i="17" s="1"/>
  <c r="BB3" i="17"/>
  <c r="PJ4" i="17"/>
  <c r="QE3" i="17"/>
  <c r="PI5" i="17"/>
  <c r="PD6" i="17"/>
  <c r="PC6" i="17"/>
  <c r="PC4" i="17"/>
  <c r="OF3" i="17"/>
  <c r="OF4" i="17"/>
  <c r="OE5" i="17"/>
  <c r="OL5" i="17"/>
  <c r="OL4" i="17"/>
  <c r="OK3" i="17"/>
  <c r="NS3" i="17"/>
  <c r="NE3" i="17"/>
  <c r="NH3" i="17" s="1"/>
  <c r="LX4" i="17"/>
  <c r="LW4" i="17"/>
  <c r="MC4" i="17"/>
  <c r="MD6" i="17"/>
  <c r="MD5" i="17"/>
  <c r="LW3" i="17"/>
  <c r="LQ4" i="17"/>
  <c r="LJ9" i="17"/>
  <c r="LI3" i="17" s="1"/>
  <c r="LK3" i="17" s="1"/>
  <c r="KH6" i="17"/>
  <c r="KG4" i="17"/>
  <c r="KH4" i="17"/>
  <c r="KG6" i="17"/>
  <c r="JL4" i="17"/>
  <c r="IZ3" i="17"/>
  <c r="HM3" i="17"/>
  <c r="HF3" i="17"/>
  <c r="GJ4" i="17"/>
  <c r="GJ3" i="17"/>
  <c r="GJ7" i="17"/>
  <c r="GJ6" i="17"/>
  <c r="GJ8" i="17"/>
  <c r="GK5" i="17"/>
  <c r="DP11" i="17"/>
  <c r="DN5" i="17" s="1"/>
  <c r="DY12" i="17"/>
  <c r="DW3" i="17" s="1"/>
  <c r="DY11" i="17"/>
  <c r="DW4" i="17" s="1"/>
  <c r="CD10" i="17"/>
  <c r="GR51" i="17" l="1"/>
  <c r="AB35" i="3" s="1"/>
  <c r="AB35" i="23" s="1"/>
  <c r="AB35" i="24" s="1"/>
  <c r="AB35" i="22" s="1"/>
  <c r="AG2" i="16"/>
  <c r="BQ2" i="16"/>
  <c r="AP2" i="16"/>
  <c r="X2" i="16"/>
  <c r="BH2" i="16"/>
  <c r="AB28" i="3"/>
  <c r="AB28" i="23" s="1"/>
  <c r="AB28" i="24" s="1"/>
  <c r="AB28" i="22" s="1"/>
  <c r="AB26" i="3"/>
  <c r="AB26" i="23" s="1"/>
  <c r="AB26" i="24" s="1"/>
  <c r="AB26" i="22" s="1"/>
  <c r="I37" i="22"/>
  <c r="AB79" i="3"/>
  <c r="AB79" i="23" s="1"/>
  <c r="AB79" i="24" s="1"/>
  <c r="AB79" i="22" s="1"/>
  <c r="C79" i="23"/>
  <c r="C79" i="24" s="1"/>
  <c r="AB29" i="3"/>
  <c r="AB29" i="23" s="1"/>
  <c r="AB29" i="24" s="1"/>
  <c r="AB29" i="22" s="1"/>
  <c r="R29" i="23"/>
  <c r="R29" i="24" s="1"/>
  <c r="AB30" i="3"/>
  <c r="AB30" i="23" s="1"/>
  <c r="AB30" i="24" s="1"/>
  <c r="AB30" i="22" s="1"/>
  <c r="R30" i="23"/>
  <c r="R30" i="24" s="1"/>
  <c r="AB31" i="3"/>
  <c r="AB31" i="23" s="1"/>
  <c r="AB31" i="24" s="1"/>
  <c r="AB31" i="22" s="1"/>
  <c r="R31" i="23"/>
  <c r="R31" i="24" s="1"/>
  <c r="I37" i="3"/>
  <c r="I37" i="23" s="1"/>
  <c r="I37" i="24" s="1"/>
  <c r="EW3" i="17"/>
  <c r="FJ5" i="17"/>
  <c r="FJ6" i="17"/>
  <c r="DJ3" i="17"/>
  <c r="FI3" i="17"/>
  <c r="DS14" i="17"/>
  <c r="EN13" i="17"/>
  <c r="CX17" i="17"/>
  <c r="DS19" i="17"/>
  <c r="FI4" i="17"/>
  <c r="FJ4" i="17"/>
  <c r="BB4" i="17"/>
  <c r="EF3" i="17"/>
  <c r="EE3" i="17"/>
  <c r="EF4" i="17"/>
  <c r="EE4" i="17"/>
  <c r="DZ3" i="17"/>
  <c r="DY3" i="17"/>
  <c r="DY4" i="17"/>
  <c r="DZ4" i="17"/>
  <c r="DQ5" i="17"/>
  <c r="DN4" i="17"/>
  <c r="DP5" i="17"/>
  <c r="DN3" i="17"/>
  <c r="DD13" i="17"/>
  <c r="DB4" i="17" s="1"/>
  <c r="DB3" i="17"/>
  <c r="PI4" i="17"/>
  <c r="NG3" i="17"/>
  <c r="LL3" i="17"/>
  <c r="N17" i="22" l="1"/>
  <c r="N23" i="22"/>
  <c r="DS23" i="17"/>
  <c r="EN17" i="17"/>
  <c r="N23" i="3"/>
  <c r="N17" i="3"/>
  <c r="DP4" i="17"/>
  <c r="DQ4" i="17"/>
  <c r="DP3" i="17"/>
  <c r="DQ3" i="17"/>
  <c r="DE3" i="17"/>
  <c r="DD3" i="17"/>
  <c r="DD4" i="17"/>
  <c r="DE4" i="17"/>
  <c r="N19" i="22" l="1"/>
  <c r="AB17" i="3"/>
  <c r="AB17" i="23" s="1"/>
  <c r="AB17" i="24" s="1"/>
  <c r="AB17" i="22" s="1"/>
  <c r="N17" i="23"/>
  <c r="N17" i="24" s="1"/>
  <c r="AB23" i="3"/>
  <c r="AB23" i="23" s="1"/>
  <c r="AB23" i="24" s="1"/>
  <c r="AB23" i="22" s="1"/>
  <c r="N23" i="23"/>
  <c r="N23" i="24" s="1"/>
  <c r="N19" i="3"/>
  <c r="K12" i="3"/>
  <c r="K12" i="23" s="1"/>
  <c r="K12" i="24" s="1"/>
  <c r="I44" i="23"/>
  <c r="C43" i="23"/>
  <c r="C44" i="23"/>
  <c r="AB19" i="3" l="1"/>
  <c r="N19" i="23"/>
  <c r="N19" i="24" s="1"/>
  <c r="AC31" i="3" l="1"/>
  <c r="AB19" i="23"/>
  <c r="AB19" i="24" s="1"/>
  <c r="AC31" i="24" l="1"/>
  <c r="AC41" i="24" s="1"/>
  <c r="AC51" i="24" s="1"/>
  <c r="AB19" i="22"/>
  <c r="AF28" i="22" s="1"/>
  <c r="AF30" i="22" s="1"/>
  <c r="AF45" i="22" s="1"/>
  <c r="AF48" i="22" s="1"/>
  <c r="AC53" i="22" s="1"/>
  <c r="AC41" i="3"/>
  <c r="AC51" i="3" s="1"/>
  <c r="AC51" i="23" s="1"/>
  <c r="AC31" i="23"/>
  <c r="AC41" i="2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Bosar</author>
  </authors>
  <commentList>
    <comment ref="V11" authorId="0" shapeId="0" xr:uid="{D9B05FC2-76FC-43D4-8BF3-8C0B68693D83}">
      <text>
        <r>
          <rPr>
            <b/>
            <sz val="9"/>
            <color indexed="81"/>
            <rFont val="Tahoma"/>
            <family val="2"/>
          </rPr>
          <t>Robert Bosar:</t>
        </r>
        <r>
          <rPr>
            <sz val="9"/>
            <color indexed="81"/>
            <rFont val="Tahoma"/>
            <family val="2"/>
          </rPr>
          <t xml:space="preserve">
Logic Text
</t>
        </r>
      </text>
    </comment>
    <comment ref="K12" authorId="0" shapeId="0" xr:uid="{51B4CB6D-FC51-42B9-A49B-C352982216E3}">
      <text>
        <r>
          <rPr>
            <b/>
            <sz val="9"/>
            <color indexed="81"/>
            <rFont val="Tahoma"/>
            <family val="2"/>
          </rPr>
          <t>Robert Bosar:</t>
        </r>
        <r>
          <rPr>
            <sz val="9"/>
            <color indexed="81"/>
            <rFont val="Tahoma"/>
            <family val="2"/>
          </rPr>
          <t xml:space="preserve">
Logic Text
</t>
        </r>
      </text>
    </comment>
    <comment ref="G16" authorId="0" shapeId="0" xr:uid="{1C25913C-644F-498D-B5BC-ECE707FD970C}">
      <text>
        <r>
          <rPr>
            <b/>
            <sz val="9"/>
            <color indexed="81"/>
            <rFont val="Tahoma"/>
            <family val="2"/>
          </rPr>
          <t>Robert Bosar:</t>
        </r>
        <r>
          <rPr>
            <sz val="9"/>
            <color indexed="81"/>
            <rFont val="Tahoma"/>
            <family val="2"/>
          </rPr>
          <t xml:space="preserve">
Logic Text
</t>
        </r>
      </text>
    </comment>
    <comment ref="P16" authorId="0" shapeId="0" xr:uid="{C84DE0B2-05CB-4C40-8347-CF083DB42F7F}">
      <text>
        <r>
          <rPr>
            <b/>
            <sz val="9"/>
            <color indexed="81"/>
            <rFont val="Tahoma"/>
            <family val="2"/>
          </rPr>
          <t>Robert Bosar:</t>
        </r>
        <r>
          <rPr>
            <sz val="9"/>
            <color indexed="81"/>
            <rFont val="Tahoma"/>
            <family val="2"/>
          </rPr>
          <t xml:space="preserve">
Logic Text
</t>
        </r>
      </text>
    </comment>
    <comment ref="N17" authorId="0" shapeId="0" xr:uid="{13E4E919-2CF2-4777-86FF-FC2C06E77AD4}">
      <text>
        <r>
          <rPr>
            <b/>
            <sz val="9"/>
            <color indexed="81"/>
            <rFont val="Tahoma"/>
            <family val="2"/>
          </rPr>
          <t>Robert Bosar:</t>
        </r>
        <r>
          <rPr>
            <sz val="9"/>
            <color indexed="81"/>
            <rFont val="Tahoma"/>
            <family val="2"/>
          </rPr>
          <t xml:space="preserve">
Logic Text
</t>
        </r>
      </text>
    </comment>
    <comment ref="N19" authorId="0" shapeId="0" xr:uid="{4D555506-90B3-4E6F-8093-81829F006F8F}">
      <text>
        <r>
          <rPr>
            <b/>
            <sz val="9"/>
            <color indexed="81"/>
            <rFont val="Tahoma"/>
            <family val="2"/>
          </rPr>
          <t>Robert Bosar:</t>
        </r>
        <r>
          <rPr>
            <sz val="9"/>
            <color indexed="81"/>
            <rFont val="Tahoma"/>
            <family val="2"/>
          </rPr>
          <t xml:space="preserve">
Logic Text
</t>
        </r>
      </text>
    </comment>
    <comment ref="N23" authorId="0" shapeId="0" xr:uid="{F3572ADF-4414-4909-8357-99E16CD30EDA}">
      <text>
        <r>
          <rPr>
            <b/>
            <sz val="9"/>
            <color indexed="81"/>
            <rFont val="Tahoma"/>
            <family val="2"/>
          </rPr>
          <t>Robert Bosar:</t>
        </r>
        <r>
          <rPr>
            <sz val="9"/>
            <color indexed="81"/>
            <rFont val="Tahoma"/>
            <family val="2"/>
          </rPr>
          <t xml:space="preserve">
Logic Text
</t>
        </r>
      </text>
    </comment>
    <comment ref="C24" authorId="0" shapeId="0" xr:uid="{AB69E472-CAD4-41E5-BFB7-902A1516E343}">
      <text>
        <r>
          <rPr>
            <b/>
            <sz val="9"/>
            <color indexed="81"/>
            <rFont val="Tahoma"/>
            <family val="2"/>
          </rPr>
          <t>Robert Bosar:</t>
        </r>
        <r>
          <rPr>
            <sz val="9"/>
            <color indexed="81"/>
            <rFont val="Tahoma"/>
            <family val="2"/>
          </rPr>
          <t xml:space="preserve">
Logic Text
</t>
        </r>
      </text>
    </comment>
    <comment ref="N24" authorId="0" shapeId="0" xr:uid="{8ACF19E8-FD32-4011-985D-54B3A375EBF1}">
      <text>
        <r>
          <rPr>
            <b/>
            <sz val="9"/>
            <color indexed="81"/>
            <rFont val="Tahoma"/>
            <family val="2"/>
          </rPr>
          <t>Robert Bosar:</t>
        </r>
        <r>
          <rPr>
            <sz val="9"/>
            <color indexed="81"/>
            <rFont val="Tahoma"/>
            <family val="2"/>
          </rPr>
          <t xml:space="preserve">
Logic Text
</t>
        </r>
      </text>
    </comment>
    <comment ref="R28" authorId="0" shapeId="0" xr:uid="{AB2C056C-CD8A-4483-9055-D0F8DAF49E98}">
      <text>
        <r>
          <rPr>
            <b/>
            <sz val="9"/>
            <color indexed="81"/>
            <rFont val="Tahoma"/>
            <family val="2"/>
          </rPr>
          <t>Robert Bosar:</t>
        </r>
        <r>
          <rPr>
            <sz val="9"/>
            <color indexed="81"/>
            <rFont val="Tahoma"/>
            <family val="2"/>
          </rPr>
          <t xml:space="preserve">
Logic Text
</t>
        </r>
      </text>
    </comment>
    <comment ref="R29" authorId="0" shapeId="0" xr:uid="{CEDD0F9F-E893-4A1F-9C7C-ACC2069EB33A}">
      <text>
        <r>
          <rPr>
            <b/>
            <sz val="9"/>
            <color indexed="81"/>
            <rFont val="Tahoma"/>
            <family val="2"/>
          </rPr>
          <t>Robert Bosar:</t>
        </r>
        <r>
          <rPr>
            <sz val="9"/>
            <color indexed="81"/>
            <rFont val="Tahoma"/>
            <family val="2"/>
          </rPr>
          <t xml:space="preserve">
Logic Text</t>
        </r>
      </text>
    </comment>
    <comment ref="R30" authorId="0" shapeId="0" xr:uid="{FB32837B-B639-41CE-A0FA-8284605ABF13}">
      <text>
        <r>
          <rPr>
            <b/>
            <sz val="9"/>
            <color indexed="81"/>
            <rFont val="Tahoma"/>
            <family val="2"/>
          </rPr>
          <t>Robert Bosar:</t>
        </r>
        <r>
          <rPr>
            <sz val="9"/>
            <color indexed="81"/>
            <rFont val="Tahoma"/>
            <family val="2"/>
          </rPr>
          <t xml:space="preserve">
Logic Text
</t>
        </r>
      </text>
    </comment>
    <comment ref="R31" authorId="0" shapeId="0" xr:uid="{5F0A00B6-D66D-428B-BD44-CB6F45FAE3E8}">
      <text>
        <r>
          <rPr>
            <b/>
            <sz val="9"/>
            <color indexed="81"/>
            <rFont val="Tahoma"/>
            <family val="2"/>
          </rPr>
          <t>Robert Bosar:</t>
        </r>
        <r>
          <rPr>
            <sz val="9"/>
            <color indexed="81"/>
            <rFont val="Tahoma"/>
            <family val="2"/>
          </rPr>
          <t xml:space="preserve">
Logic Text
</t>
        </r>
      </text>
    </comment>
    <comment ref="B33" authorId="0" shapeId="0" xr:uid="{C27E1B11-88F2-4ED4-9639-575707438485}">
      <text>
        <r>
          <rPr>
            <b/>
            <sz val="9"/>
            <color indexed="81"/>
            <rFont val="Tahoma"/>
            <family val="2"/>
          </rPr>
          <t>Robert Bosar:</t>
        </r>
        <r>
          <rPr>
            <sz val="9"/>
            <color indexed="81"/>
            <rFont val="Tahoma"/>
            <family val="2"/>
          </rPr>
          <t xml:space="preserve">
Logic Text
</t>
        </r>
      </text>
    </comment>
    <comment ref="R35" authorId="0" shapeId="0" xr:uid="{D9C753A8-3AE8-42C6-ADA4-76586F56C8F2}">
      <text>
        <r>
          <rPr>
            <b/>
            <sz val="9"/>
            <color indexed="81"/>
            <rFont val="Tahoma"/>
            <family val="2"/>
          </rPr>
          <t>Robert Bosar:</t>
        </r>
        <r>
          <rPr>
            <sz val="9"/>
            <color indexed="81"/>
            <rFont val="Tahoma"/>
            <family val="2"/>
          </rPr>
          <t xml:space="preserve">
Logic Text
</t>
        </r>
      </text>
    </comment>
    <comment ref="T36" authorId="0" shapeId="0" xr:uid="{A4708310-DD91-4821-AC6C-B0AECC7B0439}">
      <text>
        <r>
          <rPr>
            <b/>
            <sz val="9"/>
            <color indexed="81"/>
            <rFont val="Tahoma"/>
            <family val="2"/>
          </rPr>
          <t>Robert Bosar:</t>
        </r>
        <r>
          <rPr>
            <sz val="9"/>
            <color indexed="81"/>
            <rFont val="Tahoma"/>
            <family val="2"/>
          </rPr>
          <t xml:space="preserve">
Logic Text
</t>
        </r>
      </text>
    </comment>
    <comment ref="I37" authorId="0" shapeId="0" xr:uid="{30AF9A5C-0246-4672-8E79-F381ABB21575}">
      <text>
        <r>
          <rPr>
            <b/>
            <sz val="9"/>
            <color indexed="81"/>
            <rFont val="Tahoma"/>
            <family val="2"/>
          </rPr>
          <t>Robert Bosar:</t>
        </r>
        <r>
          <rPr>
            <sz val="9"/>
            <color indexed="81"/>
            <rFont val="Tahoma"/>
            <family val="2"/>
          </rPr>
          <t xml:space="preserve">
Logic Text
</t>
        </r>
      </text>
    </comment>
    <comment ref="L38" authorId="0" shapeId="0" xr:uid="{C19A4230-7A66-464D-B3D3-0488B6799519}">
      <text>
        <r>
          <rPr>
            <b/>
            <sz val="9"/>
            <color indexed="81"/>
            <rFont val="Tahoma"/>
            <family val="2"/>
          </rPr>
          <t>Robert Bosar:</t>
        </r>
        <r>
          <rPr>
            <sz val="9"/>
            <color indexed="81"/>
            <rFont val="Tahoma"/>
            <family val="2"/>
          </rPr>
          <t xml:space="preserve">
Logic Text</t>
        </r>
      </text>
    </comment>
    <comment ref="C39" authorId="0" shapeId="0" xr:uid="{725AC338-4E07-479C-858A-32C4C24D181F}">
      <text>
        <r>
          <rPr>
            <b/>
            <sz val="9"/>
            <color indexed="81"/>
            <rFont val="Tahoma"/>
            <family val="2"/>
          </rPr>
          <t>Robert Bosar:</t>
        </r>
        <r>
          <rPr>
            <sz val="9"/>
            <color indexed="81"/>
            <rFont val="Tahoma"/>
            <family val="2"/>
          </rPr>
          <t xml:space="preserve">
Logic Text</t>
        </r>
      </text>
    </comment>
    <comment ref="C41" authorId="0" shapeId="0" xr:uid="{4BFD3C4A-2F64-4096-898B-D4619411EA97}">
      <text>
        <r>
          <rPr>
            <b/>
            <sz val="9"/>
            <color indexed="81"/>
            <rFont val="Tahoma"/>
            <family val="2"/>
          </rPr>
          <t>Robert Bosar:</t>
        </r>
        <r>
          <rPr>
            <sz val="9"/>
            <color indexed="81"/>
            <rFont val="Tahoma"/>
            <family val="2"/>
          </rPr>
          <t xml:space="preserve">
Logic Text
</t>
        </r>
      </text>
    </comment>
    <comment ref="P43" authorId="0" shapeId="0" xr:uid="{D15D93A2-98FF-41CA-BD6B-05F29724B8F0}">
      <text>
        <r>
          <rPr>
            <b/>
            <sz val="9"/>
            <color indexed="81"/>
            <rFont val="Tahoma"/>
            <family val="2"/>
          </rPr>
          <t>Robert Bosar:</t>
        </r>
        <r>
          <rPr>
            <sz val="9"/>
            <color indexed="81"/>
            <rFont val="Tahoma"/>
            <family val="2"/>
          </rPr>
          <t xml:space="preserve">
Logic Text
</t>
        </r>
      </text>
    </comment>
    <comment ref="S46" authorId="0" shapeId="0" xr:uid="{60C327CA-9327-425B-B080-8C1C39FAEFD1}">
      <text>
        <r>
          <rPr>
            <b/>
            <sz val="9"/>
            <color indexed="81"/>
            <rFont val="Tahoma"/>
            <family val="2"/>
          </rPr>
          <t>Robert Bosar:</t>
        </r>
        <r>
          <rPr>
            <sz val="9"/>
            <color indexed="81"/>
            <rFont val="Tahoma"/>
            <family val="2"/>
          </rPr>
          <t xml:space="preserve">
Logic Message
</t>
        </r>
      </text>
    </comment>
    <comment ref="S47" authorId="0" shapeId="0" xr:uid="{BA92C5A8-91EB-4818-A175-6E07FEDD92C1}">
      <text>
        <r>
          <rPr>
            <b/>
            <sz val="9"/>
            <color indexed="81"/>
            <rFont val="Tahoma"/>
            <family val="2"/>
          </rPr>
          <t>Robert Bosar:</t>
        </r>
        <r>
          <rPr>
            <sz val="9"/>
            <color indexed="81"/>
            <rFont val="Tahoma"/>
            <family val="2"/>
          </rPr>
          <t xml:space="preserve">
Logic Text
</t>
        </r>
      </text>
    </comment>
    <comment ref="P52" authorId="0" shapeId="0" xr:uid="{9F239B36-844A-4866-8BC7-608D3D8F0B98}">
      <text>
        <r>
          <rPr>
            <b/>
            <sz val="9"/>
            <color indexed="81"/>
            <rFont val="Tahoma"/>
            <family val="2"/>
          </rPr>
          <t>Robert Bosar:</t>
        </r>
        <r>
          <rPr>
            <sz val="9"/>
            <color indexed="81"/>
            <rFont val="Tahoma"/>
            <family val="2"/>
          </rPr>
          <t xml:space="preserve">
Logic Text
</t>
        </r>
      </text>
    </comment>
    <comment ref="P53" authorId="0" shapeId="0" xr:uid="{47C3EA09-956D-40EC-BB8B-EEE0FD3B5597}">
      <text>
        <r>
          <rPr>
            <b/>
            <sz val="9"/>
            <color indexed="81"/>
            <rFont val="Tahoma"/>
            <family val="2"/>
          </rPr>
          <t>Robert Bosar:</t>
        </r>
        <r>
          <rPr>
            <sz val="9"/>
            <color indexed="81"/>
            <rFont val="Tahoma"/>
            <family val="2"/>
          </rPr>
          <t xml:space="preserve">
logic text
</t>
        </r>
      </text>
    </comment>
    <comment ref="D58" authorId="0" shapeId="0" xr:uid="{912BC150-8B20-45D7-96A3-86AACE6A6DA5}">
      <text>
        <r>
          <rPr>
            <b/>
            <sz val="9"/>
            <color indexed="81"/>
            <rFont val="Tahoma"/>
            <family val="2"/>
          </rPr>
          <t>Robert Bosar:</t>
        </r>
        <r>
          <rPr>
            <sz val="9"/>
            <color indexed="81"/>
            <rFont val="Tahoma"/>
            <family val="2"/>
          </rPr>
          <t xml:space="preserve">
Logic Text
</t>
        </r>
      </text>
    </comment>
    <comment ref="R60" authorId="0" shapeId="0" xr:uid="{6C13DCC0-BD0E-434F-9C1E-DC27500E941D}">
      <text>
        <r>
          <rPr>
            <b/>
            <sz val="9"/>
            <color indexed="81"/>
            <rFont val="Tahoma"/>
            <family val="2"/>
          </rPr>
          <t>Robert Bosar:</t>
        </r>
        <r>
          <rPr>
            <sz val="9"/>
            <color indexed="81"/>
            <rFont val="Tahoma"/>
            <family val="2"/>
          </rPr>
          <t xml:space="preserve">
Logic text
</t>
        </r>
      </text>
    </comment>
    <comment ref="O70" authorId="0" shapeId="0" xr:uid="{31AB0306-1CAF-4F40-88DE-814B8C38AE5B}">
      <text>
        <r>
          <rPr>
            <b/>
            <sz val="9"/>
            <color indexed="81"/>
            <rFont val="Tahoma"/>
            <family val="2"/>
          </rPr>
          <t>Robert Bosar:</t>
        </r>
        <r>
          <rPr>
            <sz val="9"/>
            <color indexed="81"/>
            <rFont val="Tahoma"/>
            <family val="2"/>
          </rPr>
          <t xml:space="preserve">
logic text
</t>
        </r>
      </text>
    </comment>
    <comment ref="O71" authorId="0" shapeId="0" xr:uid="{2B25FC74-E530-4E09-BD3D-FD361C26168A}">
      <text>
        <r>
          <rPr>
            <b/>
            <sz val="9"/>
            <color indexed="81"/>
            <rFont val="Tahoma"/>
            <family val="2"/>
          </rPr>
          <t>Robert Bosar:</t>
        </r>
        <r>
          <rPr>
            <sz val="9"/>
            <color indexed="81"/>
            <rFont val="Tahoma"/>
            <family val="2"/>
          </rPr>
          <t xml:space="preserve">
logic text</t>
        </r>
      </text>
    </comment>
    <comment ref="O72" authorId="0" shapeId="0" xr:uid="{0928D1D5-9052-4EE7-9CBF-52A056864B51}">
      <text>
        <r>
          <rPr>
            <b/>
            <sz val="9"/>
            <color indexed="81"/>
            <rFont val="Tahoma"/>
            <family val="2"/>
          </rPr>
          <t>Robert Bosar:</t>
        </r>
        <r>
          <rPr>
            <sz val="9"/>
            <color indexed="81"/>
            <rFont val="Tahoma"/>
            <family val="2"/>
          </rPr>
          <t xml:space="preserve">
logic text</t>
        </r>
      </text>
    </comment>
    <comment ref="Q74" authorId="0" shapeId="0" xr:uid="{09252D57-5299-4616-B615-E36CE50233A9}">
      <text>
        <r>
          <rPr>
            <b/>
            <sz val="9"/>
            <color indexed="81"/>
            <rFont val="Tahoma"/>
            <family val="2"/>
          </rPr>
          <t>Robert Bosar:</t>
        </r>
        <r>
          <rPr>
            <sz val="9"/>
            <color indexed="81"/>
            <rFont val="Tahoma"/>
            <family val="2"/>
          </rPr>
          <t xml:space="preserve">
logic text
</t>
        </r>
      </text>
    </comment>
    <comment ref="U74" authorId="0" shapeId="0" xr:uid="{963FD3A1-3462-4FF1-81D7-0BFEDC4FD111}">
      <text>
        <r>
          <rPr>
            <b/>
            <sz val="9"/>
            <color indexed="81"/>
            <rFont val="Tahoma"/>
            <family val="2"/>
          </rPr>
          <t>Robert Bosar:</t>
        </r>
        <r>
          <rPr>
            <sz val="9"/>
            <color indexed="81"/>
            <rFont val="Tahoma"/>
            <family val="2"/>
          </rPr>
          <t xml:space="preserve">
logic text
</t>
        </r>
      </text>
    </comment>
    <comment ref="C79" authorId="0" shapeId="0" xr:uid="{C4DA3D0E-FB67-456E-8FF2-FAD0D8F759F9}">
      <text>
        <r>
          <rPr>
            <b/>
            <sz val="9"/>
            <color indexed="81"/>
            <rFont val="Tahoma"/>
            <family val="2"/>
          </rPr>
          <t>Robert Bosar:</t>
        </r>
        <r>
          <rPr>
            <sz val="9"/>
            <color indexed="81"/>
            <rFont val="Tahoma"/>
            <family val="2"/>
          </rPr>
          <t xml:space="preserve">
logic text
</t>
        </r>
      </text>
    </comment>
    <comment ref="J80" authorId="0" shapeId="0" xr:uid="{2E53E552-75CA-4BCF-976D-967BDBCCA6A5}">
      <text>
        <r>
          <rPr>
            <b/>
            <sz val="9"/>
            <color indexed="81"/>
            <rFont val="Tahoma"/>
            <family val="2"/>
          </rPr>
          <t>Robert Bosar:</t>
        </r>
        <r>
          <rPr>
            <sz val="9"/>
            <color indexed="81"/>
            <rFont val="Tahoma"/>
            <family val="2"/>
          </rPr>
          <t xml:space="preserve">
logic text
</t>
        </r>
      </text>
    </comment>
    <comment ref="S82" authorId="0" shapeId="0" xr:uid="{DDF84494-A3EB-4DF1-A8BC-63479B850966}">
      <text>
        <r>
          <rPr>
            <b/>
            <sz val="9"/>
            <color indexed="81"/>
            <rFont val="Tahoma"/>
            <family val="2"/>
          </rPr>
          <t>Robert Bosar:</t>
        </r>
        <r>
          <rPr>
            <sz val="9"/>
            <color indexed="81"/>
            <rFont val="Tahoma"/>
            <family val="2"/>
          </rPr>
          <t xml:space="preserve">
logic text
</t>
        </r>
      </text>
    </comment>
    <comment ref="C83" authorId="0" shapeId="0" xr:uid="{AFC77178-738D-451E-B982-B0943EE921F0}">
      <text>
        <r>
          <rPr>
            <b/>
            <sz val="9"/>
            <color indexed="81"/>
            <rFont val="Tahoma"/>
            <family val="2"/>
          </rPr>
          <t>Robert Bosar:</t>
        </r>
        <r>
          <rPr>
            <sz val="9"/>
            <color indexed="81"/>
            <rFont val="Tahoma"/>
            <family val="2"/>
          </rPr>
          <t xml:space="preserve">
logic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tc={FA6BBAB7-FC1D-43D0-9C48-B5DAA820AC76}</author>
    <author>Robert Bosar</author>
    <author>tc={73735E3B-2050-4F2D-95EF-FCFF204EC7B3}</author>
    <author>tc={02B2463B-6775-4C7E-868E-B986DCDBF4A0}</author>
  </authors>
  <commentList>
    <comment ref="AC8" authorId="0" shapeId="0" xr:uid="{FA6BBAB7-FC1D-43D0-9C48-B5DAA820AC76}">
      <text>
        <t>[Threaded comment]
Your version of Excel allows you to read this threaded comment; however, any edits to it will get removed if the file is opened in a newer version of Excel. Learn more: https://go.microsoft.com/fwlink/?linkid=870924
Comment:
    Edit</t>
      </text>
    </comment>
    <comment ref="V11" authorId="1" shapeId="0" xr:uid="{3F3FC32C-FD7D-4573-A45A-94239BC3D8FF}">
      <text>
        <r>
          <rPr>
            <b/>
            <sz val="9"/>
            <color indexed="81"/>
            <rFont val="Tahoma"/>
            <family val="2"/>
          </rPr>
          <t>Robert Bosar:</t>
        </r>
        <r>
          <rPr>
            <sz val="9"/>
            <color indexed="81"/>
            <rFont val="Tahoma"/>
            <family val="2"/>
          </rPr>
          <t xml:space="preserve">
</t>
        </r>
      </text>
    </comment>
    <comment ref="AC11" authorId="2" shapeId="0" xr:uid="{73735E3B-2050-4F2D-95EF-FCFF204EC7B3}">
      <text>
        <t>[Threaded comment]
Your version of Excel allows you to read this threaded comment; however, any edits to it will get removed if the file is opened in a newer version of Excel. Learn more: https://go.microsoft.com/fwlink/?linkid=870924
Comment:
    Edit</t>
      </text>
    </comment>
    <comment ref="K12" authorId="1" shapeId="0" xr:uid="{3E5ED644-BE3E-4741-ADEA-81E704FA22C1}">
      <text>
        <r>
          <rPr>
            <b/>
            <sz val="9"/>
            <color indexed="81"/>
            <rFont val="Tahoma"/>
            <family val="2"/>
          </rPr>
          <t>Robert Bosar:</t>
        </r>
        <r>
          <rPr>
            <sz val="9"/>
            <color indexed="81"/>
            <rFont val="Tahoma"/>
            <family val="2"/>
          </rPr>
          <t xml:space="preserve">
</t>
        </r>
      </text>
    </comment>
    <comment ref="G16" authorId="1" shapeId="0" xr:uid="{8B95A259-ECA3-44B7-94D2-329EDE51B6D9}">
      <text>
        <r>
          <rPr>
            <b/>
            <sz val="9"/>
            <color indexed="81"/>
            <rFont val="Tahoma"/>
            <family val="2"/>
          </rPr>
          <t>Robert Bosar:</t>
        </r>
        <r>
          <rPr>
            <sz val="9"/>
            <color indexed="81"/>
            <rFont val="Tahoma"/>
            <family val="2"/>
          </rPr>
          <t xml:space="preserve">
</t>
        </r>
      </text>
    </comment>
    <comment ref="P16" authorId="1" shapeId="0" xr:uid="{3CAC08E7-223A-4A29-A638-51FEC5901C24}">
      <text>
        <r>
          <rPr>
            <b/>
            <sz val="9"/>
            <color indexed="81"/>
            <rFont val="Tahoma"/>
            <family val="2"/>
          </rPr>
          <t>Robert Bosar:</t>
        </r>
        <r>
          <rPr>
            <sz val="9"/>
            <color indexed="81"/>
            <rFont val="Tahoma"/>
            <family val="2"/>
          </rPr>
          <t xml:space="preserve">
</t>
        </r>
      </text>
    </comment>
    <comment ref="N17" authorId="1" shapeId="0" xr:uid="{2DAB403F-DD8C-4ED3-AE2A-AE900B1FBA07}">
      <text>
        <r>
          <rPr>
            <b/>
            <sz val="9"/>
            <color indexed="81"/>
            <rFont val="Tahoma"/>
            <family val="2"/>
          </rPr>
          <t>Robert Bosar:</t>
        </r>
        <r>
          <rPr>
            <sz val="9"/>
            <color indexed="81"/>
            <rFont val="Tahoma"/>
            <family val="2"/>
          </rPr>
          <t xml:space="preserve">
</t>
        </r>
      </text>
    </comment>
    <comment ref="N19" authorId="1" shapeId="0" xr:uid="{96B6A5B7-5296-4509-BAC6-6562DCA32411}">
      <text>
        <r>
          <rPr>
            <b/>
            <sz val="9"/>
            <color indexed="81"/>
            <rFont val="Tahoma"/>
            <family val="2"/>
          </rPr>
          <t>Robert Bosar:</t>
        </r>
        <r>
          <rPr>
            <sz val="9"/>
            <color indexed="81"/>
            <rFont val="Tahoma"/>
            <family val="2"/>
          </rPr>
          <t xml:space="preserve">
</t>
        </r>
      </text>
    </comment>
    <comment ref="N23" authorId="1" shapeId="0" xr:uid="{3957B119-A341-4AFA-A3F4-EBCA3D04D5BF}">
      <text>
        <r>
          <rPr>
            <b/>
            <sz val="9"/>
            <color indexed="81"/>
            <rFont val="Tahoma"/>
            <family val="2"/>
          </rPr>
          <t>Robert Bosar:</t>
        </r>
        <r>
          <rPr>
            <sz val="9"/>
            <color indexed="81"/>
            <rFont val="Tahoma"/>
            <family val="2"/>
          </rPr>
          <t xml:space="preserve">
</t>
        </r>
      </text>
    </comment>
    <comment ref="C24" authorId="1" shapeId="0" xr:uid="{FDBB2D51-ECA0-4FD1-9862-B2E2172A73A2}">
      <text>
        <r>
          <rPr>
            <b/>
            <sz val="9"/>
            <color indexed="81"/>
            <rFont val="Tahoma"/>
            <family val="2"/>
          </rPr>
          <t>Robert Bosar:</t>
        </r>
        <r>
          <rPr>
            <sz val="9"/>
            <color indexed="81"/>
            <rFont val="Tahoma"/>
            <family val="2"/>
          </rPr>
          <t xml:space="preserve">
</t>
        </r>
      </text>
    </comment>
    <comment ref="N24" authorId="1" shapeId="0" xr:uid="{55533DF9-2561-4734-9105-7D34B7FBAB07}">
      <text>
        <r>
          <rPr>
            <b/>
            <sz val="9"/>
            <color indexed="81"/>
            <rFont val="Tahoma"/>
            <family val="2"/>
          </rPr>
          <t>Robert Bosar:</t>
        </r>
        <r>
          <rPr>
            <sz val="9"/>
            <color indexed="81"/>
            <rFont val="Tahoma"/>
            <family val="2"/>
          </rPr>
          <t xml:space="preserve">
</t>
        </r>
      </text>
    </comment>
    <comment ref="R28" authorId="1" shapeId="0" xr:uid="{FC37888B-0A49-4048-931A-C3B67CCFF1D0}">
      <text>
        <r>
          <rPr>
            <b/>
            <sz val="9"/>
            <color indexed="81"/>
            <rFont val="Tahoma"/>
            <family val="2"/>
          </rPr>
          <t>Robert Bosar:</t>
        </r>
        <r>
          <rPr>
            <sz val="9"/>
            <color indexed="81"/>
            <rFont val="Tahoma"/>
            <family val="2"/>
          </rPr>
          <t xml:space="preserve">
</t>
        </r>
      </text>
    </comment>
    <comment ref="R29" authorId="1" shapeId="0" xr:uid="{6458A1B1-D431-46E7-8047-2E517DCC7E85}">
      <text>
        <r>
          <rPr>
            <b/>
            <sz val="9"/>
            <color indexed="81"/>
            <rFont val="Tahoma"/>
            <family val="2"/>
          </rPr>
          <t>Robert Bosar:</t>
        </r>
        <r>
          <rPr>
            <sz val="9"/>
            <color indexed="81"/>
            <rFont val="Tahoma"/>
            <family val="2"/>
          </rPr>
          <t xml:space="preserve">
</t>
        </r>
      </text>
    </comment>
    <comment ref="R30" authorId="1" shapeId="0" xr:uid="{9CF6F9C0-7854-4480-9CD6-D618A3A8E809}">
      <text>
        <r>
          <rPr>
            <b/>
            <sz val="9"/>
            <color indexed="81"/>
            <rFont val="Tahoma"/>
            <family val="2"/>
          </rPr>
          <t>Robert Bosar:</t>
        </r>
        <r>
          <rPr>
            <sz val="9"/>
            <color indexed="81"/>
            <rFont val="Tahoma"/>
            <family val="2"/>
          </rPr>
          <t xml:space="preserve">
</t>
        </r>
      </text>
    </comment>
    <comment ref="R31" authorId="1" shapeId="0" xr:uid="{AFEA5BE8-2DBF-418F-931E-1E9C1C6ABEE7}">
      <text>
        <r>
          <rPr>
            <b/>
            <sz val="9"/>
            <color indexed="81"/>
            <rFont val="Tahoma"/>
            <family val="2"/>
          </rPr>
          <t>Robert Bosar:</t>
        </r>
        <r>
          <rPr>
            <sz val="9"/>
            <color indexed="81"/>
            <rFont val="Tahoma"/>
            <family val="2"/>
          </rPr>
          <t xml:space="preserve">
</t>
        </r>
      </text>
    </comment>
    <comment ref="R35" authorId="1" shapeId="0" xr:uid="{2746F8F6-C425-4BA3-A059-A1C0647CEBF2}">
      <text>
        <r>
          <rPr>
            <b/>
            <sz val="9"/>
            <color indexed="81"/>
            <rFont val="Tahoma"/>
            <family val="2"/>
          </rPr>
          <t>Robert Bosar:</t>
        </r>
        <r>
          <rPr>
            <sz val="9"/>
            <color indexed="81"/>
            <rFont val="Tahoma"/>
            <family val="2"/>
          </rPr>
          <t xml:space="preserve">
</t>
        </r>
      </text>
    </comment>
    <comment ref="I37" authorId="1" shapeId="0" xr:uid="{D055DD64-5AAE-4E44-922B-C74E85E653F9}">
      <text>
        <r>
          <rPr>
            <b/>
            <sz val="9"/>
            <color indexed="81"/>
            <rFont val="Tahoma"/>
            <family val="2"/>
          </rPr>
          <t>Robert Bosar:</t>
        </r>
        <r>
          <rPr>
            <sz val="9"/>
            <color indexed="81"/>
            <rFont val="Tahoma"/>
            <family val="2"/>
          </rPr>
          <t xml:space="preserve">
</t>
        </r>
      </text>
    </comment>
    <comment ref="L38" authorId="1" shapeId="0" xr:uid="{949BFE73-D6D0-4098-940D-C10CCE174FA6}">
      <text>
        <r>
          <rPr>
            <b/>
            <sz val="9"/>
            <color indexed="81"/>
            <rFont val="Tahoma"/>
            <family val="2"/>
          </rPr>
          <t>Robert Bosar:</t>
        </r>
        <r>
          <rPr>
            <sz val="9"/>
            <color indexed="81"/>
            <rFont val="Tahoma"/>
            <family val="2"/>
          </rPr>
          <t xml:space="preserve">
</t>
        </r>
      </text>
    </comment>
    <comment ref="C39" authorId="1" shapeId="0" xr:uid="{3472F599-C6BE-41ED-AC4C-098C92200FEF}">
      <text>
        <r>
          <rPr>
            <b/>
            <sz val="9"/>
            <color indexed="81"/>
            <rFont val="Tahoma"/>
            <family val="2"/>
          </rPr>
          <t>Robert Bosar:</t>
        </r>
        <r>
          <rPr>
            <sz val="9"/>
            <color indexed="81"/>
            <rFont val="Tahoma"/>
            <family val="2"/>
          </rPr>
          <t xml:space="preserve">
</t>
        </r>
      </text>
    </comment>
    <comment ref="C41" authorId="1" shapeId="0" xr:uid="{0E612A53-60A7-474E-8C22-00057BFA1182}">
      <text>
        <r>
          <rPr>
            <b/>
            <sz val="9"/>
            <color indexed="81"/>
            <rFont val="Tahoma"/>
            <family val="2"/>
          </rPr>
          <t>Robert Bosar:</t>
        </r>
        <r>
          <rPr>
            <sz val="9"/>
            <color indexed="81"/>
            <rFont val="Tahoma"/>
            <family val="2"/>
          </rPr>
          <t xml:space="preserve">
</t>
        </r>
      </text>
    </comment>
    <comment ref="P43" authorId="1" shapeId="0" xr:uid="{5FF2645E-8069-4EB8-90D3-101799DC7C16}">
      <text>
        <r>
          <rPr>
            <b/>
            <sz val="9"/>
            <color indexed="81"/>
            <rFont val="Tahoma"/>
            <family val="2"/>
          </rPr>
          <t>Robert Bosar:</t>
        </r>
        <r>
          <rPr>
            <sz val="9"/>
            <color indexed="81"/>
            <rFont val="Tahoma"/>
            <family val="2"/>
          </rPr>
          <t xml:space="preserve">
</t>
        </r>
      </text>
    </comment>
    <comment ref="S46" authorId="1" shapeId="0" xr:uid="{59E922D9-38A1-4B0E-9E3A-118CFDCC5DAF}">
      <text>
        <r>
          <rPr>
            <b/>
            <sz val="9"/>
            <color indexed="81"/>
            <rFont val="Tahoma"/>
            <family val="2"/>
          </rPr>
          <t>Robert Bosar:</t>
        </r>
        <r>
          <rPr>
            <sz val="9"/>
            <color indexed="81"/>
            <rFont val="Tahoma"/>
            <family val="2"/>
          </rPr>
          <t xml:space="preserve">
</t>
        </r>
      </text>
    </comment>
    <comment ref="S47" authorId="1" shapeId="0" xr:uid="{65E107EA-FA40-430B-8CB2-7C73E6A56C1D}">
      <text>
        <r>
          <rPr>
            <b/>
            <sz val="9"/>
            <color indexed="81"/>
            <rFont val="Tahoma"/>
            <family val="2"/>
          </rPr>
          <t>Robert Bosar:</t>
        </r>
        <r>
          <rPr>
            <sz val="9"/>
            <color indexed="81"/>
            <rFont val="Tahoma"/>
            <family val="2"/>
          </rPr>
          <t xml:space="preserve">
</t>
        </r>
      </text>
    </comment>
    <comment ref="P52" authorId="1" shapeId="0" xr:uid="{1B3ADE0E-953C-4C80-9258-2BD06BA939B2}">
      <text>
        <r>
          <rPr>
            <b/>
            <sz val="9"/>
            <color indexed="81"/>
            <rFont val="Tahoma"/>
            <family val="2"/>
          </rPr>
          <t>Robert Bosar:</t>
        </r>
        <r>
          <rPr>
            <sz val="9"/>
            <color indexed="81"/>
            <rFont val="Tahoma"/>
            <family val="2"/>
          </rPr>
          <t xml:space="preserve">
</t>
        </r>
      </text>
    </comment>
    <comment ref="P53" authorId="1" shapeId="0" xr:uid="{8DF324F0-AE8A-41CE-82E5-78B4A7D311F3}">
      <text>
        <r>
          <rPr>
            <b/>
            <sz val="9"/>
            <color indexed="81"/>
            <rFont val="Tahoma"/>
            <family val="2"/>
          </rPr>
          <t>Robert Bosar:</t>
        </r>
        <r>
          <rPr>
            <sz val="9"/>
            <color indexed="81"/>
            <rFont val="Tahoma"/>
            <family val="2"/>
          </rPr>
          <t xml:space="preserve">
</t>
        </r>
      </text>
    </comment>
    <comment ref="D58" authorId="1" shapeId="0" xr:uid="{EEBC416E-B629-4E47-B155-CC7699BB2840}">
      <text>
        <r>
          <rPr>
            <b/>
            <sz val="9"/>
            <color indexed="81"/>
            <rFont val="Tahoma"/>
            <family val="2"/>
          </rPr>
          <t>Robert Bosar:</t>
        </r>
        <r>
          <rPr>
            <sz val="9"/>
            <color indexed="81"/>
            <rFont val="Tahoma"/>
            <family val="2"/>
          </rPr>
          <t xml:space="preserve">
</t>
        </r>
      </text>
    </comment>
    <comment ref="AC59" authorId="3" shapeId="0" xr:uid="{02B2463B-6775-4C7E-868E-B986DCDBF4A0}">
      <text>
        <t>[Threaded comment]
Your version of Excel allows you to read this threaded comment; however, any edits to it will get removed if the file is opened in a newer version of Excel. Learn more: https://go.microsoft.com/fwlink/?linkid=870924
Comment:
    Override if needed</t>
      </text>
    </comment>
    <comment ref="R60" authorId="1" shapeId="0" xr:uid="{52DFD755-6753-4533-A389-2863E4B24706}">
      <text>
        <r>
          <rPr>
            <b/>
            <sz val="9"/>
            <color indexed="81"/>
            <rFont val="Tahoma"/>
            <family val="2"/>
          </rPr>
          <t>Robert Bosar:</t>
        </r>
        <r>
          <rPr>
            <sz val="9"/>
            <color indexed="81"/>
            <rFont val="Tahoma"/>
            <family val="2"/>
          </rPr>
          <t xml:space="preserve">
</t>
        </r>
      </text>
    </comment>
    <comment ref="I65" authorId="1" shapeId="0" xr:uid="{7C3E0102-5E98-4C99-8074-CD780E1E53EA}">
      <text>
        <r>
          <rPr>
            <b/>
            <sz val="9"/>
            <color indexed="81"/>
            <rFont val="Tahoma"/>
            <family val="2"/>
          </rPr>
          <t>Robert Bosar:</t>
        </r>
        <r>
          <rPr>
            <sz val="9"/>
            <color indexed="81"/>
            <rFont val="Tahoma"/>
            <family val="2"/>
          </rPr>
          <t xml:space="preserve">
text logic
</t>
        </r>
      </text>
    </comment>
    <comment ref="P65" authorId="1" shapeId="0" xr:uid="{0220FFA8-F3F0-416A-90B7-1968B521634E}">
      <text>
        <r>
          <rPr>
            <b/>
            <sz val="9"/>
            <color indexed="81"/>
            <rFont val="Tahoma"/>
            <family val="2"/>
          </rPr>
          <t>Robert Bosar:</t>
        </r>
        <r>
          <rPr>
            <sz val="9"/>
            <color indexed="81"/>
            <rFont val="Tahoma"/>
            <family val="2"/>
          </rPr>
          <t xml:space="preserve">
Text Logic</t>
        </r>
      </text>
    </comment>
    <comment ref="O70" authorId="1" shapeId="0" xr:uid="{7D8C1DAF-57BE-4CDE-A20A-C92446627539}">
      <text>
        <r>
          <rPr>
            <b/>
            <sz val="9"/>
            <color indexed="81"/>
            <rFont val="Tahoma"/>
            <family val="2"/>
          </rPr>
          <t>Robert Bosar:</t>
        </r>
        <r>
          <rPr>
            <sz val="9"/>
            <color indexed="81"/>
            <rFont val="Tahoma"/>
            <family val="2"/>
          </rPr>
          <t xml:space="preserve">
</t>
        </r>
      </text>
    </comment>
    <comment ref="O71" authorId="1" shapeId="0" xr:uid="{2A47537B-220C-4A94-9F33-5D23925EDC39}">
      <text>
        <r>
          <rPr>
            <b/>
            <sz val="9"/>
            <color indexed="81"/>
            <rFont val="Tahoma"/>
            <family val="2"/>
          </rPr>
          <t>Robert Bosar:</t>
        </r>
        <r>
          <rPr>
            <sz val="9"/>
            <color indexed="81"/>
            <rFont val="Tahoma"/>
            <family val="2"/>
          </rPr>
          <t xml:space="preserve">
</t>
        </r>
      </text>
    </comment>
    <comment ref="O72" authorId="1" shapeId="0" xr:uid="{5D275C68-1F74-42EE-9105-A633703BFA44}">
      <text>
        <r>
          <rPr>
            <b/>
            <sz val="9"/>
            <color indexed="81"/>
            <rFont val="Tahoma"/>
            <family val="2"/>
          </rPr>
          <t>Robert Bosar:</t>
        </r>
        <r>
          <rPr>
            <sz val="9"/>
            <color indexed="81"/>
            <rFont val="Tahoma"/>
            <family val="2"/>
          </rPr>
          <t xml:space="preserve">
</t>
        </r>
      </text>
    </comment>
    <comment ref="Q74" authorId="1" shapeId="0" xr:uid="{2F9B75FC-F385-413C-A80C-CC28104D528A}">
      <text>
        <r>
          <rPr>
            <b/>
            <sz val="9"/>
            <color indexed="81"/>
            <rFont val="Tahoma"/>
            <family val="2"/>
          </rPr>
          <t>Robert Bosar:</t>
        </r>
        <r>
          <rPr>
            <sz val="9"/>
            <color indexed="81"/>
            <rFont val="Tahoma"/>
            <family val="2"/>
          </rPr>
          <t xml:space="preserve">
</t>
        </r>
      </text>
    </comment>
    <comment ref="U74" authorId="1" shapeId="0" xr:uid="{9FF647E7-D09A-45A7-9DF2-ABAE3D6F8FA2}">
      <text>
        <r>
          <rPr>
            <b/>
            <sz val="9"/>
            <color indexed="81"/>
            <rFont val="Tahoma"/>
            <family val="2"/>
          </rPr>
          <t>Robert Bosar:</t>
        </r>
        <r>
          <rPr>
            <sz val="9"/>
            <color indexed="81"/>
            <rFont val="Tahoma"/>
            <family val="2"/>
          </rPr>
          <t xml:space="preserve">
</t>
        </r>
      </text>
    </comment>
    <comment ref="C79" authorId="1" shapeId="0" xr:uid="{D55D4053-3010-4BF5-A256-88A6AC48DF38}">
      <text>
        <r>
          <rPr>
            <b/>
            <sz val="9"/>
            <color indexed="81"/>
            <rFont val="Tahoma"/>
            <family val="2"/>
          </rPr>
          <t>Robert Bosar:</t>
        </r>
        <r>
          <rPr>
            <sz val="9"/>
            <color indexed="81"/>
            <rFont val="Tahoma"/>
            <family val="2"/>
          </rPr>
          <t xml:space="preserve">
</t>
        </r>
      </text>
    </comment>
    <comment ref="J80" authorId="1" shapeId="0" xr:uid="{222DAFA6-BCE0-4480-9E33-2AB865962537}">
      <text>
        <r>
          <rPr>
            <b/>
            <sz val="9"/>
            <color indexed="81"/>
            <rFont val="Tahoma"/>
            <family val="2"/>
          </rPr>
          <t>Robert Bosar:</t>
        </r>
        <r>
          <rPr>
            <sz val="9"/>
            <color indexed="81"/>
            <rFont val="Tahoma"/>
            <family val="2"/>
          </rPr>
          <t xml:space="preserve">
</t>
        </r>
      </text>
    </comment>
    <comment ref="S82" authorId="1" shapeId="0" xr:uid="{267B2116-A473-470D-9745-43B4A24804DC}">
      <text>
        <r>
          <rPr>
            <b/>
            <sz val="9"/>
            <color indexed="81"/>
            <rFont val="Tahoma"/>
            <family val="2"/>
          </rPr>
          <t>Robert Bosar:</t>
        </r>
        <r>
          <rPr>
            <sz val="9"/>
            <color indexed="81"/>
            <rFont val="Tahoma"/>
            <family val="2"/>
          </rPr>
          <t xml:space="preserve">
</t>
        </r>
      </text>
    </comment>
    <comment ref="C83" authorId="1" shapeId="0" xr:uid="{978D9DA4-FA40-4DFC-9514-638E646EC60D}">
      <text>
        <r>
          <rPr>
            <b/>
            <sz val="9"/>
            <color indexed="81"/>
            <rFont val="Tahoma"/>
            <family val="2"/>
          </rPr>
          <t>Robert Bosar:</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Robert Bosar</author>
  </authors>
  <commentList>
    <comment ref="V11" authorId="0" shapeId="0" xr:uid="{39E71A9E-0F74-4BA5-B509-535FFD7D1092}">
      <text>
        <r>
          <rPr>
            <b/>
            <sz val="9"/>
            <color indexed="81"/>
            <rFont val="Tahoma"/>
            <family val="2"/>
          </rPr>
          <t>Robert Bosar:</t>
        </r>
        <r>
          <rPr>
            <sz val="9"/>
            <color indexed="81"/>
            <rFont val="Tahoma"/>
            <family val="2"/>
          </rPr>
          <t xml:space="preserve">
Logic Text
</t>
        </r>
      </text>
    </comment>
    <comment ref="K12" authorId="0" shapeId="0" xr:uid="{E6546257-519C-464F-A251-A6181DD849FB}">
      <text>
        <r>
          <rPr>
            <b/>
            <sz val="9"/>
            <color indexed="81"/>
            <rFont val="Tahoma"/>
            <family val="2"/>
          </rPr>
          <t>Robert Bosar:</t>
        </r>
        <r>
          <rPr>
            <sz val="9"/>
            <color indexed="81"/>
            <rFont val="Tahoma"/>
            <family val="2"/>
          </rPr>
          <t xml:space="preserve">
Logic Text
</t>
        </r>
      </text>
    </comment>
    <comment ref="G16" authorId="0" shapeId="0" xr:uid="{938517EA-5E3D-4C5A-BA2E-D824B9AF9D6C}">
      <text>
        <r>
          <rPr>
            <b/>
            <sz val="9"/>
            <color indexed="81"/>
            <rFont val="Tahoma"/>
            <family val="2"/>
          </rPr>
          <t>Robert Bosar:</t>
        </r>
        <r>
          <rPr>
            <sz val="9"/>
            <color indexed="81"/>
            <rFont val="Tahoma"/>
            <family val="2"/>
          </rPr>
          <t xml:space="preserve">
Logic Text
</t>
        </r>
      </text>
    </comment>
    <comment ref="P16" authorId="0" shapeId="0" xr:uid="{596B3336-E3C8-4A2F-A05A-686D50541623}">
      <text>
        <r>
          <rPr>
            <b/>
            <sz val="9"/>
            <color indexed="81"/>
            <rFont val="Tahoma"/>
            <family val="2"/>
          </rPr>
          <t>Robert Bosar:</t>
        </r>
        <r>
          <rPr>
            <sz val="9"/>
            <color indexed="81"/>
            <rFont val="Tahoma"/>
            <family val="2"/>
          </rPr>
          <t xml:space="preserve">
Logic Text
</t>
        </r>
      </text>
    </comment>
    <comment ref="N17" authorId="0" shapeId="0" xr:uid="{0A66459D-38B2-45D4-915A-EC052C1FF058}">
      <text>
        <r>
          <rPr>
            <b/>
            <sz val="9"/>
            <color indexed="81"/>
            <rFont val="Tahoma"/>
            <family val="2"/>
          </rPr>
          <t>Robert Bosar:</t>
        </r>
        <r>
          <rPr>
            <sz val="9"/>
            <color indexed="81"/>
            <rFont val="Tahoma"/>
            <family val="2"/>
          </rPr>
          <t xml:space="preserve">
Logic Text
</t>
        </r>
      </text>
    </comment>
    <comment ref="N19" authorId="0" shapeId="0" xr:uid="{66CD729E-C908-464B-9C3F-3512EE12F3BB}">
      <text>
        <r>
          <rPr>
            <b/>
            <sz val="9"/>
            <color indexed="81"/>
            <rFont val="Tahoma"/>
            <family val="2"/>
          </rPr>
          <t>Robert Bosar:</t>
        </r>
        <r>
          <rPr>
            <sz val="9"/>
            <color indexed="81"/>
            <rFont val="Tahoma"/>
            <family val="2"/>
          </rPr>
          <t xml:space="preserve">
Logic Text
</t>
        </r>
      </text>
    </comment>
    <comment ref="N23" authorId="0" shapeId="0" xr:uid="{B60097D4-755F-4B87-B383-F6D66F81CC81}">
      <text>
        <r>
          <rPr>
            <b/>
            <sz val="9"/>
            <color indexed="81"/>
            <rFont val="Tahoma"/>
            <family val="2"/>
          </rPr>
          <t>Robert Bosar:</t>
        </r>
        <r>
          <rPr>
            <sz val="9"/>
            <color indexed="81"/>
            <rFont val="Tahoma"/>
            <family val="2"/>
          </rPr>
          <t xml:space="preserve">
Logic Text
</t>
        </r>
      </text>
    </comment>
    <comment ref="C24" authorId="0" shapeId="0" xr:uid="{84E2E523-41C2-4171-A44F-740E8D382284}">
      <text>
        <r>
          <rPr>
            <b/>
            <sz val="9"/>
            <color indexed="81"/>
            <rFont val="Tahoma"/>
            <family val="2"/>
          </rPr>
          <t>Robert Bosar:</t>
        </r>
        <r>
          <rPr>
            <sz val="9"/>
            <color indexed="81"/>
            <rFont val="Tahoma"/>
            <family val="2"/>
          </rPr>
          <t xml:space="preserve">
Logic Text
</t>
        </r>
      </text>
    </comment>
    <comment ref="N24" authorId="0" shapeId="0" xr:uid="{88AD5BB8-32EA-4722-B960-76AFA18CFC55}">
      <text>
        <r>
          <rPr>
            <b/>
            <sz val="9"/>
            <color indexed="81"/>
            <rFont val="Tahoma"/>
            <family val="2"/>
          </rPr>
          <t>Robert Bosar:</t>
        </r>
        <r>
          <rPr>
            <sz val="9"/>
            <color indexed="81"/>
            <rFont val="Tahoma"/>
            <family val="2"/>
          </rPr>
          <t xml:space="preserve">
Logic Text
</t>
        </r>
      </text>
    </comment>
    <comment ref="R28" authorId="0" shapeId="0" xr:uid="{4DABD841-C385-4E52-9551-D9731BA75426}">
      <text>
        <r>
          <rPr>
            <b/>
            <sz val="9"/>
            <color indexed="81"/>
            <rFont val="Tahoma"/>
            <family val="2"/>
          </rPr>
          <t>Robert Bosar:</t>
        </r>
        <r>
          <rPr>
            <sz val="9"/>
            <color indexed="81"/>
            <rFont val="Tahoma"/>
            <family val="2"/>
          </rPr>
          <t xml:space="preserve">
Logic Text
</t>
        </r>
      </text>
    </comment>
    <comment ref="R29" authorId="0" shapeId="0" xr:uid="{FDED7FB5-E0D7-4934-B59D-7CF4919F6390}">
      <text>
        <r>
          <rPr>
            <b/>
            <sz val="9"/>
            <color indexed="81"/>
            <rFont val="Tahoma"/>
            <family val="2"/>
          </rPr>
          <t>Robert Bosar:</t>
        </r>
        <r>
          <rPr>
            <sz val="9"/>
            <color indexed="81"/>
            <rFont val="Tahoma"/>
            <family val="2"/>
          </rPr>
          <t xml:space="preserve">
Logic Text
</t>
        </r>
      </text>
    </comment>
    <comment ref="R30" authorId="0" shapeId="0" xr:uid="{70758396-E543-4A1A-9000-DD117DADE587}">
      <text>
        <r>
          <rPr>
            <b/>
            <sz val="9"/>
            <color indexed="81"/>
            <rFont val="Tahoma"/>
            <family val="2"/>
          </rPr>
          <t>Robert Bosar:</t>
        </r>
        <r>
          <rPr>
            <sz val="9"/>
            <color indexed="81"/>
            <rFont val="Tahoma"/>
            <family val="2"/>
          </rPr>
          <t xml:space="preserve">
Logic Text
</t>
        </r>
      </text>
    </comment>
    <comment ref="R31" authorId="0" shapeId="0" xr:uid="{6B8CF055-076E-458F-8165-CE342E0B6317}">
      <text>
        <r>
          <rPr>
            <b/>
            <sz val="9"/>
            <color indexed="81"/>
            <rFont val="Tahoma"/>
            <family val="2"/>
          </rPr>
          <t>Robert Bosar:</t>
        </r>
        <r>
          <rPr>
            <sz val="9"/>
            <color indexed="81"/>
            <rFont val="Tahoma"/>
            <family val="2"/>
          </rPr>
          <t xml:space="preserve">
Logic Text
</t>
        </r>
      </text>
    </comment>
    <comment ref="B33" authorId="0" shapeId="0" xr:uid="{BE46D9FA-6A23-452F-AD11-B01FEE3C66B1}">
      <text>
        <r>
          <rPr>
            <b/>
            <sz val="9"/>
            <color indexed="81"/>
            <rFont val="Tahoma"/>
            <family val="2"/>
          </rPr>
          <t>Robert Bosar:</t>
        </r>
        <r>
          <rPr>
            <sz val="9"/>
            <color indexed="81"/>
            <rFont val="Tahoma"/>
            <family val="2"/>
          </rPr>
          <t xml:space="preserve">
Logic Text
</t>
        </r>
      </text>
    </comment>
    <comment ref="R35" authorId="0" shapeId="0" xr:uid="{A6C922E9-CEEC-45DF-BEDC-2E52BB1EF310}">
      <text>
        <r>
          <rPr>
            <b/>
            <sz val="9"/>
            <color indexed="81"/>
            <rFont val="Tahoma"/>
            <family val="2"/>
          </rPr>
          <t>Robert Bosar:</t>
        </r>
        <r>
          <rPr>
            <sz val="9"/>
            <color indexed="81"/>
            <rFont val="Tahoma"/>
            <family val="2"/>
          </rPr>
          <t xml:space="preserve">
Logic Text
</t>
        </r>
      </text>
    </comment>
    <comment ref="T36" authorId="0" shapeId="0" xr:uid="{2CA5A117-2245-495B-9A59-A2362153775E}">
      <text>
        <r>
          <rPr>
            <b/>
            <sz val="9"/>
            <color indexed="81"/>
            <rFont val="Tahoma"/>
            <family val="2"/>
          </rPr>
          <t>Robert Bosar:</t>
        </r>
        <r>
          <rPr>
            <sz val="9"/>
            <color indexed="81"/>
            <rFont val="Tahoma"/>
            <family val="2"/>
          </rPr>
          <t xml:space="preserve">
Logic Text
</t>
        </r>
      </text>
    </comment>
    <comment ref="I37" authorId="0" shapeId="0" xr:uid="{2C1EC0A2-A612-4239-BD61-8345B62E544C}">
      <text>
        <r>
          <rPr>
            <b/>
            <sz val="9"/>
            <color indexed="81"/>
            <rFont val="Tahoma"/>
            <family val="2"/>
          </rPr>
          <t>Robert Bosar:</t>
        </r>
        <r>
          <rPr>
            <sz val="9"/>
            <color indexed="81"/>
            <rFont val="Tahoma"/>
            <family val="2"/>
          </rPr>
          <t xml:space="preserve">
Logic Text
</t>
        </r>
      </text>
    </comment>
    <comment ref="L38" authorId="0" shapeId="0" xr:uid="{47C0F476-8694-4BC9-8A81-902D993C9773}">
      <text>
        <r>
          <rPr>
            <b/>
            <sz val="9"/>
            <color indexed="81"/>
            <rFont val="Tahoma"/>
            <family val="2"/>
          </rPr>
          <t>Robert Bosar:</t>
        </r>
        <r>
          <rPr>
            <sz val="9"/>
            <color indexed="81"/>
            <rFont val="Tahoma"/>
            <family val="2"/>
          </rPr>
          <t xml:space="preserve">
Logic Text
</t>
        </r>
      </text>
    </comment>
    <comment ref="C39" authorId="0" shapeId="0" xr:uid="{99758F91-00EF-4D18-9DD8-A4E131121ABE}">
      <text>
        <r>
          <rPr>
            <b/>
            <sz val="9"/>
            <color indexed="81"/>
            <rFont val="Tahoma"/>
            <family val="2"/>
          </rPr>
          <t>Robert Bosar:</t>
        </r>
        <r>
          <rPr>
            <sz val="9"/>
            <color indexed="81"/>
            <rFont val="Tahoma"/>
            <family val="2"/>
          </rPr>
          <t xml:space="preserve">
Logic Text
</t>
        </r>
      </text>
    </comment>
    <comment ref="C41" authorId="0" shapeId="0" xr:uid="{F0A89EBD-8B04-4D80-BF21-5DC6B574A27B}">
      <text>
        <r>
          <rPr>
            <b/>
            <sz val="9"/>
            <color indexed="81"/>
            <rFont val="Tahoma"/>
            <family val="2"/>
          </rPr>
          <t>Robert Bosar:</t>
        </r>
        <r>
          <rPr>
            <sz val="9"/>
            <color indexed="81"/>
            <rFont val="Tahoma"/>
            <family val="2"/>
          </rPr>
          <t xml:space="preserve">
Logic Text
</t>
        </r>
      </text>
    </comment>
    <comment ref="P43" authorId="0" shapeId="0" xr:uid="{819A7368-E2F2-4985-9E7A-F95BCF9FAB35}">
      <text>
        <r>
          <rPr>
            <b/>
            <sz val="9"/>
            <color indexed="81"/>
            <rFont val="Tahoma"/>
            <family val="2"/>
          </rPr>
          <t>Robert Bosar:</t>
        </r>
        <r>
          <rPr>
            <sz val="9"/>
            <color indexed="81"/>
            <rFont val="Tahoma"/>
            <family val="2"/>
          </rPr>
          <t xml:space="preserve">
Logic Text
</t>
        </r>
      </text>
    </comment>
    <comment ref="S46" authorId="0" shapeId="0" xr:uid="{F4764BA0-41B6-4EE6-B5BA-B0A7AA7F8793}">
      <text>
        <r>
          <rPr>
            <b/>
            <sz val="9"/>
            <color indexed="81"/>
            <rFont val="Tahoma"/>
            <family val="2"/>
          </rPr>
          <t>Robert Bosar:</t>
        </r>
        <r>
          <rPr>
            <sz val="9"/>
            <color indexed="81"/>
            <rFont val="Tahoma"/>
            <family val="2"/>
          </rPr>
          <t xml:space="preserve">
Logic Text
</t>
        </r>
      </text>
    </comment>
    <comment ref="S47" authorId="0" shapeId="0" xr:uid="{E68A709B-D883-471B-A9C7-B7844F51A816}">
      <text>
        <r>
          <rPr>
            <b/>
            <sz val="9"/>
            <color indexed="81"/>
            <rFont val="Tahoma"/>
            <family val="2"/>
          </rPr>
          <t>Robert Bosar:</t>
        </r>
        <r>
          <rPr>
            <sz val="9"/>
            <color indexed="81"/>
            <rFont val="Tahoma"/>
            <family val="2"/>
          </rPr>
          <t xml:space="preserve">
Logic Text
</t>
        </r>
      </text>
    </comment>
    <comment ref="P52" authorId="0" shapeId="0" xr:uid="{B99668DE-0A7B-4850-A50C-734C994E4AEE}">
      <text>
        <r>
          <rPr>
            <b/>
            <sz val="9"/>
            <color indexed="81"/>
            <rFont val="Tahoma"/>
            <family val="2"/>
          </rPr>
          <t>Robert Bosar:</t>
        </r>
        <r>
          <rPr>
            <sz val="9"/>
            <color indexed="81"/>
            <rFont val="Tahoma"/>
            <family val="2"/>
          </rPr>
          <t xml:space="preserve">
Logic Text
</t>
        </r>
      </text>
    </comment>
    <comment ref="P53" authorId="0" shapeId="0" xr:uid="{A336C2B0-C01F-44A4-A4B1-147225625164}">
      <text>
        <r>
          <rPr>
            <b/>
            <sz val="9"/>
            <color indexed="81"/>
            <rFont val="Tahoma"/>
            <family val="2"/>
          </rPr>
          <t>Robert Bosar:</t>
        </r>
        <r>
          <rPr>
            <sz val="9"/>
            <color indexed="81"/>
            <rFont val="Tahoma"/>
            <family val="2"/>
          </rPr>
          <t xml:space="preserve">
Logic Text
</t>
        </r>
      </text>
    </comment>
    <comment ref="D58" authorId="0" shapeId="0" xr:uid="{444A5CC5-7CCA-48E1-A066-4CDD080D3A16}">
      <text>
        <r>
          <rPr>
            <b/>
            <sz val="9"/>
            <color indexed="81"/>
            <rFont val="Tahoma"/>
            <family val="2"/>
          </rPr>
          <t>Robert Bosar:</t>
        </r>
        <r>
          <rPr>
            <sz val="9"/>
            <color indexed="81"/>
            <rFont val="Tahoma"/>
            <family val="2"/>
          </rPr>
          <t xml:space="preserve">
Logic Text
</t>
        </r>
      </text>
    </comment>
    <comment ref="R60" authorId="0" shapeId="0" xr:uid="{2F68ADE2-38E6-4F9D-9D42-EEE9A2D5CBE1}">
      <text>
        <r>
          <rPr>
            <b/>
            <sz val="9"/>
            <color indexed="81"/>
            <rFont val="Tahoma"/>
            <family val="2"/>
          </rPr>
          <t>Robert Bosar:</t>
        </r>
        <r>
          <rPr>
            <sz val="9"/>
            <color indexed="81"/>
            <rFont val="Tahoma"/>
            <family val="2"/>
          </rPr>
          <t xml:space="preserve">
Logic Text
</t>
        </r>
      </text>
    </comment>
    <comment ref="O70" authorId="0" shapeId="0" xr:uid="{BE98CF0A-E793-4571-9F40-A927821E5C9B}">
      <text>
        <r>
          <rPr>
            <b/>
            <sz val="9"/>
            <color indexed="81"/>
            <rFont val="Tahoma"/>
            <family val="2"/>
          </rPr>
          <t>Robert Bosar:</t>
        </r>
        <r>
          <rPr>
            <sz val="9"/>
            <color indexed="81"/>
            <rFont val="Tahoma"/>
            <family val="2"/>
          </rPr>
          <t xml:space="preserve">
Logic Text
</t>
        </r>
      </text>
    </comment>
    <comment ref="O71" authorId="0" shapeId="0" xr:uid="{510AE5A1-DB7A-4D86-ADCB-8078B7E21AF8}">
      <text>
        <r>
          <rPr>
            <b/>
            <sz val="9"/>
            <color indexed="81"/>
            <rFont val="Tahoma"/>
            <family val="2"/>
          </rPr>
          <t>Robert Bosar:</t>
        </r>
        <r>
          <rPr>
            <sz val="9"/>
            <color indexed="81"/>
            <rFont val="Tahoma"/>
            <family val="2"/>
          </rPr>
          <t xml:space="preserve">
Logic Text
</t>
        </r>
      </text>
    </comment>
    <comment ref="O72" authorId="0" shapeId="0" xr:uid="{5286DA85-5C7E-4CA8-AEDC-09F036AA175B}">
      <text>
        <r>
          <rPr>
            <b/>
            <sz val="9"/>
            <color indexed="81"/>
            <rFont val="Tahoma"/>
            <family val="2"/>
          </rPr>
          <t>Robert Bosar:</t>
        </r>
        <r>
          <rPr>
            <sz val="9"/>
            <color indexed="81"/>
            <rFont val="Tahoma"/>
            <family val="2"/>
          </rPr>
          <t xml:space="preserve">
Logic Text
</t>
        </r>
      </text>
    </comment>
    <comment ref="Q74" authorId="0" shapeId="0" xr:uid="{74E914F9-B4F4-4DEA-A3D1-986208D0F1E0}">
      <text>
        <r>
          <rPr>
            <b/>
            <sz val="9"/>
            <color indexed="81"/>
            <rFont val="Tahoma"/>
            <family val="2"/>
          </rPr>
          <t>Robert Bosar:</t>
        </r>
        <r>
          <rPr>
            <sz val="9"/>
            <color indexed="81"/>
            <rFont val="Tahoma"/>
            <family val="2"/>
          </rPr>
          <t xml:space="preserve">
Logic Text
</t>
        </r>
      </text>
    </comment>
    <comment ref="U74" authorId="0" shapeId="0" xr:uid="{6A1CBF25-EF23-47D0-AB95-7C7977BEABDE}">
      <text>
        <r>
          <rPr>
            <b/>
            <sz val="9"/>
            <color indexed="81"/>
            <rFont val="Tahoma"/>
            <family val="2"/>
          </rPr>
          <t>Robert Bosar:</t>
        </r>
        <r>
          <rPr>
            <sz val="9"/>
            <color indexed="81"/>
            <rFont val="Tahoma"/>
            <family val="2"/>
          </rPr>
          <t xml:space="preserve">
Logic Text
</t>
        </r>
      </text>
    </comment>
    <comment ref="C79" authorId="0" shapeId="0" xr:uid="{AA4E6518-FDF4-4183-9629-7127DF585860}">
      <text>
        <r>
          <rPr>
            <b/>
            <sz val="9"/>
            <color indexed="81"/>
            <rFont val="Tahoma"/>
            <family val="2"/>
          </rPr>
          <t>Robert Bosar:</t>
        </r>
        <r>
          <rPr>
            <sz val="9"/>
            <color indexed="81"/>
            <rFont val="Tahoma"/>
            <family val="2"/>
          </rPr>
          <t xml:space="preserve">
Logic Text
</t>
        </r>
      </text>
    </comment>
    <comment ref="J80" authorId="0" shapeId="0" xr:uid="{CF028BA4-F2B2-4082-AEA2-0DDFB6C5B685}">
      <text>
        <r>
          <rPr>
            <b/>
            <sz val="9"/>
            <color indexed="81"/>
            <rFont val="Tahoma"/>
            <family val="2"/>
          </rPr>
          <t>Robert Bosar:</t>
        </r>
        <r>
          <rPr>
            <sz val="9"/>
            <color indexed="81"/>
            <rFont val="Tahoma"/>
            <family val="2"/>
          </rPr>
          <t xml:space="preserve">
Logic Text
</t>
        </r>
      </text>
    </comment>
    <comment ref="S82" authorId="0" shapeId="0" xr:uid="{F1ECAC76-499D-4812-9161-2005366CBF51}">
      <text>
        <r>
          <rPr>
            <b/>
            <sz val="9"/>
            <color indexed="81"/>
            <rFont val="Tahoma"/>
            <family val="2"/>
          </rPr>
          <t>Robert Bosar:</t>
        </r>
        <r>
          <rPr>
            <sz val="9"/>
            <color indexed="81"/>
            <rFont val="Tahoma"/>
            <family val="2"/>
          </rPr>
          <t xml:space="preserve">
Logic Text
</t>
        </r>
      </text>
    </comment>
    <comment ref="C83" authorId="0" shapeId="0" xr:uid="{44ED46F5-2FE7-4B6C-B340-819B66C8362B}">
      <text>
        <r>
          <rPr>
            <b/>
            <sz val="9"/>
            <color indexed="81"/>
            <rFont val="Tahoma"/>
            <family val="2"/>
          </rPr>
          <t>Robert Bosar:</t>
        </r>
        <r>
          <rPr>
            <sz val="9"/>
            <color indexed="81"/>
            <rFont val="Tahoma"/>
            <family val="2"/>
          </rPr>
          <t xml:space="preserve">
logic text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Robert Bosar</author>
  </authors>
  <commentList>
    <comment ref="V11" authorId="0" shapeId="0" xr:uid="{926F8857-7F4A-4B00-B89C-61724DD9B489}">
      <text>
        <r>
          <rPr>
            <b/>
            <sz val="9"/>
            <color indexed="81"/>
            <rFont val="Tahoma"/>
            <family val="2"/>
          </rPr>
          <t>Robert Bosar:</t>
        </r>
        <r>
          <rPr>
            <sz val="9"/>
            <color indexed="81"/>
            <rFont val="Tahoma"/>
            <family val="2"/>
          </rPr>
          <t xml:space="preserve">
Logic Text
</t>
        </r>
      </text>
    </comment>
    <comment ref="K12" authorId="0" shapeId="0" xr:uid="{FF628F15-D602-4E44-87BE-042AA4CACE40}">
      <text>
        <r>
          <rPr>
            <b/>
            <sz val="9"/>
            <color indexed="81"/>
            <rFont val="Tahoma"/>
            <family val="2"/>
          </rPr>
          <t>Robert Bosar:</t>
        </r>
        <r>
          <rPr>
            <sz val="9"/>
            <color indexed="81"/>
            <rFont val="Tahoma"/>
            <family val="2"/>
          </rPr>
          <t xml:space="preserve">
Logic Text
</t>
        </r>
      </text>
    </comment>
    <comment ref="G16" authorId="0" shapeId="0" xr:uid="{4A484A54-D44A-454C-A92A-19745B187D80}">
      <text>
        <r>
          <rPr>
            <b/>
            <sz val="9"/>
            <color indexed="81"/>
            <rFont val="Tahoma"/>
            <family val="2"/>
          </rPr>
          <t>Robert Bosar:</t>
        </r>
        <r>
          <rPr>
            <sz val="9"/>
            <color indexed="81"/>
            <rFont val="Tahoma"/>
            <family val="2"/>
          </rPr>
          <t xml:space="preserve">
Logic Text
</t>
        </r>
      </text>
    </comment>
    <comment ref="P16" authorId="0" shapeId="0" xr:uid="{6535880F-CAB6-4B36-852B-A4271E32145F}">
      <text>
        <r>
          <rPr>
            <b/>
            <sz val="9"/>
            <color indexed="81"/>
            <rFont val="Tahoma"/>
            <family val="2"/>
          </rPr>
          <t>Robert Bosar:</t>
        </r>
        <r>
          <rPr>
            <sz val="9"/>
            <color indexed="81"/>
            <rFont val="Tahoma"/>
            <family val="2"/>
          </rPr>
          <t xml:space="preserve">
Logic Text
</t>
        </r>
      </text>
    </comment>
    <comment ref="N17" authorId="0" shapeId="0" xr:uid="{F33EC224-0388-46F5-AD81-C92A37493979}">
      <text>
        <r>
          <rPr>
            <b/>
            <sz val="9"/>
            <color indexed="81"/>
            <rFont val="Tahoma"/>
            <family val="2"/>
          </rPr>
          <t>Robert Bosar:</t>
        </r>
        <r>
          <rPr>
            <sz val="9"/>
            <color indexed="81"/>
            <rFont val="Tahoma"/>
            <family val="2"/>
          </rPr>
          <t xml:space="preserve">
Logic Text
</t>
        </r>
      </text>
    </comment>
    <comment ref="N19" authorId="0" shapeId="0" xr:uid="{29A83F16-CCB3-400D-8C8A-3881F80E4148}">
      <text>
        <r>
          <rPr>
            <b/>
            <sz val="9"/>
            <color indexed="81"/>
            <rFont val="Tahoma"/>
            <family val="2"/>
          </rPr>
          <t>Robert Bosar:</t>
        </r>
        <r>
          <rPr>
            <sz val="9"/>
            <color indexed="81"/>
            <rFont val="Tahoma"/>
            <family val="2"/>
          </rPr>
          <t xml:space="preserve">
Logic Text
</t>
        </r>
      </text>
    </comment>
    <comment ref="N23" authorId="0" shapeId="0" xr:uid="{12DECADC-B09E-4CD6-8EE4-F1BA87D47BDD}">
      <text>
        <r>
          <rPr>
            <b/>
            <sz val="9"/>
            <color indexed="81"/>
            <rFont val="Tahoma"/>
            <family val="2"/>
          </rPr>
          <t>Robert Bosar:</t>
        </r>
        <r>
          <rPr>
            <sz val="9"/>
            <color indexed="81"/>
            <rFont val="Tahoma"/>
            <family val="2"/>
          </rPr>
          <t xml:space="preserve">
Logic Text
</t>
        </r>
      </text>
    </comment>
    <comment ref="C24" authorId="0" shapeId="0" xr:uid="{87C6586B-E191-4535-8B87-E803D9955035}">
      <text>
        <r>
          <rPr>
            <b/>
            <sz val="9"/>
            <color indexed="81"/>
            <rFont val="Tahoma"/>
            <family val="2"/>
          </rPr>
          <t>Robert Bosar:</t>
        </r>
        <r>
          <rPr>
            <sz val="9"/>
            <color indexed="81"/>
            <rFont val="Tahoma"/>
            <family val="2"/>
          </rPr>
          <t xml:space="preserve">
Logic Text
</t>
        </r>
      </text>
    </comment>
    <comment ref="N24" authorId="0" shapeId="0" xr:uid="{39E7896B-411A-43C3-81C0-10A9E5D40FE5}">
      <text>
        <r>
          <rPr>
            <b/>
            <sz val="9"/>
            <color indexed="81"/>
            <rFont val="Tahoma"/>
            <family val="2"/>
          </rPr>
          <t>Robert Bosar:</t>
        </r>
        <r>
          <rPr>
            <sz val="9"/>
            <color indexed="81"/>
            <rFont val="Tahoma"/>
            <family val="2"/>
          </rPr>
          <t xml:space="preserve">
Logic Text
</t>
        </r>
      </text>
    </comment>
    <comment ref="R28" authorId="0" shapeId="0" xr:uid="{A9CC39DE-561D-4718-9AD5-22DD9A39FBDA}">
      <text>
        <r>
          <rPr>
            <b/>
            <sz val="9"/>
            <color indexed="81"/>
            <rFont val="Tahoma"/>
            <family val="2"/>
          </rPr>
          <t>Robert Bosar:</t>
        </r>
        <r>
          <rPr>
            <sz val="9"/>
            <color indexed="81"/>
            <rFont val="Tahoma"/>
            <family val="2"/>
          </rPr>
          <t xml:space="preserve">
Logic Text
</t>
        </r>
      </text>
    </comment>
    <comment ref="R29" authorId="0" shapeId="0" xr:uid="{F799437A-A7C1-482D-98B4-D0076C239868}">
      <text>
        <r>
          <rPr>
            <b/>
            <sz val="9"/>
            <color indexed="81"/>
            <rFont val="Tahoma"/>
            <family val="2"/>
          </rPr>
          <t>Robert Bosar:</t>
        </r>
        <r>
          <rPr>
            <sz val="9"/>
            <color indexed="81"/>
            <rFont val="Tahoma"/>
            <family val="2"/>
          </rPr>
          <t xml:space="preserve">
Logic Text</t>
        </r>
      </text>
    </comment>
    <comment ref="R30" authorId="0" shapeId="0" xr:uid="{57348643-A325-44E0-957D-C84F4A2FE5E3}">
      <text>
        <r>
          <rPr>
            <b/>
            <sz val="9"/>
            <color indexed="81"/>
            <rFont val="Tahoma"/>
            <family val="2"/>
          </rPr>
          <t>Robert Bosar:</t>
        </r>
        <r>
          <rPr>
            <sz val="9"/>
            <color indexed="81"/>
            <rFont val="Tahoma"/>
            <family val="2"/>
          </rPr>
          <t xml:space="preserve">
Logic Text
</t>
        </r>
      </text>
    </comment>
    <comment ref="R31" authorId="0" shapeId="0" xr:uid="{C57ED739-0C3D-4AB2-94EF-9DDA35B817B7}">
      <text>
        <r>
          <rPr>
            <b/>
            <sz val="9"/>
            <color indexed="81"/>
            <rFont val="Tahoma"/>
            <family val="2"/>
          </rPr>
          <t>Robert Bosar:</t>
        </r>
        <r>
          <rPr>
            <sz val="9"/>
            <color indexed="81"/>
            <rFont val="Tahoma"/>
            <family val="2"/>
          </rPr>
          <t xml:space="preserve">
Logic Text
</t>
        </r>
      </text>
    </comment>
    <comment ref="B33" authorId="0" shapeId="0" xr:uid="{1A43D8E7-C89C-40AA-A95F-F88BA8400C64}">
      <text>
        <r>
          <rPr>
            <b/>
            <sz val="9"/>
            <color indexed="81"/>
            <rFont val="Tahoma"/>
            <family val="2"/>
          </rPr>
          <t>Robert Bosar:</t>
        </r>
        <r>
          <rPr>
            <sz val="9"/>
            <color indexed="81"/>
            <rFont val="Tahoma"/>
            <family val="2"/>
          </rPr>
          <t xml:space="preserve">
Logic Text
</t>
        </r>
      </text>
    </comment>
    <comment ref="R35" authorId="0" shapeId="0" xr:uid="{3F580955-101A-4295-9A48-28B128396D10}">
      <text>
        <r>
          <rPr>
            <b/>
            <sz val="9"/>
            <color indexed="81"/>
            <rFont val="Tahoma"/>
            <family val="2"/>
          </rPr>
          <t>Robert Bosar:</t>
        </r>
        <r>
          <rPr>
            <sz val="9"/>
            <color indexed="81"/>
            <rFont val="Tahoma"/>
            <family val="2"/>
          </rPr>
          <t xml:space="preserve">
Logic Text
</t>
        </r>
      </text>
    </comment>
    <comment ref="T36" authorId="0" shapeId="0" xr:uid="{65D21171-B00A-44A8-B7D5-8D7851FEF415}">
      <text>
        <r>
          <rPr>
            <b/>
            <sz val="9"/>
            <color indexed="81"/>
            <rFont val="Tahoma"/>
            <family val="2"/>
          </rPr>
          <t>Robert Bosar:</t>
        </r>
        <r>
          <rPr>
            <sz val="9"/>
            <color indexed="81"/>
            <rFont val="Tahoma"/>
            <family val="2"/>
          </rPr>
          <t xml:space="preserve">
Logic Text
</t>
        </r>
      </text>
    </comment>
    <comment ref="I37" authorId="0" shapeId="0" xr:uid="{70170E08-93BA-46BB-9769-0B3FAE785C21}">
      <text>
        <r>
          <rPr>
            <b/>
            <sz val="9"/>
            <color indexed="81"/>
            <rFont val="Tahoma"/>
            <family val="2"/>
          </rPr>
          <t>Robert Bosar:</t>
        </r>
        <r>
          <rPr>
            <sz val="9"/>
            <color indexed="81"/>
            <rFont val="Tahoma"/>
            <family val="2"/>
          </rPr>
          <t xml:space="preserve">
Logic Text
</t>
        </r>
      </text>
    </comment>
    <comment ref="L38" authorId="0" shapeId="0" xr:uid="{A4B94ACB-6E5F-423F-914D-06AA8188906C}">
      <text>
        <r>
          <rPr>
            <b/>
            <sz val="9"/>
            <color indexed="81"/>
            <rFont val="Tahoma"/>
            <family val="2"/>
          </rPr>
          <t>Robert Bosar:</t>
        </r>
        <r>
          <rPr>
            <sz val="9"/>
            <color indexed="81"/>
            <rFont val="Tahoma"/>
            <family val="2"/>
          </rPr>
          <t xml:space="preserve">
Logic Text</t>
        </r>
      </text>
    </comment>
    <comment ref="C39" authorId="0" shapeId="0" xr:uid="{15810D2E-F202-4816-AFAC-936FCC0BC02A}">
      <text>
        <r>
          <rPr>
            <b/>
            <sz val="9"/>
            <color indexed="81"/>
            <rFont val="Tahoma"/>
            <family val="2"/>
          </rPr>
          <t>Robert Bosar:</t>
        </r>
        <r>
          <rPr>
            <sz val="9"/>
            <color indexed="81"/>
            <rFont val="Tahoma"/>
            <family val="2"/>
          </rPr>
          <t xml:space="preserve">
Logic Text</t>
        </r>
      </text>
    </comment>
    <comment ref="C41" authorId="0" shapeId="0" xr:uid="{767A3C1E-6F89-4F6C-969B-F0AD4FF0C68B}">
      <text>
        <r>
          <rPr>
            <b/>
            <sz val="9"/>
            <color indexed="81"/>
            <rFont val="Tahoma"/>
            <family val="2"/>
          </rPr>
          <t>Robert Bosar:</t>
        </r>
        <r>
          <rPr>
            <sz val="9"/>
            <color indexed="81"/>
            <rFont val="Tahoma"/>
            <family val="2"/>
          </rPr>
          <t xml:space="preserve">
Logic Text
</t>
        </r>
      </text>
    </comment>
    <comment ref="P43" authorId="0" shapeId="0" xr:uid="{F363AD1E-00CD-44D1-8CBA-47455AAAF6E4}">
      <text>
        <r>
          <rPr>
            <b/>
            <sz val="9"/>
            <color indexed="81"/>
            <rFont val="Tahoma"/>
            <family val="2"/>
          </rPr>
          <t>Robert Bosar:</t>
        </r>
        <r>
          <rPr>
            <sz val="9"/>
            <color indexed="81"/>
            <rFont val="Tahoma"/>
            <family val="2"/>
          </rPr>
          <t xml:space="preserve">
Logic Text
</t>
        </r>
      </text>
    </comment>
    <comment ref="S46" authorId="0" shapeId="0" xr:uid="{920FF053-A13F-4530-8000-8AB9E1142F28}">
      <text>
        <r>
          <rPr>
            <b/>
            <sz val="9"/>
            <color indexed="81"/>
            <rFont val="Tahoma"/>
            <family val="2"/>
          </rPr>
          <t>Robert Bosar:</t>
        </r>
        <r>
          <rPr>
            <sz val="9"/>
            <color indexed="81"/>
            <rFont val="Tahoma"/>
            <family val="2"/>
          </rPr>
          <t xml:space="preserve">
Logic Message
</t>
        </r>
      </text>
    </comment>
    <comment ref="S47" authorId="0" shapeId="0" xr:uid="{230965F9-430B-4E75-A80D-FF6984F088A3}">
      <text>
        <r>
          <rPr>
            <b/>
            <sz val="9"/>
            <color indexed="81"/>
            <rFont val="Tahoma"/>
            <family val="2"/>
          </rPr>
          <t>Robert Bosar:</t>
        </r>
        <r>
          <rPr>
            <sz val="9"/>
            <color indexed="81"/>
            <rFont val="Tahoma"/>
            <family val="2"/>
          </rPr>
          <t xml:space="preserve">
Logic Text
</t>
        </r>
      </text>
    </comment>
    <comment ref="P52" authorId="0" shapeId="0" xr:uid="{A2CB2663-FBEC-4960-8421-7FAE7570F907}">
      <text>
        <r>
          <rPr>
            <b/>
            <sz val="9"/>
            <color indexed="81"/>
            <rFont val="Tahoma"/>
            <family val="2"/>
          </rPr>
          <t>Robert Bosar:</t>
        </r>
        <r>
          <rPr>
            <sz val="9"/>
            <color indexed="81"/>
            <rFont val="Tahoma"/>
            <family val="2"/>
          </rPr>
          <t xml:space="preserve">
Logic Text
</t>
        </r>
      </text>
    </comment>
    <comment ref="P53" authorId="0" shapeId="0" xr:uid="{C55CFD0E-304E-4B1C-BFAC-DCBFFC11A578}">
      <text>
        <r>
          <rPr>
            <b/>
            <sz val="9"/>
            <color indexed="81"/>
            <rFont val="Tahoma"/>
            <family val="2"/>
          </rPr>
          <t>Robert Bosar:</t>
        </r>
        <r>
          <rPr>
            <sz val="9"/>
            <color indexed="81"/>
            <rFont val="Tahoma"/>
            <family val="2"/>
          </rPr>
          <t xml:space="preserve">
logic text
</t>
        </r>
      </text>
    </comment>
    <comment ref="D58" authorId="0" shapeId="0" xr:uid="{5D42CE18-360B-41F2-B038-45BB79AC795D}">
      <text>
        <r>
          <rPr>
            <b/>
            <sz val="9"/>
            <color indexed="81"/>
            <rFont val="Tahoma"/>
            <family val="2"/>
          </rPr>
          <t>Robert Bosar:</t>
        </r>
        <r>
          <rPr>
            <sz val="9"/>
            <color indexed="81"/>
            <rFont val="Tahoma"/>
            <family val="2"/>
          </rPr>
          <t xml:space="preserve">
Logic Text
</t>
        </r>
      </text>
    </comment>
    <comment ref="R60" authorId="0" shapeId="0" xr:uid="{7278E6D9-7822-45CA-887D-45C105FD6E5D}">
      <text>
        <r>
          <rPr>
            <b/>
            <sz val="9"/>
            <color indexed="81"/>
            <rFont val="Tahoma"/>
            <family val="2"/>
          </rPr>
          <t>Robert Bosar:</t>
        </r>
        <r>
          <rPr>
            <sz val="9"/>
            <color indexed="81"/>
            <rFont val="Tahoma"/>
            <family val="2"/>
          </rPr>
          <t xml:space="preserve">
Logic text
</t>
        </r>
      </text>
    </comment>
    <comment ref="O70" authorId="0" shapeId="0" xr:uid="{9AEFD954-65D1-4D4A-84D1-35C304BBD9C7}">
      <text>
        <r>
          <rPr>
            <b/>
            <sz val="9"/>
            <color indexed="81"/>
            <rFont val="Tahoma"/>
            <family val="2"/>
          </rPr>
          <t>Robert Bosar:</t>
        </r>
        <r>
          <rPr>
            <sz val="9"/>
            <color indexed="81"/>
            <rFont val="Tahoma"/>
            <family val="2"/>
          </rPr>
          <t xml:space="preserve">
logic text
</t>
        </r>
      </text>
    </comment>
    <comment ref="O71" authorId="0" shapeId="0" xr:uid="{D5768E7E-446A-4B7E-BC8E-CFC2482C2A8C}">
      <text>
        <r>
          <rPr>
            <b/>
            <sz val="9"/>
            <color indexed="81"/>
            <rFont val="Tahoma"/>
            <family val="2"/>
          </rPr>
          <t>Robert Bosar:</t>
        </r>
        <r>
          <rPr>
            <sz val="9"/>
            <color indexed="81"/>
            <rFont val="Tahoma"/>
            <family val="2"/>
          </rPr>
          <t xml:space="preserve">
logic text</t>
        </r>
      </text>
    </comment>
    <comment ref="O72" authorId="0" shapeId="0" xr:uid="{E119A3D4-51AF-4DDF-A0FC-4B72D81D1FB2}">
      <text>
        <r>
          <rPr>
            <b/>
            <sz val="9"/>
            <color indexed="81"/>
            <rFont val="Tahoma"/>
            <family val="2"/>
          </rPr>
          <t>Robert Bosar:</t>
        </r>
        <r>
          <rPr>
            <sz val="9"/>
            <color indexed="81"/>
            <rFont val="Tahoma"/>
            <family val="2"/>
          </rPr>
          <t xml:space="preserve">
logic text</t>
        </r>
      </text>
    </comment>
    <comment ref="Q74" authorId="0" shapeId="0" xr:uid="{074A28A7-BD1F-42D0-A0C4-44D1873D9075}">
      <text>
        <r>
          <rPr>
            <b/>
            <sz val="9"/>
            <color indexed="81"/>
            <rFont val="Tahoma"/>
            <family val="2"/>
          </rPr>
          <t>Robert Bosar:</t>
        </r>
        <r>
          <rPr>
            <sz val="9"/>
            <color indexed="81"/>
            <rFont val="Tahoma"/>
            <family val="2"/>
          </rPr>
          <t xml:space="preserve">
logic text
</t>
        </r>
      </text>
    </comment>
    <comment ref="U74" authorId="0" shapeId="0" xr:uid="{B3D4955A-07F4-4816-B0DB-37381C4A9EA8}">
      <text>
        <r>
          <rPr>
            <b/>
            <sz val="9"/>
            <color indexed="81"/>
            <rFont val="Tahoma"/>
            <family val="2"/>
          </rPr>
          <t>Robert Bosar:</t>
        </r>
        <r>
          <rPr>
            <sz val="9"/>
            <color indexed="81"/>
            <rFont val="Tahoma"/>
            <family val="2"/>
          </rPr>
          <t xml:space="preserve">
logic text
</t>
        </r>
      </text>
    </comment>
    <comment ref="C79" authorId="0" shapeId="0" xr:uid="{1C7904D2-202C-4BAD-B7C3-15E7FECD6DDD}">
      <text>
        <r>
          <rPr>
            <b/>
            <sz val="9"/>
            <color indexed="81"/>
            <rFont val="Tahoma"/>
            <family val="2"/>
          </rPr>
          <t>Robert Bosar:</t>
        </r>
        <r>
          <rPr>
            <sz val="9"/>
            <color indexed="81"/>
            <rFont val="Tahoma"/>
            <family val="2"/>
          </rPr>
          <t xml:space="preserve">
logic text
</t>
        </r>
      </text>
    </comment>
    <comment ref="J80" authorId="0" shapeId="0" xr:uid="{7CD800D1-F3B7-4113-A816-C615361073F2}">
      <text>
        <r>
          <rPr>
            <b/>
            <sz val="9"/>
            <color indexed="81"/>
            <rFont val="Tahoma"/>
            <family val="2"/>
          </rPr>
          <t>Robert Bosar:</t>
        </r>
        <r>
          <rPr>
            <sz val="9"/>
            <color indexed="81"/>
            <rFont val="Tahoma"/>
            <family val="2"/>
          </rPr>
          <t xml:space="preserve">
logic text
</t>
        </r>
      </text>
    </comment>
    <comment ref="S82" authorId="0" shapeId="0" xr:uid="{0C0870B9-169A-41C2-A4E7-2C9C51AF92AF}">
      <text>
        <r>
          <rPr>
            <b/>
            <sz val="9"/>
            <color indexed="81"/>
            <rFont val="Tahoma"/>
            <family val="2"/>
          </rPr>
          <t>Robert Bosar:</t>
        </r>
        <r>
          <rPr>
            <sz val="9"/>
            <color indexed="81"/>
            <rFont val="Tahoma"/>
            <family val="2"/>
          </rPr>
          <t xml:space="preserve">
logic text
</t>
        </r>
      </text>
    </comment>
    <comment ref="C83" authorId="0" shapeId="0" xr:uid="{F6FC685F-EC61-4EEE-BCBD-01DBD947BB6F}">
      <text>
        <r>
          <rPr>
            <b/>
            <sz val="9"/>
            <color indexed="81"/>
            <rFont val="Tahoma"/>
            <family val="2"/>
          </rPr>
          <t>Robert Bosar:</t>
        </r>
        <r>
          <rPr>
            <sz val="9"/>
            <color indexed="81"/>
            <rFont val="Tahoma"/>
            <family val="2"/>
          </rPr>
          <t xml:space="preserve">
logic text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<sst xmlns="http://schemas.openxmlformats.org/spreadsheetml/2006/main" count="1890" uniqueCount="975">
  <si>
    <t>Trailer Configuration</t>
  </si>
  <si>
    <t>Customer Contact Info:</t>
  </si>
  <si>
    <t>Trailer Model</t>
  </si>
  <si>
    <t>Trailer Size</t>
  </si>
  <si>
    <t>Name:</t>
  </si>
  <si>
    <t>Phone:</t>
  </si>
  <si>
    <t>Color</t>
  </si>
  <si>
    <t>Selection</t>
  </si>
  <si>
    <t>Email:</t>
  </si>
  <si>
    <t>Standard</t>
  </si>
  <si>
    <t>Premium</t>
  </si>
  <si>
    <t>Address:</t>
  </si>
  <si>
    <t>Diamond Plate</t>
  </si>
  <si>
    <t>State:</t>
  </si>
  <si>
    <t>CA</t>
  </si>
  <si>
    <t>Front</t>
  </si>
  <si>
    <t>Type</t>
  </si>
  <si>
    <t>Quote Date:</t>
  </si>
  <si>
    <t>Side</t>
  </si>
  <si>
    <t>Quote is valid for 3 days afterwhich pricing, availabilty, lead time, and/or options may change.</t>
  </si>
  <si>
    <t>Doors &amp; Windows</t>
  </si>
  <si>
    <t>Rear side swing galley door, solid passenger side door, and two side windows with screens standard.</t>
  </si>
  <si>
    <t>Customer Service:</t>
  </si>
  <si>
    <t>Add Driver Side Door</t>
  </si>
  <si>
    <t>Door Type</t>
  </si>
  <si>
    <t>Rep:</t>
  </si>
  <si>
    <t>Add Door Bungies</t>
  </si>
  <si>
    <t>Tow Vehicle:</t>
  </si>
  <si>
    <t>Galley Options</t>
  </si>
  <si>
    <t>Tow Capacity:</t>
  </si>
  <si>
    <t>Standard galley includes two shelves.  Top shelf open to cabin with two cubby holes, middle shelf closed off with latched passthrough, bottom open to cabin.</t>
  </si>
  <si>
    <t>Referred</t>
  </si>
  <si>
    <t>By</t>
  </si>
  <si>
    <t>Galley Depth</t>
  </si>
  <si>
    <t>17"</t>
  </si>
  <si>
    <t>Custom Options:</t>
  </si>
  <si>
    <t>Galley Close Off</t>
  </si>
  <si>
    <t>Open</t>
  </si>
  <si>
    <t>Add Drawers</t>
  </si>
  <si>
    <t>Cabinet Doors</t>
  </si>
  <si>
    <t>Add Slide Out Tray</t>
  </si>
  <si>
    <t>Surface</t>
  </si>
  <si>
    <t>Add Side Table</t>
  </si>
  <si>
    <t>Add Front Cabin Shelf</t>
  </si>
  <si>
    <t>Add Rear Cabin Shelf</t>
  </si>
  <si>
    <t>Base Trailer Total:</t>
  </si>
  <si>
    <t>Roof Rack Options</t>
  </si>
  <si>
    <t>Add Roof Rack Bars</t>
  </si>
  <si>
    <t>Config</t>
  </si>
  <si>
    <t>Add Passenger Side Awning</t>
  </si>
  <si>
    <t>Add Driver Side Awning</t>
  </si>
  <si>
    <t>Add Rooftop Water Storage</t>
  </si>
  <si>
    <t>Options and Accessories Total:</t>
  </si>
  <si>
    <t>Add Rooftop Storage</t>
  </si>
  <si>
    <t>Add Roof Top Tent</t>
  </si>
  <si>
    <t>Suspension, Wheels, Brakes, &amp; Hitches</t>
  </si>
  <si>
    <t>Custom Options Total:</t>
  </si>
  <si>
    <t>Add Spare Tire</t>
  </si>
  <si>
    <t>Location</t>
  </si>
  <si>
    <t>Trailer Hitch</t>
  </si>
  <si>
    <t>Vehicle Side</t>
  </si>
  <si>
    <t>Add Electric Trailer Brakes</t>
  </si>
  <si>
    <t>Add AutowBrake Trailer Brake Controller</t>
  </si>
  <si>
    <t xml:space="preserve"> </t>
  </si>
  <si>
    <t>Total Cost:</t>
  </si>
  <si>
    <t>Front Wheel Jack Upgrade</t>
  </si>
  <si>
    <t>Toolbox &amp; Tongue</t>
  </si>
  <si>
    <t>Deposit Required:</t>
  </si>
  <si>
    <t>Side Mounted Accessories</t>
  </si>
  <si>
    <t>Add Passenger Side Propane Mount</t>
  </si>
  <si>
    <t>Size</t>
  </si>
  <si>
    <t>Include Tank</t>
  </si>
  <si>
    <t>Add Driver Side Propane Mount</t>
  </si>
  <si>
    <t>Heat, Air, &amp; A/C</t>
  </si>
  <si>
    <t>Two side windows with operable screens standard.</t>
  </si>
  <si>
    <t>Balance Due at Completion:</t>
  </si>
  <si>
    <t>Vent / Fan Selection</t>
  </si>
  <si>
    <t>Add Front A/C Vents</t>
  </si>
  <si>
    <t>Add Rooftop A/C</t>
  </si>
  <si>
    <t>Add Heater</t>
  </si>
  <si>
    <t>Battery &amp; Electrical</t>
  </si>
  <si>
    <t>Financing available upon request.  Deposit is not part of financing option.  Final total does not include any applicable tax, title, or license fees.</t>
  </si>
  <si>
    <t>110V shore power connection, galley power strip, front cabin USB hub standard.  A battery or power station is required for 12V accessories to function.  Battery options include mounts and smart charger if selected.</t>
  </si>
  <si>
    <t>Add On-Board Battery</t>
  </si>
  <si>
    <t>ESTIMATED COMPLETION DATE:</t>
  </si>
  <si>
    <t>Battery Location</t>
  </si>
  <si>
    <t>Rear Galley</t>
  </si>
  <si>
    <t>March</t>
  </si>
  <si>
    <t>Add Goal Zero Power Station</t>
  </si>
  <si>
    <t>Add 12V Male Plug for Power Station</t>
  </si>
  <si>
    <t>Add Goal Zero Power Station Mount w/ Straps</t>
  </si>
  <si>
    <t>Completion date is subject to change based on supply chain, product availability and forces beyond our control.  We will do our best to meet or exceed this date.  Trailers are only held at the production facility for 14 days after completion.  Customer Service will reach out prior to completion to scheudle a virtual walkthrough inspection and set up a pick up date.  Delivery also available upon request.</t>
  </si>
  <si>
    <t>Add 12V DC to DC Charger for Goal Zero</t>
  </si>
  <si>
    <t>Add 110V Plug to Front Cubby</t>
  </si>
  <si>
    <t>Add Rear USB Unit</t>
  </si>
  <si>
    <t>Lighting</t>
  </si>
  <si>
    <t>Rear middle shelf galley light, and marker lights standard.</t>
  </si>
  <si>
    <t>Cabin Light Type</t>
  </si>
  <si>
    <t xml:space="preserve">Add Reading Lights </t>
  </si>
  <si>
    <t>Trailer Specs:</t>
  </si>
  <si>
    <t>Add Passenger Side Light</t>
  </si>
  <si>
    <t>Add Driver Side Light</t>
  </si>
  <si>
    <t>GVWR:</t>
  </si>
  <si>
    <t>lbs.</t>
  </si>
  <si>
    <t>Vehicle Connection:</t>
  </si>
  <si>
    <t>7-Pin</t>
  </si>
  <si>
    <t>Add Rear Exterior Light</t>
  </si>
  <si>
    <t>AVG Weight:</t>
  </si>
  <si>
    <t>Solar Power</t>
  </si>
  <si>
    <t>Trailer Brake Controller Needed?</t>
  </si>
  <si>
    <t>Add Portable Panel</t>
  </si>
  <si>
    <t>Ground Clearance:</t>
  </si>
  <si>
    <t>Add Mounted Panel</t>
  </si>
  <si>
    <t>Wiring for</t>
  </si>
  <si>
    <t>Recommended Hitch Height:</t>
  </si>
  <si>
    <t>Add Adapter Plug</t>
  </si>
  <si>
    <t>Lug Nut Socket Size:</t>
  </si>
  <si>
    <t>On-Board Water &amp; Shower Systems</t>
  </si>
  <si>
    <t xml:space="preserve">Hiker Trailer does not perform any vehicle modifications which may be needed for certain options.  All trailers come with a 2" ball as standard.  If you select an articulating hitch, the vehicle side adapter is required.  For safety, we do not wire the vehicle auxiliary power connection to the trailer for battery charging.  </t>
  </si>
  <si>
    <t>Add 23 Zero Shower Enclosure</t>
  </si>
  <si>
    <t>Add Instant Hot Water Shower</t>
  </si>
  <si>
    <t>Fridges &amp; Fridge Slides</t>
  </si>
  <si>
    <t>Add Powered Fridge</t>
  </si>
  <si>
    <t>Next Steps:</t>
  </si>
  <si>
    <t>Add Ons</t>
  </si>
  <si>
    <t>Hiker Trailer Storage Cover</t>
  </si>
  <si>
    <t>Curt Bluetooth Brake Controller</t>
  </si>
  <si>
    <t>When you're ready to move forward with securing a Hiker Trailer, let our team know and we will send over your Build Contract, Purchase Agreement, and help make arrangements for payment of your deposit.</t>
  </si>
  <si>
    <t>Hiker Trailer Front Jack Dolly</t>
  </si>
  <si>
    <t>7-Pin to 4-Pin Adapter</t>
  </si>
  <si>
    <t>7-Pin Cable Extension</t>
  </si>
  <si>
    <t>Tow Vehicle Hitch Extension</t>
  </si>
  <si>
    <t>If you have questions, you can schedule a virtual, in-person, or phone appointment with a member of our team by replying to our email, or visiting our</t>
  </si>
  <si>
    <t>Adventure Club</t>
  </si>
  <si>
    <t>Coming Early 2023!</t>
  </si>
  <si>
    <t>Join our loyalty and referral program.</t>
  </si>
  <si>
    <t>-Cash back for referrals</t>
  </si>
  <si>
    <t>-Free annual maintenance appointment</t>
  </si>
  <si>
    <t>-Swag Bag with exclusive gifts</t>
  </si>
  <si>
    <t>Learn more on our YouTube:</t>
  </si>
  <si>
    <t>-Online store discounts</t>
  </si>
  <si>
    <t>-Invites and early access to special events</t>
  </si>
  <si>
    <t>-Trade in options</t>
  </si>
  <si>
    <t>1-Year Membership</t>
  </si>
  <si>
    <t>Size 1</t>
  </si>
  <si>
    <t>Size 2</t>
  </si>
  <si>
    <t>Pick Up Location</t>
  </si>
  <si>
    <t>Transportation from the factory is handled by a third party and may impact your estimated completion date</t>
  </si>
  <si>
    <t>Ask questions, interact with our community, and ask owners for their feedback and ideas on our Owner's Exchange Facebook Group:</t>
  </si>
  <si>
    <t>Columbus, IN</t>
  </si>
  <si>
    <t>Dealer</t>
  </si>
  <si>
    <t>Shipping, Handling, Title, &amp; Prep</t>
  </si>
  <si>
    <t>Included</t>
  </si>
  <si>
    <t>Contract Date:</t>
  </si>
  <si>
    <t>Build Confirmation Date:</t>
  </si>
  <si>
    <t>Build Number:</t>
  </si>
  <si>
    <t>A signed copy of this Build Contract, your signed Purchase Agreement, and your deposit must be received within 7 days of the above contract date for your build to be secured and placed into our production que.  Failure to meet this deadline will result in automatic cancelation, your build que position will be forfeit and any monies received will be refunded.</t>
  </si>
  <si>
    <t>We will be reaching out in 14 days to confirm your build selections.  You may change any last minute options before your build confirmation.  Once your build is confirmed, materials are ordered and changes will be at the sole discretion of Hiker Industries and will be subject to a $250 change order fee.</t>
  </si>
  <si>
    <t>Please sign and date below and return to Hiker Industries via email or mail to our address above along with your Purchase Agreement.  See corresponding email for acceptable forms of payment.</t>
  </si>
  <si>
    <t>Signed: _________________________________________________________________________________________________________________________</t>
  </si>
  <si>
    <t>Date: _______________________________________________________________________</t>
  </si>
  <si>
    <t>Build Number</t>
  </si>
  <si>
    <t>A signed copy of this Final Build Sheet needs to be returned to Hiker Trailer prior to your build confirmation date.  If we do not receive a signed copy of your Final Build Sheet, we will assume that your order is no longer desired, your deposit will be refunded, and your order canceled.</t>
  </si>
  <si>
    <t>Any changes desired after this Final Build Sheet is submitted are at the sole discretion of Hiker Trailer and will be subject to a change order fee and possible labor charges.</t>
  </si>
  <si>
    <t>Once we receive and confirm your build, we will send out an email when your build has started to give you a better estimate of when it may be completed.  Feel free to reach out to us at any time for a build update.</t>
  </si>
  <si>
    <t>Purchaser</t>
  </si>
  <si>
    <t>Delivery Date:</t>
  </si>
  <si>
    <t>Method:</t>
  </si>
  <si>
    <t>Invoice Number:</t>
  </si>
  <si>
    <t>Make:</t>
  </si>
  <si>
    <t>Body Type:</t>
  </si>
  <si>
    <t>MSO#:</t>
  </si>
  <si>
    <t>Color:</t>
  </si>
  <si>
    <t>Year</t>
  </si>
  <si>
    <t>HIKE</t>
  </si>
  <si>
    <t>ENCL TRAILER</t>
  </si>
  <si>
    <t>VIN #:</t>
  </si>
  <si>
    <t>Final Trailer Total:</t>
  </si>
  <si>
    <t>Payment:</t>
  </si>
  <si>
    <t>Deposit Received:</t>
  </si>
  <si>
    <t>Paid Date:</t>
  </si>
  <si>
    <t>Record of Additional Payments:</t>
  </si>
  <si>
    <t>Date:</t>
  </si>
  <si>
    <t>Type:</t>
  </si>
  <si>
    <t>Amount:</t>
  </si>
  <si>
    <t>Trailer Financed:</t>
  </si>
  <si>
    <t>Final Payment Information:</t>
  </si>
  <si>
    <t>Tax:</t>
  </si>
  <si>
    <t>Tax Total:</t>
  </si>
  <si>
    <t>State of Registration:</t>
  </si>
  <si>
    <t>State Tax Rate:</t>
  </si>
  <si>
    <t>Delivery Fees:</t>
  </si>
  <si>
    <t>Storage Fees:</t>
  </si>
  <si>
    <t>Final Payment Due:</t>
  </si>
  <si>
    <t>Remaining Balance:</t>
  </si>
  <si>
    <t>Referral Code:</t>
  </si>
  <si>
    <t>Hiker Industries, LLC accepts Cash, Certified Funds, Personal Checks with Valid ID, ACH (Direct Bank Withdrawal), and  Credit/Debit Card Payments.  Credit/Debit Card payments incure a 3.5% fee to any payments processed and is not reflected on this document.  Credit/Debit Card and ACH payments must be arranged 48 hours in advance prior to pick up or delivery.  All trailers stored at the Hiker Industires Facility must be fully paid for prior to storage.  All trailers must be paid for and proper documentation received prior to pick up by a delivery driver.  Required deposit amount is refundable only prior to the Build Confirmation Date located in the Purchase Agreement.  All sales are final.  Taxes are based upon the state of registration and may not apply at the time of purchase.  Document is not valid unless signed by an Authorized Representative of Hiker Industries, LLC.</t>
  </si>
  <si>
    <t>Seller:</t>
  </si>
  <si>
    <t>Hiker Industries, LLC</t>
  </si>
  <si>
    <t>Representative:  _______________________________________________________________________________________</t>
  </si>
  <si>
    <t>Purchaser:</t>
  </si>
  <si>
    <t>As Listed Above</t>
  </si>
  <si>
    <t>Signature:_____________________________________________________________________________________________</t>
  </si>
  <si>
    <t>Frame Ordering</t>
  </si>
  <si>
    <t>Frame Wiring</t>
  </si>
  <si>
    <t>Box Build</t>
  </si>
  <si>
    <t>Galley</t>
  </si>
  <si>
    <t>Skin</t>
  </si>
  <si>
    <t>Install</t>
  </si>
  <si>
    <t>Electric</t>
  </si>
  <si>
    <t>Finishing</t>
  </si>
  <si>
    <t>Pin Type:</t>
  </si>
  <si>
    <t># of Doors:</t>
  </si>
  <si>
    <t>Depth:</t>
  </si>
  <si>
    <t>Trim Color:</t>
  </si>
  <si>
    <t>Black</t>
  </si>
  <si>
    <t>Front AC:</t>
  </si>
  <si>
    <t>Slide Out Tray:</t>
  </si>
  <si>
    <t>Spare Tire Mount:</t>
  </si>
  <si>
    <t>Hitch:</t>
  </si>
  <si>
    <t>Roof Rack:</t>
  </si>
  <si>
    <t>Brakes:</t>
  </si>
  <si>
    <t>Toolbox:</t>
  </si>
  <si>
    <t>Drawers:</t>
  </si>
  <si>
    <t>Battery Location:</t>
  </si>
  <si>
    <t>PAS Light:</t>
  </si>
  <si>
    <t>Rear Setup:</t>
  </si>
  <si>
    <t>Front Diamond:</t>
  </si>
  <si>
    <t>PAS Awning:</t>
  </si>
  <si>
    <t>AutowBrake:</t>
  </si>
  <si>
    <t>Fan:</t>
  </si>
  <si>
    <t>Portable Solar:</t>
  </si>
  <si>
    <t>Support Beams:</t>
  </si>
  <si>
    <t>Cargo Pan:</t>
  </si>
  <si>
    <t>DVR Awning:</t>
  </si>
  <si>
    <t>Solar Adapters:</t>
  </si>
  <si>
    <t>Victron Charger:</t>
  </si>
  <si>
    <t>DVR Light:</t>
  </si>
  <si>
    <t>Side Diamond:</t>
  </si>
  <si>
    <t>Rooftop Water:</t>
  </si>
  <si>
    <t>Battery Type:</t>
  </si>
  <si>
    <t>Rear Jacks:</t>
  </si>
  <si>
    <t>Storage:</t>
  </si>
  <si>
    <t>Battery Mount:</t>
  </si>
  <si>
    <t>Trailer Cover:</t>
  </si>
  <si>
    <t>Inverter:</t>
  </si>
  <si>
    <t>Rear Light:</t>
  </si>
  <si>
    <t>Cabinet Doors:</t>
  </si>
  <si>
    <t>Diamond Plate Color:</t>
  </si>
  <si>
    <t>RTT:</t>
  </si>
  <si>
    <t>Brake Controller:</t>
  </si>
  <si>
    <t>Rooftop AC:</t>
  </si>
  <si>
    <t>Hiker Dolly:</t>
  </si>
  <si>
    <t>110V in Front Cubby:</t>
  </si>
  <si>
    <t>Rooftop A/C:</t>
  </si>
  <si>
    <t>Front Cubby Shelf:</t>
  </si>
  <si>
    <t>Door Color:</t>
  </si>
  <si>
    <t>SAE:</t>
  </si>
  <si>
    <t>7-Pin Adapter:</t>
  </si>
  <si>
    <t>7-Pin Extension:</t>
  </si>
  <si>
    <t>Axle Type:</t>
  </si>
  <si>
    <t>Slide Out:</t>
  </si>
  <si>
    <t>Door Type:</t>
  </si>
  <si>
    <t>Fridge Box:</t>
  </si>
  <si>
    <t>Fridge Rack:</t>
  </si>
  <si>
    <t>Goal Zero:</t>
  </si>
  <si>
    <t>GZ Mount:</t>
  </si>
  <si>
    <t>Vehicle Side Hitch:</t>
  </si>
  <si>
    <t>Fridge Slide:</t>
  </si>
  <si>
    <t>Fridge:</t>
  </si>
  <si>
    <t>Male 12V Plug:</t>
  </si>
  <si>
    <t>DC to DC:</t>
  </si>
  <si>
    <t>Hitch Extension:</t>
  </si>
  <si>
    <t>Lug Pattern:</t>
  </si>
  <si>
    <t>Front Wire Cover:</t>
  </si>
  <si>
    <t>Rear Ledge:</t>
  </si>
  <si>
    <t>Adventure Club Shirt 1:</t>
  </si>
  <si>
    <t>Cabin Light:</t>
  </si>
  <si>
    <t>Adventure Club Shirt 2:</t>
  </si>
  <si>
    <t>Tire Size:</t>
  </si>
  <si>
    <t>Rear USB:</t>
  </si>
  <si>
    <t>Spare Tire:</t>
  </si>
  <si>
    <t>PAS Propane:</t>
  </si>
  <si>
    <t>DVR Propane:</t>
  </si>
  <si>
    <t>Front 110V:</t>
  </si>
  <si>
    <t>Needs Wrapped:</t>
  </si>
  <si>
    <t>Bunks:</t>
  </si>
  <si>
    <t>PAS Tank:</t>
  </si>
  <si>
    <t>DVR Tank:</t>
  </si>
  <si>
    <t>Fridge Box Power:</t>
  </si>
  <si>
    <t>Shower Room:</t>
  </si>
  <si>
    <t>Reading Lights:</t>
  </si>
  <si>
    <t>Side Table:</t>
  </si>
  <si>
    <t>DC to DC Wire:</t>
  </si>
  <si>
    <t>Heat:</t>
  </si>
  <si>
    <t>Water:</t>
  </si>
  <si>
    <t>Mounted Solar:</t>
  </si>
  <si>
    <t>Bungies:</t>
  </si>
  <si>
    <t>Shower:</t>
  </si>
  <si>
    <t>Solar Wiring:</t>
  </si>
  <si>
    <t>Water Tank:</t>
  </si>
  <si>
    <t>Front Jack:</t>
  </si>
  <si>
    <t>Trailer_Model_List</t>
  </si>
  <si>
    <t>HD_Trailer_Size</t>
  </si>
  <si>
    <t>Price_</t>
  </si>
  <si>
    <t>MR_Trailer_Size</t>
  </si>
  <si>
    <t>XL_Trailer_Size</t>
  </si>
  <si>
    <t>EOR_Trailer_Size</t>
  </si>
  <si>
    <t>Standard_Color_List</t>
  </si>
  <si>
    <t>Cost</t>
  </si>
  <si>
    <t>Premium_Color_List</t>
  </si>
  <si>
    <t>Front_DPlate_List</t>
  </si>
  <si>
    <t>DPlate_Color_List</t>
  </si>
  <si>
    <t>Side_DPlate_List</t>
  </si>
  <si>
    <t>Add a Second Door</t>
  </si>
  <si>
    <t>Single_Door_Type_List</t>
  </si>
  <si>
    <t>Second_Door_Type_List</t>
  </si>
  <si>
    <t>Door_Color_List</t>
  </si>
  <si>
    <t>Galley_Depth_List</t>
  </si>
  <si>
    <t>Galley_StandardOnly_Price</t>
  </si>
  <si>
    <t>Galley_CloseOff_List</t>
  </si>
  <si>
    <t>Galley_CloseOff_Required_List</t>
  </si>
  <si>
    <t>Galley_SolidWall_Required</t>
  </si>
  <si>
    <t>Add_Drawers_List</t>
  </si>
  <si>
    <t>Bunk_Beds</t>
  </si>
  <si>
    <t>Cabinet_Doors_List</t>
  </si>
  <si>
    <t>Cabinet_Doors_FrontOnly</t>
  </si>
  <si>
    <t>Slide_Out_List</t>
  </si>
  <si>
    <t>Side_Table_List</t>
  </si>
  <si>
    <t>Front_Shelf_List</t>
  </si>
  <si>
    <t>Rear_Shelf_List</t>
  </si>
  <si>
    <t>Add Understorage Cargo Pan</t>
  </si>
  <si>
    <t>Roof_Rack_List</t>
  </si>
  <si>
    <t>Roof_Rack_Required</t>
  </si>
  <si>
    <t>Rooftop_Storage_List</t>
  </si>
  <si>
    <t>Passenger_Awning_List</t>
  </si>
  <si>
    <t>Driver_Awning_List</t>
  </si>
  <si>
    <t>Rooftop_Water_List</t>
  </si>
  <si>
    <t>RTT_List</t>
  </si>
  <si>
    <t>Suspension Info Descriptions</t>
  </si>
  <si>
    <t>HD_Spare_List</t>
  </si>
  <si>
    <t>MR_Spare_List</t>
  </si>
  <si>
    <t>XL_Spare_List</t>
  </si>
  <si>
    <t>EOR_Spare_List</t>
  </si>
  <si>
    <t>HD_Hitch_List</t>
  </si>
  <si>
    <t>LockNRoll_Hitch_List</t>
  </si>
  <si>
    <t>HD_MR_Lug_List</t>
  </si>
  <si>
    <t>XL_Lug_List</t>
  </si>
  <si>
    <t>EOR_Lug_List</t>
  </si>
  <si>
    <t>HD_Susp_List</t>
  </si>
  <si>
    <t>MR_Susp_List</t>
  </si>
  <si>
    <t>XL_Susp_List</t>
  </si>
  <si>
    <t>EOR_Susp_List</t>
  </si>
  <si>
    <t>Electric Brakes</t>
  </si>
  <si>
    <t>AutowBrake</t>
  </si>
  <si>
    <t>HD_RearJack_List</t>
  </si>
  <si>
    <t>RearJack_List</t>
  </si>
  <si>
    <t>HD_Toolbox_List</t>
  </si>
  <si>
    <t>EOR_Toolbox_List</t>
  </si>
  <si>
    <t>Propane_List</t>
  </si>
  <si>
    <t>Rotopax_Single_Type_List</t>
  </si>
  <si>
    <t>Rotopax_Dual_Type_List</t>
  </si>
  <si>
    <t>Rotopax_Mount_List</t>
  </si>
  <si>
    <t>Fan_Type_List</t>
  </si>
  <si>
    <t>AC Prep</t>
  </si>
  <si>
    <t>Rooftop_AC_List</t>
  </si>
  <si>
    <t>Heat_List</t>
  </si>
  <si>
    <t>Battery_Type_List</t>
  </si>
  <si>
    <t>Battery_Location</t>
  </si>
  <si>
    <t>Inverter_List</t>
  </si>
  <si>
    <t>GoalZero_Yeti_List</t>
  </si>
  <si>
    <t>Goal Zero Mount</t>
  </si>
  <si>
    <t>Goal Zero DC/DC Charger</t>
  </si>
  <si>
    <t>Add 110 to Front Cubby</t>
  </si>
  <si>
    <t>Rear_USB_List</t>
  </si>
  <si>
    <t>Male_12V_Plug</t>
  </si>
  <si>
    <t>Ring_Light</t>
  </si>
  <si>
    <t>Reading_Lights_List</t>
  </si>
  <si>
    <t>EXT_Lights_List</t>
  </si>
  <si>
    <t>Portable_Solar_List</t>
  </si>
  <si>
    <t>Solar Adapters</t>
  </si>
  <si>
    <t>Permanent_Solar_List</t>
  </si>
  <si>
    <t>Water_PKG_List</t>
  </si>
  <si>
    <t>Fride List</t>
  </si>
  <si>
    <t>Pick_Up_Location</t>
  </si>
  <si>
    <t>Ark Jacks</t>
  </si>
  <si>
    <t>Goal Zero 12V Continuos Charging</t>
  </si>
  <si>
    <t>Add SAE Solar Port</t>
  </si>
  <si>
    <t>Trailer Covers</t>
  </si>
  <si>
    <t>States</t>
  </si>
  <si>
    <t>Shirt Size</t>
  </si>
  <si>
    <t>Weight Table</t>
  </si>
  <si>
    <t>Spec Table</t>
  </si>
  <si>
    <t>Payment Methods</t>
  </si>
  <si>
    <t>Yes/No</t>
  </si>
  <si>
    <t>State Tax</t>
  </si>
  <si>
    <t>Delivery Type</t>
  </si>
  <si>
    <t>Traveler</t>
  </si>
  <si>
    <t>BOM</t>
  </si>
  <si>
    <t>Price</t>
  </si>
  <si>
    <t>Proft</t>
  </si>
  <si>
    <t>Margin</t>
  </si>
  <si>
    <t>Total</t>
  </si>
  <si>
    <t>Profit</t>
  </si>
  <si>
    <t>Highway Deluxe</t>
  </si>
  <si>
    <t>5' x 8'</t>
  </si>
  <si>
    <t>White</t>
  </si>
  <si>
    <t>24" Half Wall</t>
  </si>
  <si>
    <t>n/a</t>
  </si>
  <si>
    <t>14" Side Wrap</t>
  </si>
  <si>
    <t>Second Door</t>
  </si>
  <si>
    <t>Solid Door</t>
  </si>
  <si>
    <t>Solid Doors</t>
  </si>
  <si>
    <t>Door Bungies</t>
  </si>
  <si>
    <t>Bottom Close Off</t>
  </si>
  <si>
    <t>Solid Wall Close Off</t>
  </si>
  <si>
    <t>Horizontal Drawers</t>
  </si>
  <si>
    <t>Add Bunk Beds</t>
  </si>
  <si>
    <t>Front Cabinet Doors</t>
  </si>
  <si>
    <t>Wood</t>
  </si>
  <si>
    <t>Aluminum</t>
  </si>
  <si>
    <t>Add Shelf</t>
  </si>
  <si>
    <t>Upper Shelf</t>
  </si>
  <si>
    <t>Cargo Pan</t>
  </si>
  <si>
    <t>2 Bars</t>
  </si>
  <si>
    <t>Yakima TopWater Rack</t>
  </si>
  <si>
    <t>23 Zero Peregrine 270°</t>
  </si>
  <si>
    <t>23 Zero Bushman 78"</t>
  </si>
  <si>
    <t>WaterPORT Weekender 8 Gal</t>
  </si>
  <si>
    <t>23 Zero Walkabout 56</t>
  </si>
  <si>
    <t>No Mount - Tire Only</t>
  </si>
  <si>
    <t>2" Ball</t>
  </si>
  <si>
    <t>2"Ball</t>
  </si>
  <si>
    <t>Customer Provided</t>
  </si>
  <si>
    <t>5 on 4.5</t>
  </si>
  <si>
    <t>5 on 5</t>
  </si>
  <si>
    <t>2,000lb Axel with Leaf Springs</t>
  </si>
  <si>
    <t>3,500lb Torsion Axel</t>
  </si>
  <si>
    <t>3,500lb Torision Axel</t>
  </si>
  <si>
    <t>3,500lb Axel with Leaf Springs and Shocks</t>
  </si>
  <si>
    <t>None</t>
  </si>
  <si>
    <t>Front Rack</t>
  </si>
  <si>
    <t>Medium Trapezoid</t>
  </si>
  <si>
    <t>5lb Tank Mount</t>
  </si>
  <si>
    <t>2 Gal Water</t>
  </si>
  <si>
    <t>2 - 2 Gal Water</t>
  </si>
  <si>
    <t>DLX Mount</t>
  </si>
  <si>
    <t>Manual Vent</t>
  </si>
  <si>
    <t>Prep Only</t>
  </si>
  <si>
    <t>Propex</t>
  </si>
  <si>
    <t>No Battery + &amp; - Leads Only</t>
  </si>
  <si>
    <t>Free</t>
  </si>
  <si>
    <t>Yeti 200X</t>
  </si>
  <si>
    <t>200X</t>
  </si>
  <si>
    <t>Goal Zero DC to DC Charger</t>
  </si>
  <si>
    <t>110V to Cubby</t>
  </si>
  <si>
    <t>Rear USB</t>
  </si>
  <si>
    <t>12V Male Plug</t>
  </si>
  <si>
    <t>Dome Light</t>
  </si>
  <si>
    <t>Front Pair</t>
  </si>
  <si>
    <t>Basic Light</t>
  </si>
  <si>
    <t>Nomad 50W</t>
  </si>
  <si>
    <t>8mm to SAE</t>
  </si>
  <si>
    <t>45W ZAMP Obsidian</t>
  </si>
  <si>
    <t>23 Zero Shower Enclosure</t>
  </si>
  <si>
    <t>Truma C30</t>
  </si>
  <si>
    <t>XO 750 Tube Mount</t>
  </si>
  <si>
    <t>Goal Zero 12V DC to DC Charger</t>
  </si>
  <si>
    <t>SAE Port</t>
  </si>
  <si>
    <t>AL</t>
  </si>
  <si>
    <t>S</t>
  </si>
  <si>
    <t>GVWR</t>
  </si>
  <si>
    <t>AVG Weigh</t>
  </si>
  <si>
    <t>Ground Clearance</t>
  </si>
  <si>
    <t>Hitch Height</t>
  </si>
  <si>
    <t>Lug Size</t>
  </si>
  <si>
    <t>Cash</t>
  </si>
  <si>
    <t>Yes</t>
  </si>
  <si>
    <t>N/A</t>
  </si>
  <si>
    <t>IN</t>
  </si>
  <si>
    <t>Pick Up Selection</t>
  </si>
  <si>
    <t>Mid Range Deluxe</t>
  </si>
  <si>
    <t>5' x 9'</t>
  </si>
  <si>
    <t>Silver</t>
  </si>
  <si>
    <t>Pewter</t>
  </si>
  <si>
    <t>36" Full Wall</t>
  </si>
  <si>
    <t>14" Side Wrap and Angled Rear</t>
  </si>
  <si>
    <t>Solid Door w/ Screen Door</t>
  </si>
  <si>
    <t>Solid Doors w/ Screen Doors</t>
  </si>
  <si>
    <t>24"</t>
  </si>
  <si>
    <t>Bottom Close Off &amp; Upper Divider</t>
  </si>
  <si>
    <t>Vertical Drawers</t>
  </si>
  <si>
    <t>*also 150 for solid wall</t>
  </si>
  <si>
    <t>Rear Cabinet Doors</t>
  </si>
  <si>
    <t>Formica</t>
  </si>
  <si>
    <t>Middle Shelf</t>
  </si>
  <si>
    <t>3 Bars - Tall Front</t>
  </si>
  <si>
    <t>23 Zero Bushman 98"</t>
  </si>
  <si>
    <t>Yakima RoadShower 4 Gal</t>
  </si>
  <si>
    <t>23 Zero Walkabout 62</t>
  </si>
  <si>
    <t>Undermount</t>
  </si>
  <si>
    <t>Front Mount</t>
  </si>
  <si>
    <t>Rear Tire Swing</t>
  </si>
  <si>
    <t>Lock N Roll - Standard</t>
  </si>
  <si>
    <t>6 on 5.5</t>
  </si>
  <si>
    <t>3,500lb Axel with Air Bag Upgrade and Shocks</t>
  </si>
  <si>
    <t>Add Rear Jacks</t>
  </si>
  <si>
    <t>5lb Tank &amp; Mount</t>
  </si>
  <si>
    <t>2 Gal Fuel</t>
  </si>
  <si>
    <t>2 - 2 Gal Fuel</t>
  </si>
  <si>
    <t>DLX Mount w/ Extension</t>
  </si>
  <si>
    <t>Fantastic Fan</t>
  </si>
  <si>
    <t>Rooftop AC Unit</t>
  </si>
  <si>
    <t>Truma VarioHeat</t>
  </si>
  <si>
    <t>35Ah AGM</t>
  </si>
  <si>
    <t>Front Toolbox</t>
  </si>
  <si>
    <t>600W</t>
  </si>
  <si>
    <t>Yeti 500X</t>
  </si>
  <si>
    <t>500X</t>
  </si>
  <si>
    <t>Ring Light</t>
  </si>
  <si>
    <t>Rear Pair</t>
  </si>
  <si>
    <t>Flood Light</t>
  </si>
  <si>
    <t>Nomad 100W</t>
  </si>
  <si>
    <t>HPP to 8mm</t>
  </si>
  <si>
    <t>100W Zamp Obsidian</t>
  </si>
  <si>
    <t>21 Gal Water Tank &amp; Pump</t>
  </si>
  <si>
    <t>Truma C36</t>
  </si>
  <si>
    <t>Lafayette, CO</t>
  </si>
  <si>
    <t>Ark Jack Adapter Plate</t>
  </si>
  <si>
    <t>AK</t>
  </si>
  <si>
    <t>M</t>
  </si>
  <si>
    <t>Highway Deluxe 5' x 8'</t>
  </si>
  <si>
    <t>9"</t>
  </si>
  <si>
    <t>14" - 16"</t>
  </si>
  <si>
    <t>13/16th or 19mm</t>
  </si>
  <si>
    <t>Credit Card</t>
  </si>
  <si>
    <t>No</t>
  </si>
  <si>
    <t>CO</t>
  </si>
  <si>
    <t>Mid Range XL</t>
  </si>
  <si>
    <t>5' x 10'</t>
  </si>
  <si>
    <t>Slate</t>
  </si>
  <si>
    <t>Metallic Bronze</t>
  </si>
  <si>
    <t>Window Door</t>
  </si>
  <si>
    <t>Window Doors</t>
  </si>
  <si>
    <t>Upper Divider</t>
  </si>
  <si>
    <t>Front &amp; Rear Cabinet Doors</t>
  </si>
  <si>
    <t>3 Bars - RTT</t>
  </si>
  <si>
    <t>Yakima Roadshower 7 Gal</t>
  </si>
  <si>
    <t>23 Zero Breezeway 56</t>
  </si>
  <si>
    <t>Lock N Roll - 2" Rise/Drop</t>
  </si>
  <si>
    <t>47" Large</t>
  </si>
  <si>
    <t>11lb Tank Mount</t>
  </si>
  <si>
    <t>1 - 2 Gal Water &amp; 1 - 2 Gal Fuel</t>
  </si>
  <si>
    <t>LOX Mount</t>
  </si>
  <si>
    <t>Maxx Fan</t>
  </si>
  <si>
    <t>60Ah AGM</t>
  </si>
  <si>
    <t>Yeti 1000X</t>
  </si>
  <si>
    <t>1000X+</t>
  </si>
  <si>
    <t>wire $/ft</t>
  </si>
  <si>
    <t>Fridge Box Power</t>
  </si>
  <si>
    <t>12V</t>
  </si>
  <si>
    <t>Front &amp; Rear Pair</t>
  </si>
  <si>
    <t>Spot Light</t>
  </si>
  <si>
    <t>Nomad 200W</t>
  </si>
  <si>
    <t>MC4 to HPP</t>
  </si>
  <si>
    <t>50W Flex</t>
  </si>
  <si>
    <t>Instant Hot Water Shower</t>
  </si>
  <si>
    <t>Truma C44</t>
  </si>
  <si>
    <t>Delivery</t>
  </si>
  <si>
    <t>TBD</t>
  </si>
  <si>
    <t>Pin Type Adapter</t>
  </si>
  <si>
    <t>AZ</t>
  </si>
  <si>
    <t>L</t>
  </si>
  <si>
    <t>Highway Deluxe 5' x 9'</t>
  </si>
  <si>
    <t>Check</t>
  </si>
  <si>
    <t>SYN</t>
  </si>
  <si>
    <t>Extreme Off Road</t>
  </si>
  <si>
    <t>Charcoal</t>
  </si>
  <si>
    <t>Midnight Blue</t>
  </si>
  <si>
    <t>per unit</t>
  </si>
  <si>
    <t># of unit</t>
  </si>
  <si>
    <t>When Required Logic</t>
  </si>
  <si>
    <t>4 Bars</t>
  </si>
  <si>
    <t>Rhino Rack Xtray</t>
  </si>
  <si>
    <t>Body Armor Sky Ridge 270°</t>
  </si>
  <si>
    <t>Yakima RoadShower 10 Gal</t>
  </si>
  <si>
    <t>23 Zero Breezeway 62</t>
  </si>
  <si>
    <t>Lock N Roll - 4" Rise/Drop</t>
  </si>
  <si>
    <t>HD</t>
  </si>
  <si>
    <t>Add to BOM</t>
  </si>
  <si>
    <t>60" Extra Large</t>
  </si>
  <si>
    <t>11lb Tank &amp; Mount</t>
  </si>
  <si>
    <t>LOX Mount w/ Extension</t>
  </si>
  <si>
    <t>Flange</t>
  </si>
  <si>
    <t>AC Unit Only</t>
  </si>
  <si>
    <t>100Ah Lithium</t>
  </si>
  <si>
    <t>Yeti 1500X</t>
  </si>
  <si>
    <t>male plug</t>
  </si>
  <si>
    <t>110V</t>
  </si>
  <si>
    <t>plug</t>
  </si>
  <si>
    <t>Boulder 100W</t>
  </si>
  <si>
    <t>ATP to APP</t>
  </si>
  <si>
    <t>100W Flex</t>
  </si>
  <si>
    <t>Truma C60</t>
  </si>
  <si>
    <t>Car charger</t>
  </si>
  <si>
    <t>AR</t>
  </si>
  <si>
    <t>XL</t>
  </si>
  <si>
    <t>Highway Deluxe 5' x 10'</t>
  </si>
  <si>
    <t>ACH</t>
  </si>
  <si>
    <t>Loc_ABV</t>
  </si>
  <si>
    <t>Engine Red</t>
  </si>
  <si>
    <t>14" Side</t>
  </si>
  <si>
    <t>Less BOM</t>
  </si>
  <si>
    <t>Unit</t>
  </si>
  <si>
    <t>Cord</t>
  </si>
  <si>
    <t>per 100'</t>
  </si>
  <si>
    <t>*17" Only Due to Trailer Size</t>
  </si>
  <si>
    <t>cost</t>
  </si>
  <si>
    <t>unit</t>
  </si>
  <si>
    <t>total</t>
  </si>
  <si>
    <t>Rhino Rack Xtray Pro</t>
  </si>
  <si>
    <t>Body Armor Sky Ridge XL 270°</t>
  </si>
  <si>
    <t>23 Zero Armadillo A2</t>
  </si>
  <si>
    <t>Traveler Logic</t>
  </si>
  <si>
    <t>Rest</t>
  </si>
  <si>
    <t>Message</t>
  </si>
  <si>
    <t>Screen</t>
  </si>
  <si>
    <t>Vario</t>
  </si>
  <si>
    <t>Yeti 3000X</t>
  </si>
  <si>
    <t>female plug</t>
  </si>
  <si>
    <t>blue sea switch</t>
  </si>
  <si>
    <t>Boulder 200W</t>
  </si>
  <si>
    <t>ATP to SAE(R)</t>
  </si>
  <si>
    <t>Truma C73</t>
  </si>
  <si>
    <t>Dealer Fee</t>
  </si>
  <si>
    <t>Wire</t>
  </si>
  <si>
    <t>2XL</t>
  </si>
  <si>
    <t>Mid Range Deluxe 5' x 8'</t>
  </si>
  <si>
    <t>16"</t>
  </si>
  <si>
    <t>16" - 20"</t>
  </si>
  <si>
    <t>Certified Check</t>
  </si>
  <si>
    <t>Burgundy</t>
  </si>
  <si>
    <t>-</t>
  </si>
  <si>
    <t>no price difference</t>
  </si>
  <si>
    <t>Loops</t>
  </si>
  <si>
    <t>20ea</t>
  </si>
  <si>
    <t>per sheet uv2</t>
  </si>
  <si>
    <t>Bunk Beds</t>
  </si>
  <si>
    <t>UV 2</t>
  </si>
  <si>
    <t>UV2</t>
  </si>
  <si>
    <t>hinge</t>
  </si>
  <si>
    <t>uv2</t>
  </si>
  <si>
    <t>Size OK?</t>
  </si>
  <si>
    <t>MA Pan</t>
  </si>
  <si>
    <t>2 Bar</t>
  </si>
  <si>
    <t>3 Bar</t>
  </si>
  <si>
    <t>3 Bar RTT</t>
  </si>
  <si>
    <t>4 Bar</t>
  </si>
  <si>
    <t>Rhino Rack Batwing 270°</t>
  </si>
  <si>
    <t>23 Zero Armadillo X2</t>
  </si>
  <si>
    <t>Additional Pricing</t>
  </si>
  <si>
    <t>Breakaway</t>
  </si>
  <si>
    <t>*Toolbox required for install</t>
  </si>
  <si>
    <t>Fridge Box Info</t>
  </si>
  <si>
    <t>Cap</t>
  </si>
  <si>
    <t>Wall Cowl</t>
  </si>
  <si>
    <t>Logic</t>
  </si>
  <si>
    <t>logic</t>
  </si>
  <si>
    <t>Yeti 6000X</t>
  </si>
  <si>
    <t>basic light</t>
  </si>
  <si>
    <t>Ranger 300W</t>
  </si>
  <si>
    <t>SAE(R) to SAE</t>
  </si>
  <si>
    <t>Truma C69 Dual Zone</t>
  </si>
  <si>
    <t>Labor</t>
  </si>
  <si>
    <t>3XL</t>
  </si>
  <si>
    <t>Mid Range Deluxe 5' x 9'</t>
  </si>
  <si>
    <t>Financed</t>
  </si>
  <si>
    <t>Desert Yellow</t>
  </si>
  <si>
    <t>14" Angled</t>
  </si>
  <si>
    <t>Screen Door</t>
  </si>
  <si>
    <t>Clips</t>
  </si>
  <si>
    <t>maple 6.34/ft</t>
  </si>
  <si>
    <t>latch</t>
  </si>
  <si>
    <t>formica</t>
  </si>
  <si>
    <t>Hard Wood Trim</t>
  </si>
  <si>
    <t>Trim</t>
  </si>
  <si>
    <t>Lock N Roll</t>
  </si>
  <si>
    <t>Fridge Box</t>
  </si>
  <si>
    <t>5lb tank</t>
  </si>
  <si>
    <t>Has Rooftop AC?</t>
  </si>
  <si>
    <t>Piece 1</t>
  </si>
  <si>
    <t>flood light</t>
  </si>
  <si>
    <t>Regulated Boulder 100W</t>
  </si>
  <si>
    <t>Zamp</t>
  </si>
  <si>
    <t>Water tank</t>
  </si>
  <si>
    <t>Truam C96 Dual Zone</t>
  </si>
  <si>
    <t>Waived</t>
  </si>
  <si>
    <t>CT</t>
  </si>
  <si>
    <t>Mid Range Deluxe 5' x 10'</t>
  </si>
  <si>
    <t>Model Selection</t>
  </si>
  <si>
    <t>Emerald Green</t>
  </si>
  <si>
    <t>14" Side Piece</t>
  </si>
  <si>
    <t>Sheet UV2</t>
  </si>
  <si>
    <t>Drawers</t>
  </si>
  <si>
    <t>Rails</t>
  </si>
  <si>
    <t>BOM galley offset</t>
  </si>
  <si>
    <t>wood</t>
  </si>
  <si>
    <t>rails</t>
  </si>
  <si>
    <t>aluminum</t>
  </si>
  <si>
    <t>Doors (uv2)</t>
  </si>
  <si>
    <t>Bar</t>
  </si>
  <si>
    <t>Rear Jack / Airbag Logic</t>
  </si>
  <si>
    <t>Rack</t>
  </si>
  <si>
    <t>11lb tank</t>
  </si>
  <si>
    <t>Air out</t>
  </si>
  <si>
    <t>has fridge box?</t>
  </si>
  <si>
    <t>spot light</t>
  </si>
  <si>
    <t>Regulated Boulder 200W</t>
  </si>
  <si>
    <t>Renogy</t>
  </si>
  <si>
    <t>tank mount</t>
  </si>
  <si>
    <t>Truma C105</t>
  </si>
  <si>
    <t>DC</t>
  </si>
  <si>
    <t>Mid Range XL 5' x 8'</t>
  </si>
  <si>
    <t>18"</t>
  </si>
  <si>
    <t>21" - 24"</t>
  </si>
  <si>
    <t>Electric Blue</t>
  </si>
  <si>
    <t>36" square piece</t>
  </si>
  <si>
    <t>Usage Bottom</t>
  </si>
  <si>
    <t>Full Set Total</t>
  </si>
  <si>
    <t>F</t>
  </si>
  <si>
    <t>mount (30")</t>
  </si>
  <si>
    <t>Small Bracket</t>
  </si>
  <si>
    <t>Axel Type</t>
  </si>
  <si>
    <t>Need Brake Logic</t>
  </si>
  <si>
    <t>Duct</t>
  </si>
  <si>
    <t>switch</t>
  </si>
  <si>
    <t>Charge Controller</t>
  </si>
  <si>
    <t>Fill port</t>
  </si>
  <si>
    <t>DE</t>
  </si>
  <si>
    <t>Mid Range XL 5' x 9'</t>
  </si>
  <si>
    <t>Overland Orange</t>
  </si>
  <si>
    <t>single door</t>
  </si>
  <si>
    <t>15% White</t>
  </si>
  <si>
    <t>Usage Upper</t>
  </si>
  <si>
    <t>W</t>
  </si>
  <si>
    <t>Latches (1ea)</t>
  </si>
  <si>
    <t>Has Bunk Beds?</t>
  </si>
  <si>
    <t>RTT_Roofrack_List</t>
  </si>
  <si>
    <t>Tall Bracket</t>
  </si>
  <si>
    <t>Batwing</t>
  </si>
  <si>
    <t>Straight</t>
  </si>
  <si>
    <t>HD Brake</t>
  </si>
  <si>
    <t>Has Brakes?</t>
  </si>
  <si>
    <t>Messages</t>
  </si>
  <si>
    <t>Combined</t>
  </si>
  <si>
    <t>Has RTT?</t>
  </si>
  <si>
    <t>victron</t>
  </si>
  <si>
    <t>Required?</t>
  </si>
  <si>
    <t>Allowed?</t>
  </si>
  <si>
    <t>Has 110 to front?</t>
  </si>
  <si>
    <t>100W ZAMP Obsidain</t>
  </si>
  <si>
    <t>Marine Plug (roof)</t>
  </si>
  <si>
    <t>Tubing</t>
  </si>
  <si>
    <t>FL</t>
  </si>
  <si>
    <t>Mid Range XL 5' x 10'</t>
  </si>
  <si>
    <t>2000lb Straight Axel w/ Springs</t>
  </si>
  <si>
    <t>5x4.5</t>
  </si>
  <si>
    <t>Bright Green</t>
  </si>
  <si>
    <t>Usage Both</t>
  </si>
  <si>
    <t>less Rails</t>
  </si>
  <si>
    <t>Required List?</t>
  </si>
  <si>
    <t>Metal Trim (14ft)</t>
  </si>
  <si>
    <t>Plastic Insert</t>
  </si>
  <si>
    <t>23 Zero</t>
  </si>
  <si>
    <t>Master Spare List</t>
  </si>
  <si>
    <t>Logic Below</t>
  </si>
  <si>
    <t>MR</t>
  </si>
  <si>
    <t>Torsion</t>
  </si>
  <si>
    <t>Add Rear Stabilizer Jacks</t>
  </si>
  <si>
    <t>Needs Supports?</t>
  </si>
  <si>
    <t>List Info</t>
  </si>
  <si>
    <t>small box</t>
  </si>
  <si>
    <t>45W Zamp</t>
  </si>
  <si>
    <t>pump</t>
  </si>
  <si>
    <t>Fridge Slide</t>
  </si>
  <si>
    <t>GA</t>
  </si>
  <si>
    <t>Extreme Off Road 5' x 8'</t>
  </si>
  <si>
    <t>14"</t>
  </si>
  <si>
    <t>24" - 27"</t>
  </si>
  <si>
    <t>Torsion Axel</t>
  </si>
  <si>
    <t>Usage Solid Wall</t>
  </si>
  <si>
    <t>Bolts</t>
  </si>
  <si>
    <t>*This Option is an Extreme Off Road Exclusive</t>
  </si>
  <si>
    <t>Backing Plates</t>
  </si>
  <si>
    <t>MR Brake</t>
  </si>
  <si>
    <t>Airbag Suspension Upgrade</t>
  </si>
  <si>
    <t>60 tray</t>
  </si>
  <si>
    <t>Has 12V?</t>
  </si>
  <si>
    <t>50W flex</t>
  </si>
  <si>
    <t>water out</t>
  </si>
  <si>
    <t>HI</t>
  </si>
  <si>
    <t>Extreme Off Road 5' x 9'</t>
  </si>
  <si>
    <t>5x5</t>
  </si>
  <si>
    <t>Tape</t>
  </si>
  <si>
    <t>Washers</t>
  </si>
  <si>
    <t>No Mount - HD Tire Only</t>
  </si>
  <si>
    <t>EOR</t>
  </si>
  <si>
    <t>Straight w/ shocks</t>
  </si>
  <si>
    <t>Has AutowBrake</t>
  </si>
  <si>
    <t>This Option is Exclusive to a Different Model</t>
  </si>
  <si>
    <t>5lb</t>
  </si>
  <si>
    <t xml:space="preserve">install </t>
  </si>
  <si>
    <t>100 tray</t>
  </si>
  <si>
    <t>No Battery?</t>
  </si>
  <si>
    <t>Has Perm Solar?</t>
  </si>
  <si>
    <t>water hose</t>
  </si>
  <si>
    <t>ID</t>
  </si>
  <si>
    <t>3000lb Straight Axel, Springs, Shocks</t>
  </si>
  <si>
    <t>AirBag</t>
  </si>
  <si>
    <t>6x5.5</t>
  </si>
  <si>
    <t>Compatible?</t>
  </si>
  <si>
    <t>Hinge</t>
  </si>
  <si>
    <t>2,000lb straight axel with leaf spring suspension, 14" aluminum rims, 205/75/R14 tires approx. 27", 5 on 4.5 lug pattern, stationary front jack, rear receiver accessory hitch.</t>
  </si>
  <si>
    <t>HD Undermount</t>
  </si>
  <si>
    <t>Airbags</t>
  </si>
  <si>
    <t>XL Brakes</t>
  </si>
  <si>
    <t>Model?</t>
  </si>
  <si>
    <t>11lb</t>
  </si>
  <si>
    <t>60 box</t>
  </si>
  <si>
    <t>Pelican Case</t>
  </si>
  <si>
    <t>IL</t>
  </si>
  <si>
    <t>Bunk Beds Require 10' Trailer</t>
  </si>
  <si>
    <t>HD Front Mount</t>
  </si>
  <si>
    <t>Large Fridge Box</t>
  </si>
  <si>
    <t>Error Message</t>
  </si>
  <si>
    <t>100 box</t>
  </si>
  <si>
    <t>Has Goal Zero?</t>
  </si>
  <si>
    <t>has 110?</t>
  </si>
  <si>
    <t>Water heater</t>
  </si>
  <si>
    <t>Has Custom Options?</t>
  </si>
  <si>
    <t>Bunk Beds Require 17" Galley</t>
  </si>
  <si>
    <t>Selection Compatible?</t>
  </si>
  <si>
    <t>Has Mount?</t>
  </si>
  <si>
    <t>EOR Brakes</t>
  </si>
  <si>
    <t>Need Controller?</t>
  </si>
  <si>
    <t>Needs Front Wire Cover?</t>
  </si>
  <si>
    <t>External Switch</t>
  </si>
  <si>
    <t>IA</t>
  </si>
  <si>
    <t>A</t>
  </si>
  <si>
    <t>3,500lb torsion axel suspension, 15" aluminum rims, 235/75/R15 tires approx. 29", 5 on 4.5 lug pattern, stationary front jack, rear receiver accessory hitch, two rear stabilizer jacks.</t>
  </si>
  <si>
    <t>No Mount - MR Tire Only</t>
  </si>
  <si>
    <t>Internal Switch</t>
  </si>
  <si>
    <t>Regulated?</t>
  </si>
  <si>
    <t>KS</t>
  </si>
  <si>
    <t>*Only Available on 10' Trailers</t>
  </si>
  <si>
    <t>MR Undermount</t>
  </si>
  <si>
    <t>Needs TB Support?</t>
  </si>
  <si>
    <t>has both?</t>
  </si>
  <si>
    <t>KY</t>
  </si>
  <si>
    <t>*Not Available with Bunk Beds</t>
  </si>
  <si>
    <t>MR Front Mount</t>
  </si>
  <si>
    <t>Has Battery?</t>
  </si>
  <si>
    <t>LA</t>
  </si>
  <si>
    <t>Note Required?</t>
  </si>
  <si>
    <t>3,500lb torsion axel suspension, 16" aluminum rims, 265/70/R16 tires approx. 31.5", 5 on 5 lug pattern, integrated 2" frame lift kit, stationary front jack, rear receiver accessory hitch, two rear stabilizer jacks.</t>
  </si>
  <si>
    <t>ME</t>
  </si>
  <si>
    <t>No Tire - XL Tire Only</t>
  </si>
  <si>
    <t>FB Selected?</t>
  </si>
  <si>
    <t>Need FB Support?</t>
  </si>
  <si>
    <t>MD</t>
  </si>
  <si>
    <t>XL Front Mount</t>
  </si>
  <si>
    <t>H Frame Needed?</t>
  </si>
  <si>
    <t>Needs Victron?</t>
  </si>
  <si>
    <t>MA</t>
  </si>
  <si>
    <t>3,500lb straight axel with leaf springs and shocks, 17" aluminum rims, 285/70/R17 tires approx. 33", 5 on 5 lug pattern, two stationary front jacks, rear receiver accessory hitch, two rear stabilizer jacks.</t>
  </si>
  <si>
    <t>Brakes Messages</t>
  </si>
  <si>
    <t>State Selection</t>
  </si>
  <si>
    <t>MI</t>
  </si>
  <si>
    <t>Roof Rack Combo Logic</t>
  </si>
  <si>
    <t>No Mount - EOR Tire Only</t>
  </si>
  <si>
    <t>*Brakes required based on your State's Regulations</t>
  </si>
  <si>
    <t>Brakes Required</t>
  </si>
  <si>
    <t>Support Type</t>
  </si>
  <si>
    <t>Front Box Required</t>
  </si>
  <si>
    <t>PAS</t>
  </si>
  <si>
    <t>Zamp adapter</t>
  </si>
  <si>
    <t>MN</t>
  </si>
  <si>
    <t>*Brakes strongly recommended based on your State's Regulations</t>
  </si>
  <si>
    <t>Unit Needed</t>
  </si>
  <si>
    <t>45W zamp</t>
  </si>
  <si>
    <t>Size Selection</t>
  </si>
  <si>
    <t>MS</t>
  </si>
  <si>
    <t>DVR Awning / RTT error?</t>
  </si>
  <si>
    <t>2 bars Required?</t>
  </si>
  <si>
    <t>100W zamp</t>
  </si>
  <si>
    <t>MO</t>
  </si>
  <si>
    <t>Rear Tray Eligible?</t>
  </si>
  <si>
    <t>DVR</t>
  </si>
  <si>
    <t>On Board Battery</t>
  </si>
  <si>
    <t>MT</t>
  </si>
  <si>
    <t>Error Logic</t>
  </si>
  <si>
    <t>NV</t>
  </si>
  <si>
    <t>Power Station (HPP)</t>
  </si>
  <si>
    <t>Fits in Fridge Box?</t>
  </si>
  <si>
    <t>NE</t>
  </si>
  <si>
    <t>Water / Storage error?</t>
  </si>
  <si>
    <t>Has Awning?</t>
  </si>
  <si>
    <t>Model</t>
  </si>
  <si>
    <t>NY</t>
  </si>
  <si>
    <t>NC</t>
  </si>
  <si>
    <t>Need?</t>
  </si>
  <si>
    <t>Rear Tray Required?</t>
  </si>
  <si>
    <t>Rear</t>
  </si>
  <si>
    <t>NH</t>
  </si>
  <si>
    <t>ND</t>
  </si>
  <si>
    <t>Has 8mm?</t>
  </si>
  <si>
    <t>8mm</t>
  </si>
  <si>
    <t>Allowed on Model?</t>
  </si>
  <si>
    <t>messages</t>
  </si>
  <si>
    <t>NJ</t>
  </si>
  <si>
    <t>Has Rooftop Water?</t>
  </si>
  <si>
    <t>Has perm panel?</t>
  </si>
  <si>
    <t>Fits Inside Fridge Box</t>
  </si>
  <si>
    <t>NM</t>
  </si>
  <si>
    <t>Brakes Recommended</t>
  </si>
  <si>
    <t>Rear Box Required?</t>
  </si>
  <si>
    <t>Does Not Fit in Fridge Box</t>
  </si>
  <si>
    <t>*Intsallation Occlusion.  Select Only One.</t>
  </si>
  <si>
    <t>Has HPP?</t>
  </si>
  <si>
    <t>Goal Zero HPP</t>
  </si>
  <si>
    <t>Allowed on Size?</t>
  </si>
  <si>
    <t>*2 or More Roof Rack Bars Required</t>
  </si>
  <si>
    <t>Has Rooftop Storage?</t>
  </si>
  <si>
    <t>HD Selected?</t>
  </si>
  <si>
    <t>HD Compatible?</t>
  </si>
  <si>
    <t>Error?</t>
  </si>
  <si>
    <t>Has Fridge?</t>
  </si>
  <si>
    <t>*3 RTT or 4 Bars Required</t>
  </si>
  <si>
    <t>OR</t>
  </si>
  <si>
    <t>Box Needed?</t>
  </si>
  <si>
    <t>OH</t>
  </si>
  <si>
    <t>UT</t>
  </si>
  <si>
    <t>Has ATP?</t>
  </si>
  <si>
    <t xml:space="preserve">ATP / SAE(R) </t>
  </si>
  <si>
    <t>Selection Allowed?</t>
  </si>
  <si>
    <t>OK</t>
  </si>
  <si>
    <t>RTT / Topwater Error?</t>
  </si>
  <si>
    <t>Has RTT? (3 bars required?)</t>
  </si>
  <si>
    <t>MR Selected?</t>
  </si>
  <si>
    <t>MR Compatible?</t>
  </si>
  <si>
    <t>WY</t>
  </si>
  <si>
    <t>Has Fridge Box</t>
  </si>
  <si>
    <t>PA</t>
  </si>
  <si>
    <t>Cables Included?</t>
  </si>
  <si>
    <t>8mm / SAE</t>
  </si>
  <si>
    <t>RI</t>
  </si>
  <si>
    <t>XL Selected?</t>
  </si>
  <si>
    <t>XL Compatible?</t>
  </si>
  <si>
    <t>Add 21 Gallon Water Tank &amp; Pump</t>
  </si>
  <si>
    <t>SC</t>
  </si>
  <si>
    <t>Undermount Water Not Available on This Model or Size</t>
  </si>
  <si>
    <t>Fridge Box Required for Slide Add On</t>
  </si>
  <si>
    <t>SD</t>
  </si>
  <si>
    <t>Add Fridge Slide to Fridge Box</t>
  </si>
  <si>
    <t>TN</t>
  </si>
  <si>
    <t>EOR Selected?</t>
  </si>
  <si>
    <t>EOR Compatible?</t>
  </si>
  <si>
    <t>TX</t>
  </si>
  <si>
    <t>VT</t>
  </si>
  <si>
    <t>VA</t>
  </si>
  <si>
    <t>Display Error Message?</t>
  </si>
  <si>
    <t>WA</t>
  </si>
  <si>
    <t>WV</t>
  </si>
  <si>
    <t>WI</t>
  </si>
  <si>
    <t>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</si>
</sst>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 numFmtId="165" formatCode="#\'\';#\'\';0\'\'"/>
    <numFmt numFmtId="166" formatCode="&quot;$&quot;#,##0"/>
  </numFmts>
  <fonts count="32">
    <font>
      <sz val="12"/>
      <color theme="1"/>
      <name val="Times New Roman"/>
      <family val="2"/>
    </font>
    <font>
      <sz val="12"/>
      <color theme="1"/>
      <name val="Times New Roman"/>
      <family val="2"/>
    </font>
    <font>
      <b/>
      <sz val="12"/>
      <color theme="1"/>
      <name val="Roboto"/>
    </font>
    <font>
      <sz val="12"/>
      <color theme="1"/>
      <name val="Roboto"/>
    </font>
    <font>
      <sz val="10"/>
      <color theme="1"/>
      <name val="Roboto"/>
    </font>
    <font>
      <sz val="11"/>
      <color theme="1"/>
      <name val="Roboto"/>
    </font>
    <font>
      <b/>
      <sz val="14"/>
      <color theme="1"/>
      <name val="Roboto"/>
    </font>
    <font>
      <b/>
      <sz val="18"/>
      <color theme="1"/>
      <name val="Roboto"/>
    </font>
    <font>
      <b/>
      <sz val="11"/>
      <color theme="1"/>
      <name val="Roboto"/>
    </font>
    <font>
      <sz val="14"/>
      <color theme="1"/>
      <name val="Roboto"/>
    </font>
    <font>
      <sz val="11"/>
      <color rgb="FF000000"/>
      <name val="Roboto"/>
    </font>
    <font>
      <b/>
      <sz val="22"/>
      <color theme="1"/>
      <name val="Roboto"/>
    </font>
    <font>
      <sz val="20"/>
      <color theme="1"/>
      <name val="Roboto"/>
    </font>
    <font>
      <sz val="11"/>
      <name val="Roboto"/>
    </font>
    <font>
      <b/>
      <sz val="36"/>
      <color theme="1"/>
      <name val="Roboto"/>
    </font>
    <font>
      <sz val="16"/>
      <color theme="1"/>
      <name val="Roboto"/>
    </font>
    <font>
      <sz val="18"/>
      <color theme="1"/>
      <name val="Roboto"/>
    </font>
    <font>
      <sz val="24"/>
      <color theme="1"/>
      <name val="Roboto"/>
    </font>
    <font>
      <sz val="22"/>
      <color theme="1"/>
      <name val="Roboto"/>
    </font>
    <font>
      <b/>
      <sz val="28"/>
      <color theme="1"/>
      <name val="Roboto"/>
    </font>
    <font>
      <b/>
      <sz val="11"/>
      <color theme="0"/>
      <name val="Roboto"/>
    </font>
    <font>
      <b/>
      <sz val="14"/>
      <color theme="0"/>
      <name val="Roboto"/>
    </font>
    <font>
      <sz val="18"/>
      <color theme="0"/>
      <name val="Roboto"/>
    </font>
    <font>
      <b/>
      <sz val="18"/>
      <color theme="0"/>
      <name val="Roboto"/>
    </font>
    <font>
      <sz val="12"/>
      <color rgb="FF000000"/>
      <name val="Calibri"/>
      <family val="2"/>
    </font>
    <font>
      <sz val="9"/>
      <color indexed="81"/>
      <name val="Tahoma"/>
      <family val="2"/>
    </font>
    <font>
      <b/>
      <sz val="9"/>
      <color indexed="81"/>
      <name val="Tahoma"/>
      <family val="2"/>
    </font>
    <font>
      <u/>
      <sz val="12"/>
      <color theme="10"/>
      <name val="Roboto"/>
    </font>
    <font>
      <sz val="26"/>
      <color theme="1"/>
      <name val="Roboto"/>
    </font>
    <font>
      <sz val="16"/>
      <color theme="1"/>
      <name val="Times New Roman"/>
      <family val="2"/>
    </font>
    <font>
      <b/>
      <i/>
      <sz val="11"/>
      <color theme="1"/>
      <name val="Roboto"/>
    </font>
    <font>
      <strike/>
      <sz val="11"/>
      <color theme="1"/>
      <name val="Roboto"/>
    </font>
  </fonts>
  <fills count="1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00B0F0"/>
        <bgColor indexed="64"/>
      </patternFill>
    </fill>
    <fill>
      <patternFill patternType="solid">
        <fgColor theme="9" tint="0.59999389629810485"/>
        <bgColor indexed="64"/>
      </patternFill>
    </fill>
    <fill>
      <patternFill patternType="solid">
        <fgColor rgb="FFF68D2E"/>
        <bgColor indexed="64"/>
      </patternFill>
    </fill>
    <fill>
      <patternFill patternType="solid">
        <fgColor rgb="FF004851"/>
        <bgColor indexed="64"/>
      </patternFill>
    </fill>
    <fill>
      <patternFill patternType="solid">
        <fgColor rgb="FF004851"/>
        <bgColor theme="9" tint="0.59996337778862885"/>
      </patternFill>
    </fill>
    <fill>
      <patternFill patternType="solid">
        <fgColor rgb="FF480A0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theme="9" tint="0.59996337778862885"/>
      </patternFill>
    </fill>
    <fill>
      <patternFill patternType="solid">
        <fgColor theme="7" tint="0.59999389629810485"/>
        <bgColor indexed="64"/>
      </patternFill>
    </fill>
    <fill>
      <patternFill patternType="solid">
        <fgColor rgb="FF00B0F0"/>
        <bgColor theme="9" tint="0.59996337778862885"/>
      </patternFill>
    </fill>
  </fills>
  <borders count="5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thin">
        <color indexed="64"/>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0" fontId="27" fillId="0" borderId="0" applyNumberFormat="0" applyFill="0" applyBorder="0" applyAlignment="0" applyProtection="0"/>
    <xf numFmtId="43" fontId="3" fillId="0" borderId="20">
      <alignment vertical="center"/>
    </xf>
  </cellStyleXfs>
  <cellXfs count="634">
    <xf numFmtId="0" fontId="0" fillId="0" borderId="0" xfId="0"/>
    <xf numFmtId="0" fontId="3" fillId="0" borderId="0" xfId="0" applyFont="1"/>
    <xf numFmtId="0" fontId="5" fillId="0" borderId="0" xfId="0" applyFont="1" applyAlignment="1">
      <alignment vertical="top" wrapText="1"/>
    </xf>
    <xf numFmtId="0" fontId="3" fillId="0" borderId="20" xfId="0" applyFont="1" applyBorder="1" applyAlignment="1">
      <alignment vertical="center"/>
    </xf>
    <xf numFmtId="0" fontId="3" fillId="0" borderId="35" xfId="0" applyFont="1" applyBorder="1" applyAlignment="1">
      <alignment vertical="center"/>
    </xf>
    <xf numFmtId="164" fontId="5" fillId="0" borderId="31" xfId="0" applyNumberFormat="1" applyFont="1" applyBorder="1" applyAlignment="1">
      <alignment horizontal="right" vertical="center"/>
    </xf>
    <xf numFmtId="164" fontId="5" fillId="0" borderId="27" xfId="0" applyNumberFormat="1" applyFont="1" applyBorder="1" applyAlignment="1" applyProtection="1">
      <alignment horizontal="right" vertical="top" wrapText="1"/>
      <protection locked="0"/>
    </xf>
    <xf numFmtId="164" fontId="5" fillId="0" borderId="39" xfId="0" applyNumberFormat="1" applyFont="1" applyBorder="1" applyAlignment="1" applyProtection="1">
      <alignment horizontal="right" vertical="top" wrapText="1"/>
      <protection locked="0"/>
    </xf>
    <xf numFmtId="0" fontId="15" fillId="0" borderId="0" xfId="0" applyFont="1"/>
    <xf numFmtId="0" fontId="15" fillId="0" borderId="0" xfId="0" applyFont="1" applyAlignment="1">
      <alignment horizontal="left"/>
    </xf>
    <xf numFmtId="0" fontId="5" fillId="0" borderId="43" xfId="0" applyFont="1" applyBorder="1" applyAlignment="1">
      <alignment horizontal="right" vertical="center" wrapText="1"/>
    </xf>
    <xf numFmtId="0" fontId="9" fillId="0" borderId="0" xfId="0" applyFont="1" applyAlignment="1">
      <alignment horizontal="center" vertical="top" wrapText="1"/>
    </xf>
    <xf numFmtId="164" fontId="5" fillId="0" borderId="28" xfId="0" applyNumberFormat="1" applyFont="1" applyBorder="1" applyAlignment="1" applyProtection="1">
      <alignment horizontal="right" vertical="top" wrapText="1"/>
      <protection locked="0"/>
    </xf>
    <xf numFmtId="0" fontId="5" fillId="0" borderId="0" xfId="0" applyFont="1" applyAlignment="1">
      <alignment horizontal="center" vertical="center"/>
    </xf>
    <xf numFmtId="0" fontId="10" fillId="0" borderId="0" xfId="0" applyFont="1" applyAlignment="1">
      <alignment horizontal="center" vertical="center"/>
    </xf>
    <xf numFmtId="166" fontId="10" fillId="0" borderId="0" xfId="0" applyNumberFormat="1" applyFont="1" applyAlignment="1">
      <alignment horizontal="center" vertical="center"/>
    </xf>
    <xf numFmtId="6" fontId="5" fillId="0" borderId="0" xfId="0" applyNumberFormat="1" applyFont="1" applyAlignment="1">
      <alignment horizontal="center" vertical="center"/>
    </xf>
    <xf numFmtId="0" fontId="5" fillId="10" borderId="0" xfId="0" applyFont="1" applyFill="1" applyAlignment="1">
      <alignment horizontal="center" vertical="center"/>
    </xf>
    <xf numFmtId="0" fontId="5" fillId="3" borderId="0" xfId="0" applyFont="1" applyFill="1" applyAlignment="1">
      <alignment horizontal="center" vertical="center"/>
    </xf>
    <xf numFmtId="166" fontId="5" fillId="3" borderId="0" xfId="0" applyNumberFormat="1" applyFont="1" applyFill="1" applyAlignment="1">
      <alignment horizontal="center" vertical="center"/>
    </xf>
    <xf numFmtId="166" fontId="5" fillId="0" borderId="0" xfId="0" applyNumberFormat="1" applyFont="1" applyAlignment="1">
      <alignment horizontal="center" vertical="center"/>
    </xf>
    <xf numFmtId="166" fontId="5" fillId="10" borderId="0" xfId="0" applyNumberFormat="1" applyFont="1" applyFill="1" applyAlignment="1">
      <alignment horizontal="center" vertical="center"/>
    </xf>
    <xf numFmtId="6" fontId="5" fillId="10" borderId="0" xfId="0" applyNumberFormat="1" applyFont="1" applyFill="1" applyAlignment="1">
      <alignment horizontal="center" vertical="center"/>
    </xf>
    <xf numFmtId="6" fontId="5" fillId="3" borderId="0" xfId="0" applyNumberFormat="1" applyFont="1" applyFill="1" applyAlignment="1">
      <alignment horizontal="center" vertical="center"/>
    </xf>
    <xf numFmtId="0" fontId="5" fillId="2" borderId="8" xfId="0" applyFont="1" applyFill="1" applyBorder="1" applyAlignment="1">
      <alignment vertical="top"/>
    </xf>
    <xf numFmtId="0" fontId="5" fillId="2" borderId="16" xfId="0" applyFont="1" applyFill="1" applyBorder="1" applyAlignment="1">
      <alignment vertical="top"/>
    </xf>
    <xf numFmtId="0" fontId="5" fillId="2" borderId="4" xfId="0" applyFont="1" applyFill="1" applyBorder="1" applyAlignment="1">
      <alignment vertical="top"/>
    </xf>
    <xf numFmtId="0" fontId="8" fillId="2" borderId="6" xfId="0" applyFont="1" applyFill="1" applyBorder="1" applyAlignment="1">
      <alignment vertical="top"/>
    </xf>
    <xf numFmtId="0" fontId="8" fillId="2" borderId="15" xfId="0" applyFont="1" applyFill="1" applyBorder="1" applyAlignment="1">
      <alignment vertical="top"/>
    </xf>
    <xf numFmtId="0" fontId="8" fillId="2" borderId="16" xfId="0" applyFont="1" applyFill="1" applyBorder="1" applyAlignment="1">
      <alignment vertical="top"/>
    </xf>
    <xf numFmtId="0" fontId="5" fillId="2" borderId="22" xfId="0" applyFont="1" applyFill="1" applyBorder="1" applyAlignment="1">
      <alignment vertical="top"/>
    </xf>
    <xf numFmtId="0" fontId="5" fillId="2" borderId="5" xfId="0" applyFont="1" applyFill="1" applyBorder="1" applyAlignment="1">
      <alignment vertical="top"/>
    </xf>
    <xf numFmtId="0" fontId="5" fillId="2" borderId="6" xfId="0" applyFont="1" applyFill="1" applyBorder="1" applyAlignment="1">
      <alignment vertical="top"/>
    </xf>
    <xf numFmtId="0" fontId="5" fillId="2" borderId="5" xfId="0" applyFont="1" applyFill="1" applyBorder="1" applyAlignment="1">
      <alignment horizontal="right" vertical="top"/>
    </xf>
    <xf numFmtId="0" fontId="5" fillId="2" borderId="14" xfId="0" applyFont="1" applyFill="1" applyBorder="1" applyAlignment="1">
      <alignment vertical="top"/>
    </xf>
    <xf numFmtId="0" fontId="5" fillId="2" borderId="9" xfId="0" applyFont="1" applyFill="1" applyBorder="1" applyAlignment="1">
      <alignment vertical="top"/>
    </xf>
    <xf numFmtId="0" fontId="5" fillId="2" borderId="18" xfId="0" applyFont="1" applyFill="1" applyBorder="1" applyAlignment="1">
      <alignment vertical="top"/>
    </xf>
    <xf numFmtId="0" fontId="3" fillId="0" borderId="44" xfId="0" applyFont="1" applyBorder="1" applyAlignment="1" applyProtection="1">
      <alignment horizontal="right" vertical="center" wrapText="1"/>
      <protection locked="0"/>
    </xf>
    <xf numFmtId="0" fontId="3" fillId="0" borderId="36" xfId="0" applyFont="1" applyBorder="1" applyAlignment="1" applyProtection="1">
      <alignment horizontal="right" vertical="center" wrapText="1"/>
      <protection locked="0"/>
    </xf>
    <xf numFmtId="0" fontId="3" fillId="0" borderId="45" xfId="0" applyFont="1" applyBorder="1" applyAlignment="1" applyProtection="1">
      <alignment horizontal="right" vertical="center" wrapText="1"/>
      <protection locked="0"/>
    </xf>
    <xf numFmtId="0" fontId="5" fillId="0" borderId="17" xfId="0" applyFont="1" applyBorder="1" applyAlignment="1">
      <alignment horizontal="right" vertical="center" wrapText="1"/>
    </xf>
    <xf numFmtId="0" fontId="5" fillId="0" borderId="7" xfId="0" applyFont="1" applyBorder="1" applyAlignment="1">
      <alignment horizontal="right" vertical="center" wrapText="1"/>
    </xf>
    <xf numFmtId="0" fontId="5" fillId="0" borderId="18" xfId="0" applyFont="1" applyBorder="1" applyAlignment="1">
      <alignment horizontal="right" vertical="center" wrapText="1"/>
    </xf>
    <xf numFmtId="0" fontId="5" fillId="2" borderId="4" xfId="0" applyFont="1" applyFill="1" applyBorder="1" applyAlignment="1">
      <alignment horizontal="center" vertical="top"/>
    </xf>
    <xf numFmtId="0" fontId="3" fillId="0" borderId="29" xfId="0" applyFont="1" applyBorder="1" applyAlignment="1">
      <alignment horizontal="center" vertical="center"/>
    </xf>
    <xf numFmtId="0" fontId="5" fillId="2" borderId="0" xfId="0" applyFont="1" applyFill="1" applyAlignment="1">
      <alignment vertical="top"/>
    </xf>
    <xf numFmtId="0" fontId="5" fillId="2" borderId="0" xfId="0" applyFont="1" applyFill="1" applyAlignment="1">
      <alignment horizontal="right" vertical="top"/>
    </xf>
    <xf numFmtId="0" fontId="5" fillId="2" borderId="0" xfId="0" applyFont="1" applyFill="1" applyAlignment="1">
      <alignment horizontal="center" vertical="top"/>
    </xf>
    <xf numFmtId="0" fontId="5" fillId="2" borderId="41" xfId="0" applyFont="1" applyFill="1" applyBorder="1" applyAlignment="1">
      <alignment vertical="top"/>
    </xf>
    <xf numFmtId="0" fontId="5" fillId="2" borderId="0" xfId="0" applyFont="1" applyFill="1" applyAlignment="1">
      <alignment horizontal="left" vertical="top"/>
    </xf>
    <xf numFmtId="0" fontId="5" fillId="2" borderId="4" xfId="0" applyFont="1" applyFill="1" applyBorder="1" applyAlignment="1">
      <alignment horizontal="left" vertical="top"/>
    </xf>
    <xf numFmtId="0" fontId="8" fillId="2" borderId="8" xfId="0" applyFont="1" applyFill="1" applyBorder="1" applyAlignment="1">
      <alignment vertical="top"/>
    </xf>
    <xf numFmtId="0" fontId="5" fillId="2" borderId="8" xfId="0" applyFont="1" applyFill="1" applyBorder="1" applyAlignment="1">
      <alignment horizontal="center" vertical="top"/>
    </xf>
    <xf numFmtId="0" fontId="3" fillId="0" borderId="0" xfId="0" applyFont="1" applyAlignment="1">
      <alignment vertical="top"/>
    </xf>
    <xf numFmtId="0" fontId="5" fillId="2" borderId="12" xfId="0" applyFont="1" applyFill="1" applyBorder="1" applyAlignment="1">
      <alignment vertical="top"/>
    </xf>
    <xf numFmtId="0" fontId="3" fillId="0" borderId="0" xfId="0" applyFont="1" applyAlignment="1">
      <alignment horizontal="right" vertical="center"/>
    </xf>
    <xf numFmtId="0" fontId="3" fillId="0" borderId="0" xfId="0" applyFont="1" applyAlignment="1">
      <alignment horizontal="center" vertical="center"/>
    </xf>
    <xf numFmtId="8" fontId="3" fillId="0" borderId="0" xfId="0" applyNumberFormat="1" applyFont="1" applyAlignment="1">
      <alignment horizontal="right" vertical="center"/>
    </xf>
    <xf numFmtId="0" fontId="3" fillId="0" borderId="0" xfId="0" applyFont="1" applyAlignment="1">
      <alignment horizontal="center"/>
    </xf>
    <xf numFmtId="0" fontId="3" fillId="0" borderId="40" xfId="0" applyFont="1" applyBorder="1" applyAlignment="1">
      <alignment vertical="center"/>
    </xf>
    <xf numFmtId="0" fontId="3" fillId="0" borderId="42" xfId="0" applyFont="1" applyBorder="1" applyAlignment="1">
      <alignment vertical="center"/>
    </xf>
    <xf numFmtId="0" fontId="3" fillId="0" borderId="0" xfId="0" applyFont="1" applyAlignment="1">
      <alignment vertical="center"/>
    </xf>
    <xf numFmtId="0" fontId="5" fillId="2" borderId="5" xfId="0" applyFont="1" applyFill="1" applyBorder="1" applyAlignment="1">
      <alignment horizontal="center" vertical="top"/>
    </xf>
    <xf numFmtId="0" fontId="5" fillId="2" borderId="0" xfId="0" applyFont="1" applyFill="1" applyAlignment="1">
      <alignment vertical="top" wrapText="1"/>
    </xf>
    <xf numFmtId="0" fontId="5" fillId="0" borderId="0" xfId="0" applyFont="1" applyAlignment="1">
      <alignment vertical="top"/>
    </xf>
    <xf numFmtId="0" fontId="5" fillId="2" borderId="4" xfId="0" applyFont="1" applyFill="1" applyBorder="1" applyAlignment="1">
      <alignment horizontal="right" vertical="top"/>
    </xf>
    <xf numFmtId="0" fontId="5" fillId="2" borderId="0" xfId="0" quotePrefix="1" applyFont="1" applyFill="1" applyAlignment="1">
      <alignment vertical="top"/>
    </xf>
    <xf numFmtId="0" fontId="5" fillId="0" borderId="16" xfId="0" applyFont="1" applyBorder="1" applyAlignment="1" applyProtection="1">
      <alignment horizontal="center" vertical="top" wrapText="1"/>
      <protection locked="0"/>
    </xf>
    <xf numFmtId="0" fontId="5" fillId="0" borderId="17" xfId="0" applyFont="1" applyBorder="1" applyAlignment="1" applyProtection="1">
      <alignment horizontal="center" vertical="top" wrapText="1"/>
      <protection locked="0"/>
    </xf>
    <xf numFmtId="0" fontId="5" fillId="11" borderId="2" xfId="0" applyFont="1" applyFill="1" applyBorder="1" applyAlignment="1">
      <alignment horizontal="right" vertical="center" wrapText="1"/>
    </xf>
    <xf numFmtId="0" fontId="3" fillId="2" borderId="0" xfId="0" applyFont="1" applyFill="1" applyAlignment="1">
      <alignment vertical="top"/>
    </xf>
    <xf numFmtId="0" fontId="3" fillId="12" borderId="19" xfId="0" applyFont="1" applyFill="1" applyBorder="1" applyAlignment="1">
      <alignment vertical="center" wrapText="1"/>
    </xf>
    <xf numFmtId="0" fontId="5"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wrapText="1"/>
    </xf>
    <xf numFmtId="0" fontId="5" fillId="0" borderId="1" xfId="0" applyFont="1" applyBorder="1" applyAlignment="1" applyProtection="1">
      <alignment vertical="top" wrapText="1"/>
      <protection locked="0"/>
    </xf>
    <xf numFmtId="0" fontId="5" fillId="0" borderId="1" xfId="0" applyFont="1" applyBorder="1" applyAlignment="1" applyProtection="1">
      <alignment horizontal="center" vertical="top" wrapText="1"/>
      <protection locked="0"/>
    </xf>
    <xf numFmtId="0" fontId="3" fillId="0" borderId="1" xfId="0" applyFont="1" applyBorder="1" applyAlignment="1" applyProtection="1">
      <alignment horizontal="right" vertical="center" wrapText="1"/>
      <protection locked="0"/>
    </xf>
    <xf numFmtId="164" fontId="3" fillId="0" borderId="31" xfId="0" applyNumberFormat="1" applyFont="1" applyBorder="1" applyAlignment="1">
      <alignment horizontal="right" vertical="center"/>
    </xf>
    <xf numFmtId="164" fontId="3" fillId="0" borderId="27" xfId="0" applyNumberFormat="1" applyFont="1" applyBorder="1" applyAlignment="1" applyProtection="1">
      <alignment horizontal="right" vertical="top" wrapText="1"/>
      <protection locked="0"/>
    </xf>
    <xf numFmtId="164" fontId="3" fillId="0" borderId="28" xfId="0" applyNumberFormat="1" applyFont="1" applyBorder="1" applyAlignment="1" applyProtection="1">
      <alignment horizontal="right" vertical="top" wrapText="1"/>
      <protection locked="0"/>
    </xf>
    <xf numFmtId="164" fontId="3" fillId="0" borderId="39" xfId="0" applyNumberFormat="1" applyFont="1" applyBorder="1" applyAlignment="1" applyProtection="1">
      <alignment horizontal="right" vertical="top" wrapText="1"/>
      <protection locked="0"/>
    </xf>
    <xf numFmtId="0" fontId="3" fillId="0" borderId="1" xfId="0" applyFont="1" applyBorder="1" applyAlignment="1" applyProtection="1">
      <alignment vertical="center" wrapText="1"/>
      <protection locked="0"/>
    </xf>
    <xf numFmtId="0" fontId="3" fillId="0" borderId="1" xfId="0" applyFont="1" applyBorder="1" applyAlignment="1" applyProtection="1">
      <alignment horizontal="center" vertical="center" wrapText="1"/>
      <protection locked="0"/>
    </xf>
    <xf numFmtId="0" fontId="8" fillId="2" borderId="0" xfId="0" applyFont="1" applyFill="1" applyAlignment="1">
      <alignment vertical="top"/>
    </xf>
    <xf numFmtId="0" fontId="3" fillId="12" borderId="0" xfId="0" applyFont="1" applyFill="1" applyAlignment="1">
      <alignment vertical="center" wrapText="1"/>
    </xf>
    <xf numFmtId="0" fontId="3" fillId="12" borderId="7" xfId="0" applyFont="1" applyFill="1" applyBorder="1" applyAlignment="1">
      <alignment vertical="center" wrapText="1"/>
    </xf>
    <xf numFmtId="0" fontId="3" fillId="12" borderId="9" xfId="0" applyFont="1" applyFill="1" applyBorder="1" applyAlignment="1">
      <alignment vertical="center" wrapText="1"/>
    </xf>
    <xf numFmtId="0" fontId="3" fillId="12" borderId="18" xfId="0" applyFont="1" applyFill="1" applyBorder="1" applyAlignment="1">
      <alignment vertical="center" wrapText="1"/>
    </xf>
    <xf numFmtId="10" fontId="5" fillId="0" borderId="0" xfId="0" applyNumberFormat="1" applyFont="1" applyAlignment="1">
      <alignment horizontal="center" vertical="center"/>
    </xf>
    <xf numFmtId="166" fontId="5" fillId="5" borderId="0" xfId="0" applyNumberFormat="1" applyFont="1" applyFill="1" applyAlignment="1">
      <alignment horizontal="center" vertical="center"/>
    </xf>
    <xf numFmtId="6" fontId="5" fillId="5" borderId="0" xfId="0" applyNumberFormat="1" applyFont="1" applyFill="1" applyAlignment="1">
      <alignment horizontal="center" vertical="center"/>
    </xf>
    <xf numFmtId="0" fontId="5" fillId="14" borderId="0" xfId="0" applyFont="1" applyFill="1" applyAlignment="1">
      <alignment horizontal="center" vertical="center"/>
    </xf>
    <xf numFmtId="6" fontId="5" fillId="14" borderId="0" xfId="0" applyNumberFormat="1" applyFont="1" applyFill="1" applyAlignment="1">
      <alignment horizontal="center" vertical="center"/>
    </xf>
    <xf numFmtId="2" fontId="5" fillId="0" borderId="0" xfId="0" applyNumberFormat="1" applyFont="1" applyAlignment="1">
      <alignment horizontal="center" vertical="center"/>
    </xf>
    <xf numFmtId="166" fontId="5" fillId="14" borderId="0" xfId="0" applyNumberFormat="1" applyFont="1" applyFill="1" applyAlignment="1">
      <alignment horizontal="center" vertical="center"/>
    </xf>
    <xf numFmtId="164" fontId="5" fillId="0" borderId="0" xfId="0" applyNumberFormat="1" applyFont="1" applyAlignment="1">
      <alignment horizontal="center" vertical="center"/>
    </xf>
    <xf numFmtId="0" fontId="5" fillId="15" borderId="0" xfId="0" applyFont="1" applyFill="1" applyAlignment="1">
      <alignment horizontal="center" vertical="center"/>
    </xf>
    <xf numFmtId="0" fontId="5" fillId="5" borderId="0" xfId="0" applyFont="1" applyFill="1" applyAlignment="1">
      <alignment horizontal="center" vertical="center"/>
    </xf>
    <xf numFmtId="6" fontId="5" fillId="15" borderId="0" xfId="0" applyNumberFormat="1" applyFont="1" applyFill="1" applyAlignment="1">
      <alignment horizontal="center" vertical="center"/>
    </xf>
    <xf numFmtId="166" fontId="10" fillId="5" borderId="0" xfId="0" applyNumberFormat="1" applyFont="1" applyFill="1" applyAlignment="1">
      <alignment horizontal="center" vertical="center"/>
    </xf>
    <xf numFmtId="8" fontId="5" fillId="0" borderId="0" xfId="0" applyNumberFormat="1" applyFont="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10" xfId="0" applyFont="1" applyFill="1" applyBorder="1" applyAlignment="1">
      <alignment horizontal="center" vertical="center"/>
    </xf>
    <xf numFmtId="0" fontId="5" fillId="2" borderId="0" xfId="0" applyFont="1" applyFill="1" applyAlignment="1">
      <alignment horizontal="center" vertical="center"/>
    </xf>
    <xf numFmtId="0" fontId="9" fillId="0" borderId="0" xfId="0" applyFont="1" applyAlignment="1">
      <alignment horizontal="center" vertical="center" wrapText="1"/>
    </xf>
    <xf numFmtId="0" fontId="5" fillId="0" borderId="0" xfId="0" applyFont="1" applyAlignment="1">
      <alignment horizontal="center"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164" fontId="5" fillId="2" borderId="1" xfId="0" applyNumberFormat="1" applyFont="1" applyFill="1" applyBorder="1" applyAlignment="1">
      <alignment horizontal="center" vertical="center"/>
    </xf>
    <xf numFmtId="164" fontId="5" fillId="2" borderId="2" xfId="0" applyNumberFormat="1" applyFont="1" applyFill="1" applyBorder="1" applyAlignment="1">
      <alignment horizontal="center" vertical="center"/>
    </xf>
    <xf numFmtId="0" fontId="24" fillId="0" borderId="0" xfId="0" applyFont="1" applyAlignment="1">
      <alignment vertical="center" wrapText="1"/>
    </xf>
    <xf numFmtId="0" fontId="8" fillId="2" borderId="1" xfId="0" applyFont="1" applyFill="1" applyBorder="1" applyAlignment="1">
      <alignment horizontal="center" vertical="center"/>
    </xf>
    <xf numFmtId="166" fontId="10" fillId="10" borderId="0" xfId="0" applyNumberFormat="1" applyFont="1" applyFill="1" applyAlignment="1">
      <alignment horizontal="center" vertical="center"/>
    </xf>
    <xf numFmtId="0" fontId="3" fillId="0" borderId="7" xfId="0" applyFont="1" applyBorder="1" applyAlignment="1">
      <alignment horizontal="center" vertical="center" wrapText="1"/>
    </xf>
    <xf numFmtId="1" fontId="5" fillId="0" borderId="0" xfId="0" applyNumberFormat="1" applyFont="1" applyAlignment="1">
      <alignment horizontal="center" vertical="center"/>
    </xf>
    <xf numFmtId="164" fontId="5" fillId="5" borderId="0" xfId="0" applyNumberFormat="1" applyFont="1" applyFill="1" applyAlignment="1">
      <alignment horizontal="center" vertical="center"/>
    </xf>
    <xf numFmtId="0" fontId="3" fillId="0" borderId="0" xfId="0" applyFont="1" applyAlignment="1">
      <alignment horizontal="center" vertical="center" wrapText="1"/>
    </xf>
    <xf numFmtId="0" fontId="5" fillId="2" borderId="50" xfId="0" applyFont="1" applyFill="1" applyBorder="1" applyAlignment="1">
      <alignment vertical="top"/>
    </xf>
    <xf numFmtId="0" fontId="5" fillId="2" borderId="0" xfId="0" applyFont="1" applyFill="1" applyAlignment="1">
      <alignment horizontal="right" vertical="center"/>
    </xf>
    <xf numFmtId="0" fontId="2" fillId="2" borderId="2" xfId="0" applyFont="1" applyFill="1" applyBorder="1" applyAlignment="1">
      <alignment horizontal="center" vertical="center"/>
    </xf>
    <xf numFmtId="164" fontId="5" fillId="2" borderId="10" xfId="0" applyNumberFormat="1" applyFont="1" applyFill="1" applyBorder="1" applyAlignment="1">
      <alignment horizontal="center" vertical="center"/>
    </xf>
    <xf numFmtId="0" fontId="5" fillId="2" borderId="9" xfId="0" applyFont="1" applyFill="1" applyBorder="1"/>
    <xf numFmtId="0" fontId="5" fillId="2" borderId="0" xfId="0" applyFont="1" applyFill="1" applyAlignment="1">
      <alignment vertical="center"/>
    </xf>
    <xf numFmtId="0" fontId="5" fillId="11" borderId="3" xfId="0" applyFont="1" applyFill="1" applyBorder="1" applyAlignment="1">
      <alignment horizontal="right" wrapText="1"/>
    </xf>
    <xf numFmtId="0" fontId="3" fillId="0" borderId="29" xfId="0" applyFont="1" applyBorder="1" applyAlignment="1">
      <alignment horizontal="center" vertical="center" wrapText="1"/>
    </xf>
    <xf numFmtId="0" fontId="3" fillId="0" borderId="33" xfId="0" applyFont="1" applyBorder="1" applyAlignment="1">
      <alignment horizontal="center" vertical="center" wrapText="1"/>
    </xf>
    <xf numFmtId="164" fontId="3" fillId="0" borderId="51" xfId="0" applyNumberFormat="1" applyFont="1" applyBorder="1" applyAlignment="1">
      <alignment horizontal="right" vertical="center"/>
    </xf>
    <xf numFmtId="0" fontId="3" fillId="0" borderId="24" xfId="0" applyFont="1" applyBorder="1" applyAlignment="1">
      <alignment vertical="center"/>
    </xf>
    <xf numFmtId="0" fontId="3" fillId="0" borderId="52" xfId="0" applyFont="1" applyBorder="1" applyAlignment="1">
      <alignment vertical="center"/>
    </xf>
    <xf numFmtId="0" fontId="3" fillId="0" borderId="6" xfId="0" applyFont="1" applyBorder="1" applyAlignment="1">
      <alignment horizontal="left" vertical="center"/>
    </xf>
    <xf numFmtId="8" fontId="3" fillId="0" borderId="6" xfId="0" applyNumberFormat="1" applyFont="1" applyBorder="1" applyAlignment="1">
      <alignment horizontal="left" vertical="center"/>
    </xf>
    <xf numFmtId="8" fontId="3" fillId="0" borderId="14" xfId="0" applyNumberFormat="1" applyFont="1" applyBorder="1" applyAlignment="1">
      <alignment horizontal="left" vertical="center"/>
    </xf>
    <xf numFmtId="165" fontId="3" fillId="0" borderId="9" xfId="0" applyNumberFormat="1" applyFont="1" applyBorder="1" applyAlignment="1">
      <alignment horizontal="center" vertical="center"/>
    </xf>
    <xf numFmtId="8" fontId="3" fillId="0" borderId="9" xfId="0" applyNumberFormat="1" applyFont="1" applyBorder="1" applyAlignment="1">
      <alignment horizontal="right" vertical="center"/>
    </xf>
    <xf numFmtId="0" fontId="27" fillId="0" borderId="6" xfId="2" applyBorder="1" applyAlignment="1">
      <alignment horizontal="center" vertical="center" wrapText="1"/>
    </xf>
    <xf numFmtId="0" fontId="5" fillId="11" borderId="12" xfId="0" applyFont="1" applyFill="1" applyBorder="1" applyAlignment="1">
      <alignment horizontal="right" wrapText="1"/>
    </xf>
    <xf numFmtId="164" fontId="5" fillId="2" borderId="15" xfId="0" applyNumberFormat="1" applyFont="1" applyFill="1" applyBorder="1" applyAlignment="1">
      <alignment horizontal="center" vertical="center"/>
    </xf>
    <xf numFmtId="164" fontId="5" fillId="0" borderId="32" xfId="0" applyNumberFormat="1" applyFont="1" applyBorder="1" applyAlignment="1">
      <alignment horizontal="right" vertical="center"/>
    </xf>
    <xf numFmtId="164" fontId="5" fillId="0" borderId="29" xfId="0" applyNumberFormat="1" applyFont="1" applyBorder="1" applyAlignment="1">
      <alignment horizontal="right" vertical="center"/>
    </xf>
    <xf numFmtId="164" fontId="5" fillId="0" borderId="33" xfId="0" applyNumberFormat="1" applyFont="1" applyBorder="1" applyAlignment="1">
      <alignment horizontal="right" vertical="center"/>
    </xf>
    <xf numFmtId="0" fontId="5" fillId="2" borderId="16" xfId="0" applyFont="1" applyFill="1" applyBorder="1" applyAlignment="1">
      <alignment horizontal="center" vertical="center"/>
    </xf>
    <xf numFmtId="164" fontId="5" fillId="0" borderId="0" xfId="0" applyNumberFormat="1" applyFont="1" applyAlignment="1">
      <alignment horizontal="center" vertical="center" wrapText="1"/>
    </xf>
    <xf numFmtId="0" fontId="5" fillId="0" borderId="18" xfId="0" applyFont="1" applyBorder="1" applyAlignment="1">
      <alignment horizontal="center" vertical="center" wrapText="1"/>
    </xf>
    <xf numFmtId="0" fontId="3" fillId="0" borderId="19" xfId="0" applyFont="1" applyBorder="1" applyAlignment="1" applyProtection="1">
      <alignment horizontal="center" vertical="center" wrapText="1"/>
      <protection locked="0"/>
    </xf>
    <xf numFmtId="0" fontId="3" fillId="0" borderId="19" xfId="0" applyFont="1" applyBorder="1" applyAlignment="1" applyProtection="1">
      <alignment horizontal="right" vertical="center" wrapText="1"/>
      <protection locked="0"/>
    </xf>
    <xf numFmtId="164" fontId="5" fillId="2" borderId="0" xfId="0" applyNumberFormat="1" applyFont="1" applyFill="1" applyAlignment="1">
      <alignment horizontal="center" vertical="center"/>
    </xf>
    <xf numFmtId="164" fontId="9" fillId="0" borderId="0" xfId="0" applyNumberFormat="1" applyFont="1" applyAlignment="1">
      <alignment horizontal="center" vertical="center" wrapText="1"/>
    </xf>
    <xf numFmtId="164" fontId="3" fillId="0" borderId="0" xfId="0" applyNumberFormat="1" applyFont="1" applyAlignment="1">
      <alignment horizontal="center" vertical="center"/>
    </xf>
    <xf numFmtId="0" fontId="5" fillId="0" borderId="19" xfId="0" applyFont="1" applyBorder="1" applyAlignment="1">
      <alignment horizontal="center" vertical="center" wrapText="1"/>
    </xf>
    <xf numFmtId="0" fontId="3" fillId="0" borderId="53" xfId="0" applyFont="1" applyBorder="1" applyAlignment="1" applyProtection="1">
      <alignment vertical="center" wrapText="1"/>
      <protection locked="0"/>
    </xf>
    <xf numFmtId="164" fontId="3" fillId="0" borderId="36" xfId="1" applyNumberFormat="1" applyFont="1" applyFill="1" applyBorder="1" applyAlignment="1" applyProtection="1">
      <alignment vertical="center" wrapText="1"/>
      <protection locked="0"/>
    </xf>
    <xf numFmtId="0" fontId="2" fillId="0" borderId="37" xfId="0" applyFont="1" applyBorder="1" applyAlignment="1" applyProtection="1">
      <alignment vertical="center"/>
      <protection locked="0"/>
    </xf>
    <xf numFmtId="10" fontId="3" fillId="0" borderId="1" xfId="0" applyNumberFormat="1" applyFont="1" applyBorder="1" applyAlignment="1" applyProtection="1">
      <alignment horizontal="center" vertical="center" wrapText="1"/>
      <protection locked="0"/>
    </xf>
    <xf numFmtId="0" fontId="3" fillId="0" borderId="24" xfId="0" applyFont="1" applyBorder="1" applyAlignment="1">
      <alignment horizontal="right" vertical="center" wrapText="1"/>
    </xf>
    <xf numFmtId="0" fontId="5" fillId="0" borderId="48" xfId="0" applyFont="1" applyBorder="1" applyAlignment="1">
      <alignment horizontal="right" vertical="center" wrapText="1"/>
    </xf>
    <xf numFmtId="0" fontId="5" fillId="0" borderId="30" xfId="0" applyFont="1" applyBorder="1" applyAlignment="1">
      <alignment horizontal="center" vertical="center" wrapText="1"/>
    </xf>
    <xf numFmtId="0" fontId="15" fillId="0" borderId="0" xfId="0" applyFont="1" applyAlignment="1">
      <alignment horizontal="right"/>
    </xf>
    <xf numFmtId="0" fontId="29" fillId="0" borderId="0" xfId="0" applyFont="1"/>
    <xf numFmtId="0" fontId="15" fillId="0" borderId="0" xfId="0" applyFont="1" applyAlignment="1">
      <alignment horizontal="left" vertical="top" indent="2"/>
    </xf>
    <xf numFmtId="0" fontId="15" fillId="0" borderId="0" xfId="0" applyFont="1" applyAlignment="1">
      <alignment vertical="top"/>
    </xf>
    <xf numFmtId="0" fontId="15" fillId="0" borderId="0" xfId="0" applyFont="1" applyAlignment="1">
      <alignment vertical="center"/>
    </xf>
    <xf numFmtId="0" fontId="5" fillId="2" borderId="4" xfId="0" applyFont="1" applyFill="1" applyBorder="1" applyAlignment="1">
      <alignment vertical="center"/>
    </xf>
    <xf numFmtId="0" fontId="30" fillId="2" borderId="0" xfId="0" applyFont="1" applyFill="1" applyAlignment="1">
      <alignment vertical="top"/>
    </xf>
    <xf numFmtId="0" fontId="31" fillId="2" borderId="0" xfId="0" applyFont="1" applyFill="1" applyAlignment="1">
      <alignment vertical="top"/>
    </xf>
    <xf numFmtId="0" fontId="31" fillId="2" borderId="0" xfId="0" quotePrefix="1" applyFont="1" applyFill="1" applyAlignment="1">
      <alignment vertical="top"/>
    </xf>
    <xf numFmtId="0" fontId="31" fillId="2" borderId="8" xfId="0" applyFont="1" applyFill="1" applyBorder="1" applyAlignment="1">
      <alignment vertical="top"/>
    </xf>
    <xf numFmtId="0" fontId="31" fillId="2" borderId="4" xfId="0" applyFont="1" applyFill="1" applyBorder="1" applyAlignment="1">
      <alignment horizontal="right" vertical="top"/>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0" xfId="0" applyFont="1" applyAlignment="1">
      <alignment horizontal="center" vertical="center"/>
    </xf>
    <xf numFmtId="0" fontId="11" fillId="0" borderId="7" xfId="0" applyFont="1" applyBorder="1" applyAlignment="1">
      <alignment horizontal="center" vertical="center"/>
    </xf>
    <xf numFmtId="0" fontId="5" fillId="0" borderId="38" xfId="0" applyFont="1" applyBorder="1" applyAlignment="1" applyProtection="1">
      <alignment horizontal="center" vertical="top" wrapText="1"/>
      <protection locked="0"/>
    </xf>
    <xf numFmtId="0" fontId="5" fillId="0" borderId="39" xfId="0" applyFont="1" applyBorder="1" applyAlignment="1" applyProtection="1">
      <alignment horizontal="center" vertical="top" wrapText="1"/>
      <protection locked="0"/>
    </xf>
    <xf numFmtId="0" fontId="22" fillId="7" borderId="16" xfId="0" applyFont="1" applyFill="1" applyBorder="1" applyAlignment="1">
      <alignment horizontal="center" vertical="center"/>
    </xf>
    <xf numFmtId="0" fontId="22" fillId="7" borderId="17" xfId="0" applyFont="1" applyFill="1" applyBorder="1" applyAlignment="1">
      <alignment horizontal="center" vertical="center"/>
    </xf>
    <xf numFmtId="0" fontId="22" fillId="7" borderId="0" xfId="0" applyFont="1" applyFill="1" applyAlignment="1">
      <alignment horizontal="center" vertical="center"/>
    </xf>
    <xf numFmtId="0" fontId="22" fillId="7" borderId="7" xfId="0" applyFont="1" applyFill="1" applyBorder="1" applyAlignment="1">
      <alignment horizontal="center" vertical="center"/>
    </xf>
    <xf numFmtId="0" fontId="3" fillId="17" borderId="13" xfId="0" applyFont="1" applyFill="1" applyBorder="1" applyAlignment="1">
      <alignment horizontal="center" vertical="center" wrapText="1"/>
    </xf>
    <xf numFmtId="0" fontId="3" fillId="17" borderId="1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9" xfId="0" applyFont="1" applyFill="1" applyBorder="1" applyAlignment="1">
      <alignment horizontal="center" vertical="center" wrapText="1"/>
    </xf>
    <xf numFmtId="14" fontId="12" fillId="0" borderId="16" xfId="0" applyNumberFormat="1" applyFont="1" applyBorder="1" applyAlignment="1">
      <alignment horizontal="center" vertical="center" wrapText="1"/>
    </xf>
    <xf numFmtId="0" fontId="12" fillId="0" borderId="17"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8" xfId="0" applyFont="1" applyBorder="1" applyAlignment="1">
      <alignment horizontal="center" vertical="center" wrapText="1"/>
    </xf>
    <xf numFmtId="0" fontId="4" fillId="0" borderId="0" xfId="0" applyFont="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8" xfId="0" applyFont="1" applyBorder="1" applyAlignment="1">
      <alignment horizontal="center" vertical="center" wrapText="1"/>
    </xf>
    <xf numFmtId="0" fontId="5" fillId="0" borderId="0" xfId="0" applyFont="1" applyAlignment="1" applyProtection="1">
      <alignment horizontal="left" vertical="top" wrapText="1"/>
      <protection locked="0"/>
    </xf>
    <xf numFmtId="0" fontId="5" fillId="0" borderId="23"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26" xfId="0" applyFont="1" applyBorder="1" applyAlignment="1" applyProtection="1">
      <alignment horizontal="left" vertical="top" wrapText="1"/>
      <protection locked="0"/>
    </xf>
    <xf numFmtId="0" fontId="22" fillId="8" borderId="16" xfId="0" applyFont="1" applyFill="1" applyBorder="1" applyAlignment="1" applyProtection="1">
      <alignment horizontal="center" vertical="center" wrapText="1"/>
      <protection locked="0"/>
    </xf>
    <xf numFmtId="0" fontId="22" fillId="8" borderId="17" xfId="0" applyFont="1" applyFill="1" applyBorder="1" applyAlignment="1" applyProtection="1">
      <alignment horizontal="center" vertical="center" wrapText="1"/>
      <protection locked="0"/>
    </xf>
    <xf numFmtId="0" fontId="22" fillId="8" borderId="9" xfId="0" applyFont="1" applyFill="1" applyBorder="1" applyAlignment="1" applyProtection="1">
      <alignment horizontal="center" vertical="center" wrapText="1"/>
      <protection locked="0"/>
    </xf>
    <xf numFmtId="0" fontId="22" fillId="8" borderId="18" xfId="0" applyFont="1" applyFill="1" applyBorder="1" applyAlignment="1" applyProtection="1">
      <alignment horizontal="center" vertical="center" wrapText="1"/>
      <protection locked="0"/>
    </xf>
    <xf numFmtId="164" fontId="18" fillId="0" borderId="16" xfId="0" applyNumberFormat="1" applyFont="1" applyBorder="1" applyAlignment="1" applyProtection="1">
      <alignment horizontal="center" vertical="center" wrapText="1"/>
      <protection locked="0"/>
    </xf>
    <xf numFmtId="164" fontId="18" fillId="0" borderId="17" xfId="0" applyNumberFormat="1" applyFont="1" applyBorder="1" applyAlignment="1" applyProtection="1">
      <alignment horizontal="center" vertical="center" wrapText="1"/>
      <protection locked="0"/>
    </xf>
    <xf numFmtId="164" fontId="18" fillId="0" borderId="0" xfId="0" applyNumberFormat="1" applyFont="1" applyAlignment="1" applyProtection="1">
      <alignment horizontal="center" vertical="center" wrapText="1"/>
      <protection locked="0"/>
    </xf>
    <xf numFmtId="164" fontId="18" fillId="0" borderId="7" xfId="0" applyNumberFormat="1" applyFont="1" applyBorder="1" applyAlignment="1" applyProtection="1">
      <alignment horizontal="center" vertical="center" wrapText="1"/>
      <protection locked="0"/>
    </xf>
    <xf numFmtId="164" fontId="18" fillId="0" borderId="9" xfId="0" applyNumberFormat="1" applyFont="1" applyBorder="1" applyAlignment="1" applyProtection="1">
      <alignment horizontal="center" vertical="center" wrapText="1"/>
      <protection locked="0"/>
    </xf>
    <xf numFmtId="164" fontId="18" fillId="0" borderId="18" xfId="0" applyNumberFormat="1" applyFont="1" applyBorder="1" applyAlignment="1" applyProtection="1">
      <alignment horizontal="center" vertical="center" wrapText="1"/>
      <protection locked="0"/>
    </xf>
    <xf numFmtId="0" fontId="22" fillId="7" borderId="16" xfId="0" applyFont="1" applyFill="1" applyBorder="1" applyAlignment="1" applyProtection="1">
      <alignment horizontal="center" vertical="center" wrapText="1"/>
      <protection locked="0"/>
    </xf>
    <xf numFmtId="0" fontId="22" fillId="7" borderId="17" xfId="0" applyFont="1" applyFill="1" applyBorder="1" applyAlignment="1" applyProtection="1">
      <alignment horizontal="center" vertical="center" wrapText="1"/>
      <protection locked="0"/>
    </xf>
    <xf numFmtId="0" fontId="22" fillId="7" borderId="0" xfId="0" applyFont="1" applyFill="1" applyAlignment="1" applyProtection="1">
      <alignment horizontal="center" vertical="center" wrapText="1"/>
      <protection locked="0"/>
    </xf>
    <xf numFmtId="0" fontId="22" fillId="7" borderId="7" xfId="0" applyFont="1" applyFill="1" applyBorder="1" applyAlignment="1" applyProtection="1">
      <alignment horizontal="center" vertical="center" wrapText="1"/>
      <protection locked="0"/>
    </xf>
    <xf numFmtId="0" fontId="18" fillId="0" borderId="16" xfId="0" applyFont="1" applyBorder="1" applyAlignment="1" applyProtection="1">
      <alignment horizontal="center" vertical="center" wrapText="1"/>
      <protection locked="0"/>
    </xf>
    <xf numFmtId="0" fontId="18" fillId="0" borderId="17" xfId="0" applyFont="1" applyBorder="1" applyAlignment="1" applyProtection="1">
      <alignment horizontal="center" vertical="center" wrapText="1"/>
      <protection locked="0"/>
    </xf>
    <xf numFmtId="0" fontId="18" fillId="0" borderId="0" xfId="0" applyFont="1" applyAlignment="1" applyProtection="1">
      <alignment horizontal="center" vertical="center" wrapText="1"/>
      <protection locked="0"/>
    </xf>
    <xf numFmtId="0" fontId="18" fillId="0" borderId="7" xfId="0" applyFont="1" applyBorder="1" applyAlignment="1" applyProtection="1">
      <alignment horizontal="center" vertical="center" wrapText="1"/>
      <protection locked="0"/>
    </xf>
    <xf numFmtId="0" fontId="18" fillId="0" borderId="9" xfId="0" applyFont="1" applyBorder="1" applyAlignment="1" applyProtection="1">
      <alignment horizontal="center" vertical="center" wrapText="1"/>
      <protection locked="0"/>
    </xf>
    <xf numFmtId="0" fontId="18" fillId="0" borderId="18" xfId="0" applyFont="1" applyBorder="1" applyAlignment="1" applyProtection="1">
      <alignment horizontal="center" vertical="center" wrapText="1"/>
      <protection locked="0"/>
    </xf>
    <xf numFmtId="0" fontId="22" fillId="7" borderId="9" xfId="0" applyFont="1" applyFill="1" applyBorder="1" applyAlignment="1" applyProtection="1">
      <alignment horizontal="center" vertical="center" wrapText="1"/>
      <protection locked="0"/>
    </xf>
    <xf numFmtId="0" fontId="22" fillId="7" borderId="18" xfId="0" applyFont="1" applyFill="1" applyBorder="1" applyAlignment="1" applyProtection="1">
      <alignment horizontal="center" vertical="center" wrapText="1"/>
      <protection locked="0"/>
    </xf>
    <xf numFmtId="0" fontId="5" fillId="0" borderId="0" xfId="0" applyFont="1" applyAlignment="1" applyProtection="1">
      <alignment horizontal="center" vertical="top" wrapText="1"/>
      <protection locked="0"/>
    </xf>
    <xf numFmtId="0" fontId="5" fillId="0" borderId="23" xfId="0" applyFont="1" applyBorder="1" applyAlignment="1" applyProtection="1">
      <alignment horizontal="center" vertical="top" wrapText="1"/>
      <protection locked="0"/>
    </xf>
    <xf numFmtId="0" fontId="3" fillId="0" borderId="15" xfId="0" applyFont="1" applyBorder="1" applyAlignment="1" applyProtection="1">
      <alignment horizontal="center" vertical="center" wrapText="1"/>
      <protection locked="0"/>
    </xf>
    <xf numFmtId="0" fontId="3" fillId="0" borderId="16"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15" fillId="0" borderId="15" xfId="0" applyFont="1" applyBorder="1" applyAlignment="1" applyProtection="1">
      <alignment horizontal="center" vertical="center" wrapText="1"/>
      <protection locked="0"/>
    </xf>
    <xf numFmtId="0" fontId="15" fillId="0" borderId="17" xfId="0" applyFont="1" applyBorder="1" applyAlignment="1" applyProtection="1">
      <alignment horizontal="center" vertical="center" wrapText="1"/>
      <protection locked="0"/>
    </xf>
    <xf numFmtId="0" fontId="15" fillId="0" borderId="14" xfId="0" applyFont="1" applyBorder="1" applyAlignment="1" applyProtection="1">
      <alignment horizontal="center" vertical="center" wrapText="1"/>
      <protection locked="0"/>
    </xf>
    <xf numFmtId="0" fontId="15" fillId="0" borderId="18" xfId="0" applyFont="1" applyBorder="1" applyAlignment="1" applyProtection="1">
      <alignment horizontal="center" vertical="center" wrapText="1"/>
      <protection locked="0"/>
    </xf>
    <xf numFmtId="164" fontId="17" fillId="0" borderId="16" xfId="0" applyNumberFormat="1" applyFont="1" applyBorder="1" applyAlignment="1" applyProtection="1">
      <alignment horizontal="center" vertical="center" wrapText="1"/>
      <protection locked="0"/>
    </xf>
    <xf numFmtId="0" fontId="17" fillId="0" borderId="16" xfId="0" applyFont="1" applyBorder="1" applyAlignment="1" applyProtection="1">
      <alignment horizontal="center" vertical="center" wrapText="1"/>
      <protection locked="0"/>
    </xf>
    <xf numFmtId="0" fontId="17" fillId="0" borderId="17" xfId="0" applyFont="1" applyBorder="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17" fillId="0" borderId="7" xfId="0" applyFont="1" applyBorder="1" applyAlignment="1" applyProtection="1">
      <alignment horizontal="center" vertical="center" wrapText="1"/>
      <protection locked="0"/>
    </xf>
    <xf numFmtId="0" fontId="17" fillId="0" borderId="9" xfId="0" applyFont="1" applyBorder="1" applyAlignment="1" applyProtection="1">
      <alignment horizontal="center" vertical="center" wrapText="1"/>
      <protection locked="0"/>
    </xf>
    <xf numFmtId="0" fontId="17" fillId="0" borderId="18" xfId="0" applyFont="1" applyBorder="1" applyAlignment="1" applyProtection="1">
      <alignment horizontal="center" vertical="center" wrapText="1"/>
      <protection locked="0"/>
    </xf>
    <xf numFmtId="0" fontId="23" fillId="9" borderId="16" xfId="0" applyFont="1" applyFill="1" applyBorder="1" applyAlignment="1" applyProtection="1">
      <alignment horizontal="center" vertical="center" wrapText="1"/>
      <protection locked="0"/>
    </xf>
    <xf numFmtId="0" fontId="23" fillId="9" borderId="17" xfId="0" applyFont="1" applyFill="1" applyBorder="1" applyAlignment="1" applyProtection="1">
      <alignment horizontal="center" vertical="center" wrapText="1"/>
      <protection locked="0"/>
    </xf>
    <xf numFmtId="0" fontId="23" fillId="9" borderId="9" xfId="0" applyFont="1" applyFill="1" applyBorder="1" applyAlignment="1" applyProtection="1">
      <alignment horizontal="center" vertical="center" wrapText="1"/>
      <protection locked="0"/>
    </xf>
    <xf numFmtId="0" fontId="23" fillId="9" borderId="18" xfId="0" applyFont="1" applyFill="1" applyBorder="1" applyAlignment="1" applyProtection="1">
      <alignment horizontal="center" vertical="center" wrapText="1"/>
      <protection locked="0"/>
    </xf>
    <xf numFmtId="0" fontId="5" fillId="2" borderId="10"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9" xfId="0" applyFont="1" applyFill="1" applyBorder="1" applyAlignment="1">
      <alignment horizontal="center" vertical="center"/>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5" fillId="0" borderId="19" xfId="0" applyFont="1" applyBorder="1" applyAlignment="1">
      <alignment horizontal="center" vertical="center"/>
    </xf>
    <xf numFmtId="0" fontId="5" fillId="2" borderId="0" xfId="0" applyFont="1" applyFill="1" applyAlignment="1">
      <alignment horizontal="left" vertical="center" wrapText="1"/>
    </xf>
    <xf numFmtId="0" fontId="5" fillId="2" borderId="7" xfId="0" applyFont="1" applyFill="1" applyBorder="1" applyAlignment="1">
      <alignment horizontal="left" vertical="center" wrapText="1"/>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49" xfId="0" applyFont="1" applyFill="1" applyBorder="1" applyAlignment="1">
      <alignment horizontal="center" vertical="top"/>
    </xf>
    <xf numFmtId="0" fontId="20" fillId="7" borderId="10" xfId="0" applyFont="1" applyFill="1" applyBorder="1" applyAlignment="1">
      <alignment horizontal="center" vertical="top"/>
    </xf>
    <xf numFmtId="0" fontId="20" fillId="7" borderId="13" xfId="0" applyFont="1" applyFill="1" applyBorder="1" applyAlignment="1">
      <alignment horizontal="center" vertical="top"/>
    </xf>
    <xf numFmtId="0" fontId="20" fillId="7" borderId="19" xfId="0" applyFont="1" applyFill="1" applyBorder="1" applyAlignment="1">
      <alignment horizontal="center" vertical="top"/>
    </xf>
    <xf numFmtId="0" fontId="21" fillId="7" borderId="15" xfId="0" applyFont="1" applyFill="1" applyBorder="1" applyAlignment="1">
      <alignment horizontal="center" vertical="center"/>
    </xf>
    <xf numFmtId="0" fontId="21" fillId="7" borderId="16" xfId="0" applyFont="1" applyFill="1" applyBorder="1" applyAlignment="1">
      <alignment horizontal="center" vertical="center"/>
    </xf>
    <xf numFmtId="0" fontId="21" fillId="7" borderId="17" xfId="0" applyFont="1" applyFill="1" applyBorder="1" applyAlignment="1">
      <alignment horizontal="center" vertical="center"/>
    </xf>
    <xf numFmtId="0" fontId="21" fillId="7" borderId="6" xfId="0" applyFont="1" applyFill="1" applyBorder="1" applyAlignment="1">
      <alignment horizontal="center" vertical="center"/>
    </xf>
    <xf numFmtId="0" fontId="21" fillId="7" borderId="0" xfId="0" applyFont="1" applyFill="1" applyAlignment="1">
      <alignment horizontal="center" vertical="center"/>
    </xf>
    <xf numFmtId="0" fontId="21" fillId="7" borderId="7" xfId="0" applyFont="1" applyFill="1" applyBorder="1" applyAlignment="1">
      <alignment horizontal="center" vertical="center"/>
    </xf>
    <xf numFmtId="0" fontId="3" fillId="0" borderId="35" xfId="0" applyFont="1" applyBorder="1" applyAlignment="1">
      <alignment horizontal="center" vertical="center" wrapText="1"/>
    </xf>
    <xf numFmtId="0" fontId="3" fillId="0" borderId="20" xfId="0" applyFont="1" applyBorder="1" applyAlignment="1">
      <alignment horizontal="center" vertical="center" wrapText="1"/>
    </xf>
    <xf numFmtId="0" fontId="5" fillId="0" borderId="35" xfId="0" applyFont="1" applyBorder="1" applyAlignment="1" applyProtection="1">
      <alignment horizontal="center" vertical="center" wrapText="1"/>
      <protection locked="0"/>
    </xf>
    <xf numFmtId="0" fontId="5" fillId="0" borderId="34" xfId="0" applyFont="1" applyBorder="1" applyAlignment="1" applyProtection="1">
      <alignment horizontal="center" vertical="center" wrapText="1"/>
      <protection locked="0"/>
    </xf>
    <xf numFmtId="0" fontId="5" fillId="0" borderId="21" xfId="0" applyFont="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5" fillId="0" borderId="27" xfId="0" applyFont="1" applyBorder="1" applyAlignment="1" applyProtection="1">
      <alignment horizontal="center" vertical="center" wrapText="1"/>
      <protection locked="0"/>
    </xf>
    <xf numFmtId="49" fontId="27" fillId="0" borderId="20" xfId="2" applyNumberFormat="1" applyBorder="1" applyAlignment="1" applyProtection="1">
      <alignment horizontal="center" vertical="center" wrapText="1"/>
      <protection locked="0"/>
    </xf>
    <xf numFmtId="49" fontId="3" fillId="0" borderId="20" xfId="0" applyNumberFormat="1" applyFont="1" applyBorder="1" applyAlignment="1" applyProtection="1">
      <alignment horizontal="center" vertical="center" wrapText="1"/>
      <protection locked="0"/>
    </xf>
    <xf numFmtId="49" fontId="3" fillId="0" borderId="29" xfId="0" applyNumberFormat="1" applyFont="1" applyBorder="1" applyAlignment="1" applyProtection="1">
      <alignment horizontal="center" vertical="center" wrapText="1"/>
      <protection locked="0"/>
    </xf>
    <xf numFmtId="0" fontId="3" fillId="0" borderId="45" xfId="0" applyFont="1" applyBorder="1" applyAlignment="1" applyProtection="1">
      <alignment horizontal="right" vertical="center" wrapText="1"/>
      <protection locked="0"/>
    </xf>
    <xf numFmtId="0" fontId="3" fillId="0" borderId="26" xfId="0" applyFont="1" applyBorder="1" applyAlignment="1" applyProtection="1">
      <alignment horizontal="right" vertical="center" wrapText="1"/>
      <protection locked="0"/>
    </xf>
    <xf numFmtId="0" fontId="5" fillId="0" borderId="36" xfId="0" applyFont="1" applyBorder="1" applyAlignment="1" applyProtection="1">
      <alignment horizontal="center" vertical="center" wrapText="1"/>
      <protection locked="0"/>
    </xf>
    <xf numFmtId="0" fontId="5" fillId="0" borderId="20" xfId="0" applyFont="1" applyBorder="1" applyAlignment="1" applyProtection="1">
      <alignment horizontal="center" vertical="center" wrapText="1"/>
      <protection locked="0"/>
    </xf>
    <xf numFmtId="0" fontId="5" fillId="0" borderId="33" xfId="0" applyFont="1" applyBorder="1" applyAlignment="1" applyProtection="1">
      <alignment horizontal="center" vertical="center" wrapText="1"/>
      <protection locked="0"/>
    </xf>
    <xf numFmtId="0" fontId="5" fillId="0" borderId="43" xfId="0" applyFont="1" applyBorder="1" applyAlignment="1">
      <alignment horizontal="center" vertical="center" wrapText="1"/>
    </xf>
    <xf numFmtId="0" fontId="5" fillId="0" borderId="37" xfId="0" applyFont="1" applyBorder="1" applyAlignment="1">
      <alignment horizontal="center" vertical="center" wrapText="1"/>
    </xf>
    <xf numFmtId="0" fontId="3" fillId="3" borderId="13"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21" fillId="7" borderId="9" xfId="0" applyFont="1" applyFill="1" applyBorder="1" applyAlignment="1">
      <alignment horizontal="center" vertical="center"/>
    </xf>
    <xf numFmtId="0" fontId="21" fillId="7" borderId="18" xfId="0" applyFont="1" applyFill="1" applyBorder="1" applyAlignment="1">
      <alignment horizontal="center" vertical="center"/>
    </xf>
    <xf numFmtId="0" fontId="5" fillId="0" borderId="16" xfId="0" applyFont="1" applyBorder="1" applyAlignment="1">
      <alignment horizontal="left" vertical="center"/>
    </xf>
    <xf numFmtId="0" fontId="5" fillId="0" borderId="25" xfId="0" applyFont="1" applyBorder="1" applyAlignment="1">
      <alignment horizontal="left" vertical="center"/>
    </xf>
    <xf numFmtId="0" fontId="5" fillId="0" borderId="16" xfId="0" applyFont="1" applyBorder="1" applyAlignment="1" applyProtection="1">
      <alignment horizontal="center" vertical="center" wrapText="1"/>
      <protection locked="0"/>
    </xf>
    <xf numFmtId="0" fontId="5" fillId="0" borderId="17" xfId="0" applyFont="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5" fillId="0" borderId="18" xfId="0" applyFont="1" applyBorder="1" applyAlignment="1" applyProtection="1">
      <alignment horizontal="center" vertical="center" wrapText="1"/>
      <protection locked="0"/>
    </xf>
    <xf numFmtId="164" fontId="5" fillId="0" borderId="16" xfId="0" applyNumberFormat="1" applyFont="1" applyBorder="1" applyAlignment="1">
      <alignment horizontal="center" vertical="center" wrapText="1"/>
    </xf>
    <xf numFmtId="164" fontId="5" fillId="0" borderId="17" xfId="0" applyNumberFormat="1" applyFont="1" applyBorder="1" applyAlignment="1">
      <alignment horizontal="center" vertical="center" wrapText="1"/>
    </xf>
    <xf numFmtId="164" fontId="5" fillId="0" borderId="0" xfId="0" applyNumberFormat="1" applyFont="1" applyAlignment="1">
      <alignment horizontal="center" vertical="center" wrapText="1"/>
    </xf>
    <xf numFmtId="164" fontId="5" fillId="0" borderId="7" xfId="0" applyNumberFormat="1" applyFont="1" applyBorder="1" applyAlignment="1">
      <alignment horizontal="center" vertical="center" wrapText="1"/>
    </xf>
    <xf numFmtId="164" fontId="5" fillId="0" borderId="9" xfId="0" applyNumberFormat="1" applyFont="1" applyBorder="1" applyAlignment="1">
      <alignment horizontal="center" vertical="center" wrapText="1"/>
    </xf>
    <xf numFmtId="164" fontId="5" fillId="0" borderId="18" xfId="0" applyNumberFormat="1" applyFont="1" applyBorder="1" applyAlignment="1">
      <alignment horizontal="center" vertical="center" wrapText="1"/>
    </xf>
    <xf numFmtId="164" fontId="18" fillId="0" borderId="16" xfId="1" applyNumberFormat="1" applyFont="1" applyBorder="1" applyAlignment="1" applyProtection="1">
      <alignment horizontal="center" vertical="center" wrapText="1"/>
      <protection locked="0"/>
    </xf>
    <xf numFmtId="164" fontId="18" fillId="0" borderId="17" xfId="1" applyNumberFormat="1" applyFont="1" applyBorder="1" applyAlignment="1" applyProtection="1">
      <alignment horizontal="center" vertical="center" wrapText="1"/>
      <protection locked="0"/>
    </xf>
    <xf numFmtId="164" fontId="18" fillId="0" borderId="0" xfId="1" applyNumberFormat="1" applyFont="1" applyBorder="1" applyAlignment="1" applyProtection="1">
      <alignment horizontal="center" vertical="center" wrapText="1"/>
      <protection locked="0"/>
    </xf>
    <xf numFmtId="164" fontId="18" fillId="0" borderId="7" xfId="1" applyNumberFormat="1" applyFont="1" applyBorder="1" applyAlignment="1" applyProtection="1">
      <alignment horizontal="center" vertical="center" wrapText="1"/>
      <protection locked="0"/>
    </xf>
    <xf numFmtId="164" fontId="18" fillId="0" borderId="9" xfId="1" applyNumberFormat="1" applyFont="1" applyBorder="1" applyAlignment="1" applyProtection="1">
      <alignment horizontal="center" vertical="center" wrapText="1"/>
      <protection locked="0"/>
    </xf>
    <xf numFmtId="164" fontId="18" fillId="0" borderId="18" xfId="1" applyNumberFormat="1" applyFont="1" applyBorder="1" applyAlignment="1" applyProtection="1">
      <alignment horizontal="center" vertical="center" wrapText="1"/>
      <protection locked="0"/>
    </xf>
    <xf numFmtId="0" fontId="11" fillId="5" borderId="0" xfId="0" applyFont="1" applyFill="1" applyAlignment="1" applyProtection="1">
      <alignment horizontal="center" vertical="center"/>
      <protection locked="0"/>
    </xf>
    <xf numFmtId="0" fontId="11" fillId="5" borderId="7" xfId="0" applyFont="1" applyFill="1" applyBorder="1" applyAlignment="1" applyProtection="1">
      <alignment horizontal="center" vertical="center"/>
      <protection locked="0"/>
    </xf>
    <xf numFmtId="164" fontId="19" fillId="0" borderId="16" xfId="0" applyNumberFormat="1" applyFont="1" applyBorder="1" applyAlignment="1" applyProtection="1">
      <alignment horizontal="center" vertical="center" wrapText="1"/>
      <protection locked="0"/>
    </xf>
    <xf numFmtId="0" fontId="19" fillId="0" borderId="16" xfId="0" applyFont="1" applyBorder="1" applyAlignment="1" applyProtection="1">
      <alignment horizontal="center" vertical="center" wrapText="1"/>
      <protection locked="0"/>
    </xf>
    <xf numFmtId="0" fontId="19" fillId="0" borderId="17" xfId="0" applyFont="1" applyBorder="1" applyAlignment="1" applyProtection="1">
      <alignment horizontal="center" vertical="center" wrapText="1"/>
      <protection locked="0"/>
    </xf>
    <xf numFmtId="0" fontId="19" fillId="0" borderId="0" xfId="0" applyFont="1" applyAlignment="1" applyProtection="1">
      <alignment horizontal="center" vertical="center" wrapText="1"/>
      <protection locked="0"/>
    </xf>
    <xf numFmtId="0" fontId="19" fillId="0" borderId="7" xfId="0" applyFont="1" applyBorder="1" applyAlignment="1" applyProtection="1">
      <alignment horizontal="center" vertical="center" wrapText="1"/>
      <protection locked="0"/>
    </xf>
    <xf numFmtId="0" fontId="19" fillId="0" borderId="9" xfId="0" applyFont="1" applyBorder="1" applyAlignment="1" applyProtection="1">
      <alignment horizontal="center" vertical="center" wrapText="1"/>
      <protection locked="0"/>
    </xf>
    <xf numFmtId="0" fontId="19" fillId="0" borderId="18" xfId="0" applyFont="1" applyBorder="1" applyAlignment="1" applyProtection="1">
      <alignment horizontal="center" vertical="center" wrapText="1"/>
      <protection locked="0"/>
    </xf>
    <xf numFmtId="6" fontId="17" fillId="0" borderId="16" xfId="0" applyNumberFormat="1" applyFont="1" applyBorder="1" applyAlignment="1" applyProtection="1">
      <alignment horizontal="center" vertical="center" wrapText="1"/>
      <protection locked="0"/>
    </xf>
    <xf numFmtId="0" fontId="2" fillId="6" borderId="13" xfId="0" applyFont="1" applyFill="1" applyBorder="1" applyAlignment="1">
      <alignment horizontal="center" vertical="center"/>
    </xf>
    <xf numFmtId="0" fontId="2" fillId="6" borderId="19" xfId="0" applyFont="1" applyFill="1" applyBorder="1" applyAlignment="1">
      <alignment horizontal="center" vertical="center"/>
    </xf>
    <xf numFmtId="0" fontId="5" fillId="0" borderId="4"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13" fillId="0" borderId="54" xfId="2" applyFont="1" applyBorder="1" applyAlignment="1" applyProtection="1">
      <alignment horizontal="center" vertical="center" wrapText="1"/>
      <protection locked="0"/>
    </xf>
    <xf numFmtId="0" fontId="13" fillId="0" borderId="11" xfId="2" applyFont="1" applyBorder="1" applyAlignment="1" applyProtection="1">
      <alignment horizontal="center" vertical="center" wrapText="1"/>
      <protection locked="0"/>
    </xf>
    <xf numFmtId="0" fontId="13" fillId="0" borderId="27" xfId="2" applyFont="1" applyBorder="1" applyAlignment="1" applyProtection="1">
      <alignment horizontal="center" vertical="center" wrapText="1"/>
      <protection locked="0"/>
    </xf>
    <xf numFmtId="0" fontId="5" fillId="2" borderId="10" xfId="0" applyFont="1" applyFill="1" applyBorder="1" applyAlignment="1">
      <alignment horizontal="center" vertical="top"/>
    </xf>
    <xf numFmtId="0" fontId="5" fillId="2" borderId="13" xfId="0" applyFont="1" applyFill="1" applyBorder="1" applyAlignment="1">
      <alignment horizontal="center" vertical="top"/>
    </xf>
    <xf numFmtId="0" fontId="5" fillId="2" borderId="19" xfId="0" applyFont="1" applyFill="1" applyBorder="1" applyAlignment="1">
      <alignment horizontal="center" vertical="top"/>
    </xf>
    <xf numFmtId="0" fontId="3" fillId="0" borderId="10"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3" xfId="0" applyFont="1" applyBorder="1" applyAlignment="1">
      <alignment horizontal="center" vertical="center"/>
    </xf>
    <xf numFmtId="0" fontId="3" fillId="0" borderId="19" xfId="0" applyFont="1" applyBorder="1" applyAlignment="1">
      <alignment horizontal="center" vertical="center"/>
    </xf>
    <xf numFmtId="0" fontId="3" fillId="0" borderId="34" xfId="0" applyFont="1" applyBorder="1" applyAlignment="1">
      <alignment horizontal="center" vertical="center"/>
    </xf>
    <xf numFmtId="0" fontId="3" fillId="0" borderId="29" xfId="0" applyFont="1" applyBorder="1" applyAlignment="1">
      <alignment horizontal="center" vertical="center"/>
    </xf>
    <xf numFmtId="0" fontId="5" fillId="2" borderId="14" xfId="0" applyFont="1" applyFill="1" applyBorder="1" applyAlignment="1">
      <alignment horizontal="left" vertical="top"/>
    </xf>
    <xf numFmtId="0" fontId="5" fillId="2" borderId="9" xfId="0" applyFont="1" applyFill="1" applyBorder="1" applyAlignment="1">
      <alignment horizontal="left" vertical="top"/>
    </xf>
    <xf numFmtId="0" fontId="5" fillId="2" borderId="0" xfId="0" applyFont="1" applyFill="1" applyAlignment="1">
      <alignment horizontal="left" vertical="top" wrapText="1"/>
    </xf>
    <xf numFmtId="0" fontId="5" fillId="2" borderId="7" xfId="0" applyFont="1" applyFill="1" applyBorder="1" applyAlignment="1">
      <alignment horizontal="left" vertical="top" wrapText="1"/>
    </xf>
    <xf numFmtId="0" fontId="5" fillId="2" borderId="6" xfId="0" applyFont="1" applyFill="1" applyBorder="1" applyAlignment="1">
      <alignment horizontal="left" vertical="top"/>
    </xf>
    <xf numFmtId="0" fontId="5" fillId="2" borderId="0" xfId="0" applyFont="1" applyFill="1" applyAlignment="1">
      <alignment horizontal="left" vertical="top"/>
    </xf>
    <xf numFmtId="0" fontId="5" fillId="2" borderId="7" xfId="0" applyFont="1" applyFill="1" applyBorder="1" applyAlignment="1">
      <alignment horizontal="left" vertical="top"/>
    </xf>
    <xf numFmtId="0" fontId="27" fillId="0" borderId="6" xfId="2"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Alignment="1">
      <alignment horizontal="center" vertical="center" wrapText="1"/>
    </xf>
    <xf numFmtId="0" fontId="5" fillId="0" borderId="7"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2" fillId="0" borderId="6" xfId="0" applyFont="1" applyBorder="1" applyAlignment="1">
      <alignment horizontal="center" vertical="center"/>
    </xf>
    <xf numFmtId="0" fontId="12" fillId="0" borderId="0" xfId="0" applyFont="1" applyAlignment="1">
      <alignment horizontal="center" vertical="center"/>
    </xf>
    <xf numFmtId="0" fontId="12" fillId="0" borderId="7" xfId="0" applyFont="1" applyBorder="1" applyAlignment="1">
      <alignment horizontal="center" vertical="center"/>
    </xf>
    <xf numFmtId="0" fontId="12" fillId="0" borderId="14" xfId="0" applyFont="1" applyBorder="1" applyAlignment="1">
      <alignment horizontal="center" vertical="center"/>
    </xf>
    <xf numFmtId="0" fontId="12" fillId="0" borderId="9" xfId="0" applyFont="1" applyBorder="1" applyAlignment="1">
      <alignment horizontal="center" vertical="center"/>
    </xf>
    <xf numFmtId="0" fontId="12" fillId="0" borderId="18" xfId="0" applyFont="1" applyBorder="1" applyAlignment="1">
      <alignment horizontal="center" vertical="center"/>
    </xf>
    <xf numFmtId="0" fontId="5" fillId="0" borderId="20" xfId="0" applyFont="1" applyBorder="1" applyAlignment="1">
      <alignment horizontal="center" vertical="center" wrapText="1"/>
    </xf>
    <xf numFmtId="0" fontId="5" fillId="0" borderId="29" xfId="0" applyFont="1" applyBorder="1" applyAlignment="1">
      <alignment horizontal="center" vertical="center" wrapText="1"/>
    </xf>
    <xf numFmtId="0" fontId="3" fillId="0" borderId="24" xfId="0" applyFont="1" applyBorder="1" applyAlignment="1">
      <alignment horizontal="right" vertical="center" wrapText="1"/>
    </xf>
    <xf numFmtId="0" fontId="3" fillId="0" borderId="47" xfId="0" applyFont="1" applyBorder="1" applyAlignment="1">
      <alignment horizontal="right" vertical="center" wrapText="1"/>
    </xf>
    <xf numFmtId="0" fontId="5" fillId="0" borderId="48" xfId="0" applyFont="1" applyBorder="1" applyAlignment="1">
      <alignment horizontal="center" vertical="center" wrapText="1"/>
    </xf>
    <xf numFmtId="0" fontId="3" fillId="6" borderId="9"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8" fillId="6" borderId="10" xfId="0" applyFont="1" applyFill="1" applyBorder="1" applyAlignment="1">
      <alignment horizontal="center" vertical="top"/>
    </xf>
    <xf numFmtId="0" fontId="8" fillId="6" borderId="13" xfId="0" applyFont="1" applyFill="1" applyBorder="1" applyAlignment="1">
      <alignment horizontal="center" vertical="top"/>
    </xf>
    <xf numFmtId="0" fontId="2" fillId="6" borderId="15" xfId="0" applyFont="1" applyFill="1" applyBorder="1" applyAlignment="1">
      <alignment horizontal="center" vertical="center"/>
    </xf>
    <xf numFmtId="0" fontId="2" fillId="6" borderId="16" xfId="0" applyFont="1" applyFill="1" applyBorder="1" applyAlignment="1">
      <alignment horizontal="center" vertical="center"/>
    </xf>
    <xf numFmtId="0" fontId="2" fillId="6" borderId="17" xfId="0" applyFont="1" applyFill="1" applyBorder="1" applyAlignment="1">
      <alignment horizontal="center" vertical="center"/>
    </xf>
    <xf numFmtId="0" fontId="15" fillId="0" borderId="15"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14" fontId="12" fillId="0" borderId="16" xfId="0" applyNumberFormat="1" applyFont="1" applyBorder="1" applyAlignment="1" applyProtection="1">
      <alignment horizontal="center" vertical="center" wrapText="1"/>
      <protection locked="0"/>
    </xf>
    <xf numFmtId="0" fontId="12" fillId="0" borderId="17" xfId="0" applyFont="1" applyBorder="1" applyAlignment="1" applyProtection="1">
      <alignment horizontal="center" vertical="center" wrapText="1"/>
      <protection locked="0"/>
    </xf>
    <xf numFmtId="0" fontId="12" fillId="0" borderId="9" xfId="0" applyFont="1" applyBorder="1" applyAlignment="1" applyProtection="1">
      <alignment horizontal="center" vertical="center" wrapText="1"/>
      <protection locked="0"/>
    </xf>
    <xf numFmtId="0" fontId="12" fillId="0" borderId="18" xfId="0" applyFont="1" applyBorder="1" applyAlignment="1" applyProtection="1">
      <alignment horizontal="center" vertical="center" wrapText="1"/>
      <protection locked="0"/>
    </xf>
    <xf numFmtId="0" fontId="5" fillId="0" borderId="6" xfId="0" applyFont="1" applyBorder="1" applyAlignment="1">
      <alignment horizontal="left" vertical="center"/>
    </xf>
    <xf numFmtId="0" fontId="5" fillId="0" borderId="0" xfId="0" applyFont="1" applyAlignment="1">
      <alignment horizontal="left" vertical="center"/>
    </xf>
    <xf numFmtId="0" fontId="6" fillId="6" borderId="15"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7" xfId="0" applyFont="1" applyFill="1" applyBorder="1" applyAlignment="1">
      <alignment horizontal="center" vertical="center"/>
    </xf>
    <xf numFmtId="0" fontId="6" fillId="6" borderId="14"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18" xfId="0" applyFont="1" applyFill="1" applyBorder="1" applyAlignment="1">
      <alignment horizontal="center" vertical="center"/>
    </xf>
    <xf numFmtId="0" fontId="16" fillId="5" borderId="16" xfId="0" applyFont="1" applyFill="1" applyBorder="1" applyAlignment="1">
      <alignment horizontal="center" vertical="center" wrapText="1"/>
    </xf>
    <xf numFmtId="0" fontId="16" fillId="5" borderId="17" xfId="0" applyFont="1" applyFill="1" applyBorder="1" applyAlignment="1">
      <alignment horizontal="center" vertical="center" wrapText="1"/>
    </xf>
    <xf numFmtId="0" fontId="16" fillId="5" borderId="0" xfId="0" applyFont="1" applyFill="1" applyAlignment="1">
      <alignment horizontal="center" vertical="center" wrapText="1"/>
    </xf>
    <xf numFmtId="0" fontId="16" fillId="5" borderId="7" xfId="0" applyFont="1" applyFill="1" applyBorder="1" applyAlignment="1">
      <alignment horizontal="center" vertical="center" wrapText="1"/>
    </xf>
    <xf numFmtId="164" fontId="18" fillId="0" borderId="16" xfId="0" applyNumberFormat="1" applyFont="1" applyBorder="1" applyAlignment="1">
      <alignment horizontal="center"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0" xfId="0" applyFont="1" applyAlignment="1">
      <alignment horizontal="center" vertical="center" wrapText="1"/>
    </xf>
    <xf numFmtId="0" fontId="18" fillId="0" borderId="7" xfId="0" applyFont="1" applyBorder="1" applyAlignment="1">
      <alignment horizontal="center" vertical="center" wrapText="1"/>
    </xf>
    <xf numFmtId="0" fontId="18" fillId="0" borderId="9" xfId="0" applyFont="1" applyBorder="1" applyAlignment="1">
      <alignment horizontal="center" vertical="center" wrapText="1"/>
    </xf>
    <xf numFmtId="0" fontId="18" fillId="0" borderId="18" xfId="0" applyFont="1" applyBorder="1" applyAlignment="1">
      <alignment horizontal="center" vertical="center" wrapText="1"/>
    </xf>
    <xf numFmtId="0" fontId="16" fillId="5" borderId="9"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6" fillId="16" borderId="15" xfId="0" applyFont="1" applyFill="1" applyBorder="1" applyAlignment="1">
      <alignment horizontal="center" vertical="center" wrapText="1"/>
    </xf>
    <xf numFmtId="0" fontId="16" fillId="16" borderId="16" xfId="0" applyFont="1" applyFill="1" applyBorder="1" applyAlignment="1">
      <alignment horizontal="center" vertical="center" wrapText="1"/>
    </xf>
    <xf numFmtId="0" fontId="16" fillId="16" borderId="17" xfId="0" applyFont="1" applyFill="1" applyBorder="1" applyAlignment="1">
      <alignment horizontal="center" vertical="center" wrapText="1"/>
    </xf>
    <xf numFmtId="0" fontId="16" fillId="16" borderId="14" xfId="0" applyFont="1" applyFill="1" applyBorder="1" applyAlignment="1">
      <alignment horizontal="center" vertical="center" wrapText="1"/>
    </xf>
    <xf numFmtId="0" fontId="16" fillId="16" borderId="9" xfId="0" applyFont="1" applyFill="1" applyBorder="1" applyAlignment="1">
      <alignment horizontal="center" vertical="center" wrapText="1"/>
    </xf>
    <xf numFmtId="0" fontId="16" fillId="16" borderId="18" xfId="0" applyFont="1" applyFill="1" applyBorder="1" applyAlignment="1">
      <alignment horizontal="center" vertical="center" wrapText="1"/>
    </xf>
    <xf numFmtId="164" fontId="18" fillId="0" borderId="17" xfId="0" applyNumberFormat="1" applyFont="1" applyBorder="1" applyAlignment="1">
      <alignment horizontal="center" vertical="center" wrapText="1"/>
    </xf>
    <xf numFmtId="164" fontId="18" fillId="0" borderId="0" xfId="0" applyNumberFormat="1" applyFont="1" applyAlignment="1">
      <alignment horizontal="center" vertical="center" wrapText="1"/>
    </xf>
    <xf numFmtId="164" fontId="18" fillId="0" borderId="7" xfId="0" applyNumberFormat="1" applyFont="1" applyBorder="1" applyAlignment="1">
      <alignment horizontal="center" vertical="center" wrapText="1"/>
    </xf>
    <xf numFmtId="164" fontId="18" fillId="0" borderId="9" xfId="0" applyNumberFormat="1" applyFont="1" applyBorder="1" applyAlignment="1">
      <alignment horizontal="center" vertical="center" wrapText="1"/>
    </xf>
    <xf numFmtId="164" fontId="18" fillId="0" borderId="18" xfId="0" applyNumberFormat="1" applyFont="1" applyBorder="1" applyAlignment="1">
      <alignment horizontal="center" vertical="center" wrapText="1"/>
    </xf>
    <xf numFmtId="0" fontId="16" fillId="5" borderId="16" xfId="0" applyFont="1" applyFill="1" applyBorder="1" applyAlignment="1">
      <alignment horizontal="center" vertical="center"/>
    </xf>
    <xf numFmtId="0" fontId="16" fillId="5" borderId="17" xfId="0" applyFont="1" applyFill="1" applyBorder="1" applyAlignment="1">
      <alignment horizontal="center" vertical="center"/>
    </xf>
    <xf numFmtId="0" fontId="16" fillId="5" borderId="0" xfId="0" applyFont="1" applyFill="1" applyAlignment="1">
      <alignment horizontal="center" vertical="center"/>
    </xf>
    <xf numFmtId="0" fontId="16" fillId="5" borderId="7" xfId="0" applyFont="1" applyFill="1" applyBorder="1" applyAlignment="1">
      <alignment horizontal="center" vertical="center"/>
    </xf>
    <xf numFmtId="6" fontId="17" fillId="0" borderId="16" xfId="0" applyNumberFormat="1"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0" xfId="0" applyFont="1" applyAlignment="1">
      <alignment horizontal="center" vertical="center" wrapText="1"/>
    </xf>
    <xf numFmtId="0" fontId="17" fillId="0" borderId="7"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8" xfId="0" applyFont="1" applyBorder="1" applyAlignment="1">
      <alignment horizontal="center" vertical="center" wrapText="1"/>
    </xf>
    <xf numFmtId="164" fontId="18" fillId="0" borderId="16" xfId="1" applyNumberFormat="1" applyFont="1" applyBorder="1" applyAlignment="1" applyProtection="1">
      <alignment horizontal="center" vertical="center" wrapText="1"/>
    </xf>
    <xf numFmtId="164" fontId="18" fillId="0" borderId="17" xfId="1" applyNumberFormat="1" applyFont="1" applyBorder="1" applyAlignment="1" applyProtection="1">
      <alignment horizontal="center" vertical="center" wrapText="1"/>
    </xf>
    <xf numFmtId="164" fontId="18" fillId="0" borderId="0" xfId="1" applyNumberFormat="1" applyFont="1" applyBorder="1" applyAlignment="1" applyProtection="1">
      <alignment horizontal="center" vertical="center" wrapText="1"/>
    </xf>
    <xf numFmtId="164" fontId="18" fillId="0" borderId="7" xfId="1" applyNumberFormat="1" applyFont="1" applyBorder="1" applyAlignment="1" applyProtection="1">
      <alignment horizontal="center" vertical="center" wrapText="1"/>
    </xf>
    <xf numFmtId="164" fontId="18" fillId="0" borderId="9" xfId="1" applyNumberFormat="1" applyFont="1" applyBorder="1" applyAlignment="1" applyProtection="1">
      <alignment horizontal="center" vertical="center" wrapText="1"/>
    </xf>
    <xf numFmtId="164" fontId="18" fillId="0" borderId="18" xfId="1" applyNumberFormat="1" applyFont="1" applyBorder="1" applyAlignment="1" applyProtection="1">
      <alignment horizontal="center" vertical="center" wrapText="1"/>
    </xf>
    <xf numFmtId="0" fontId="11" fillId="13" borderId="0" xfId="0" applyFont="1" applyFill="1" applyAlignment="1">
      <alignment horizontal="center" vertical="center"/>
    </xf>
    <xf numFmtId="0" fontId="11" fillId="13" borderId="7" xfId="0" applyFont="1" applyFill="1" applyBorder="1" applyAlignment="1">
      <alignment horizontal="center" vertical="center"/>
    </xf>
    <xf numFmtId="164" fontId="19" fillId="0" borderId="16" xfId="0" applyNumberFormat="1" applyFont="1" applyBorder="1" applyAlignment="1">
      <alignment horizontal="center" vertical="center" wrapText="1"/>
    </xf>
    <xf numFmtId="0" fontId="1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0" xfId="0" applyFont="1" applyAlignment="1">
      <alignment horizontal="center" vertical="center" wrapText="1"/>
    </xf>
    <xf numFmtId="0" fontId="19" fillId="0" borderId="7"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8" xfId="0" applyFont="1" applyBorder="1" applyAlignment="1">
      <alignment horizontal="center" vertical="center" wrapText="1"/>
    </xf>
    <xf numFmtId="0" fontId="11" fillId="0" borderId="16" xfId="0" applyFont="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0" fontId="11" fillId="0" borderId="0" xfId="0" applyFont="1" applyAlignment="1" applyProtection="1">
      <alignment horizontal="center" vertical="center"/>
      <protection locked="0"/>
    </xf>
    <xf numFmtId="0" fontId="11" fillId="0" borderId="7" xfId="0" applyFont="1" applyBorder="1" applyAlignment="1" applyProtection="1">
      <alignment horizontal="center" vertical="center"/>
      <protection locked="0"/>
    </xf>
    <xf numFmtId="164" fontId="17" fillId="0" borderId="16" xfId="0" applyNumberFormat="1"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8" xfId="0" applyFont="1" applyBorder="1" applyAlignment="1">
      <alignment horizontal="center" vertical="center" wrapText="1"/>
    </xf>
    <xf numFmtId="0" fontId="7" fillId="6" borderId="16" xfId="0" applyFont="1" applyFill="1" applyBorder="1" applyAlignment="1">
      <alignment horizontal="center" vertical="center" wrapText="1"/>
    </xf>
    <xf numFmtId="0" fontId="7" fillId="6" borderId="17"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8" xfId="0" applyFont="1" applyFill="1" applyBorder="1" applyAlignment="1">
      <alignment horizontal="center" vertical="center" wrapText="1"/>
    </xf>
    <xf numFmtId="14" fontId="12" fillId="0" borderId="15" xfId="0" applyNumberFormat="1" applyFont="1" applyBorder="1" applyAlignment="1">
      <alignment horizontal="center" vertical="center" wrapText="1"/>
    </xf>
    <xf numFmtId="0" fontId="12" fillId="0" borderId="14" xfId="0" applyFont="1" applyBorder="1" applyAlignment="1">
      <alignment horizontal="center" vertical="center" wrapText="1"/>
    </xf>
    <xf numFmtId="0" fontId="14" fillId="0" borderId="15" xfId="0" applyFont="1" applyBorder="1" applyAlignment="1" applyProtection="1">
      <alignment horizontal="center" vertical="center" wrapText="1"/>
      <protection locked="0"/>
    </xf>
    <xf numFmtId="0" fontId="14" fillId="0" borderId="16" xfId="0" applyFont="1" applyBorder="1" applyAlignment="1" applyProtection="1">
      <alignment horizontal="center" vertical="center" wrapText="1"/>
      <protection locked="0"/>
    </xf>
    <xf numFmtId="0" fontId="14" fillId="0" borderId="17"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0" xfId="0" applyFont="1" applyAlignment="1" applyProtection="1">
      <alignment horizontal="center" vertical="center" wrapText="1"/>
      <protection locked="0"/>
    </xf>
    <xf numFmtId="0" fontId="14" fillId="0" borderId="7" xfId="0" applyFont="1" applyBorder="1" applyAlignment="1" applyProtection="1">
      <alignment horizontal="center" vertical="center" wrapText="1"/>
      <protection locked="0"/>
    </xf>
    <xf numFmtId="0" fontId="14" fillId="0" borderId="14" xfId="0" applyFont="1" applyBorder="1" applyAlignment="1" applyProtection="1">
      <alignment horizontal="center" vertical="center" wrapText="1"/>
      <protection locked="0"/>
    </xf>
    <xf numFmtId="0" fontId="14" fillId="0" borderId="9" xfId="0" applyFont="1" applyBorder="1" applyAlignment="1" applyProtection="1">
      <alignment horizontal="center" vertical="center" wrapText="1"/>
      <protection locked="0"/>
    </xf>
    <xf numFmtId="0" fontId="14" fillId="0" borderId="18" xfId="0" applyFont="1" applyBorder="1" applyAlignment="1" applyProtection="1">
      <alignment horizontal="center" vertical="center" wrapText="1"/>
      <protection locked="0"/>
    </xf>
    <xf numFmtId="0" fontId="27" fillId="0" borderId="20" xfId="2" applyNumberFormat="1" applyBorder="1" applyAlignment="1" applyProtection="1">
      <alignment horizontal="center" vertical="center" wrapText="1"/>
      <protection locked="0"/>
    </xf>
    <xf numFmtId="0" fontId="3" fillId="0" borderId="20" xfId="0" applyFont="1" applyBorder="1" applyAlignment="1" applyProtection="1">
      <alignment horizontal="center" vertical="center" wrapText="1"/>
      <protection locked="0"/>
    </xf>
    <xf numFmtId="0" fontId="3" fillId="0" borderId="29" xfId="0" applyFont="1" applyBorder="1" applyAlignment="1" applyProtection="1">
      <alignment horizontal="center" vertical="center" wrapText="1"/>
      <protection locked="0"/>
    </xf>
    <xf numFmtId="0" fontId="3" fillId="4" borderId="13"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8" fillId="4" borderId="10" xfId="0" applyFont="1" applyFill="1" applyBorder="1" applyAlignment="1">
      <alignment horizontal="center" vertical="top"/>
    </xf>
    <xf numFmtId="0" fontId="8" fillId="4" borderId="13" xfId="0" applyFont="1" applyFill="1" applyBorder="1" applyAlignment="1">
      <alignment horizontal="center" vertical="top"/>
    </xf>
    <xf numFmtId="0" fontId="8" fillId="4" borderId="19" xfId="0" applyFont="1" applyFill="1" applyBorder="1" applyAlignment="1">
      <alignment horizontal="center" vertical="top"/>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6" fillId="4" borderId="16" xfId="0" applyFont="1" applyFill="1" applyBorder="1" applyAlignment="1">
      <alignment horizontal="center" vertical="center"/>
    </xf>
    <xf numFmtId="0" fontId="6" fillId="4" borderId="17"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8" xfId="0" applyFont="1" applyFill="1" applyBorder="1" applyAlignment="1">
      <alignment horizontal="center" vertical="center"/>
    </xf>
    <xf numFmtId="0" fontId="16" fillId="4" borderId="16" xfId="0" applyFont="1" applyFill="1" applyBorder="1" applyAlignment="1" applyProtection="1">
      <alignment horizontal="center" vertical="center" wrapText="1"/>
      <protection locked="0"/>
    </xf>
    <xf numFmtId="0" fontId="16" fillId="4" borderId="17" xfId="0" applyFont="1" applyFill="1" applyBorder="1" applyAlignment="1" applyProtection="1">
      <alignment horizontal="center" vertical="center" wrapText="1"/>
      <protection locked="0"/>
    </xf>
    <xf numFmtId="0" fontId="16" fillId="4" borderId="0" xfId="0" applyFont="1" applyFill="1" applyAlignment="1" applyProtection="1">
      <alignment horizontal="center" vertical="center" wrapText="1"/>
      <protection locked="0"/>
    </xf>
    <xf numFmtId="0" fontId="16" fillId="4" borderId="7" xfId="0" applyFont="1" applyFill="1" applyBorder="1" applyAlignment="1" applyProtection="1">
      <alignment horizontal="center" vertical="center" wrapText="1"/>
      <protection locked="0"/>
    </xf>
    <xf numFmtId="0" fontId="16" fillId="4" borderId="9" xfId="0" applyFont="1" applyFill="1" applyBorder="1" applyAlignment="1" applyProtection="1">
      <alignment horizontal="center" vertical="center" wrapText="1"/>
      <protection locked="0"/>
    </xf>
    <xf numFmtId="0" fontId="16" fillId="4" borderId="18" xfId="0" applyFont="1" applyFill="1" applyBorder="1" applyAlignment="1" applyProtection="1">
      <alignment horizontal="center" vertical="center" wrapText="1"/>
      <protection locked="0"/>
    </xf>
    <xf numFmtId="0" fontId="16" fillId="18" borderId="16" xfId="0" applyFont="1" applyFill="1" applyBorder="1" applyAlignment="1" applyProtection="1">
      <alignment horizontal="center" vertical="center" wrapText="1"/>
      <protection locked="0"/>
    </xf>
    <xf numFmtId="0" fontId="16" fillId="18" borderId="17" xfId="0" applyFont="1" applyFill="1" applyBorder="1" applyAlignment="1" applyProtection="1">
      <alignment horizontal="center" vertical="center" wrapText="1"/>
      <protection locked="0"/>
    </xf>
    <xf numFmtId="0" fontId="16" fillId="18" borderId="9" xfId="0" applyFont="1" applyFill="1" applyBorder="1" applyAlignment="1" applyProtection="1">
      <alignment horizontal="center" vertical="center" wrapText="1"/>
      <protection locked="0"/>
    </xf>
    <xf numFmtId="0" fontId="16" fillId="18" borderId="18" xfId="0" applyFont="1" applyFill="1" applyBorder="1" applyAlignment="1" applyProtection="1">
      <alignment horizontal="center" vertical="center" wrapText="1"/>
      <protection locked="0"/>
    </xf>
    <xf numFmtId="0" fontId="16" fillId="4" borderId="16" xfId="0" applyFont="1" applyFill="1" applyBorder="1" applyAlignment="1">
      <alignment horizontal="center" vertical="center"/>
    </xf>
    <xf numFmtId="0" fontId="16" fillId="4" borderId="17" xfId="0" applyFont="1" applyFill="1" applyBorder="1" applyAlignment="1">
      <alignment horizontal="center" vertical="center"/>
    </xf>
    <xf numFmtId="0" fontId="16" fillId="4" borderId="0" xfId="0" applyFont="1" applyFill="1" applyAlignment="1">
      <alignment horizontal="center" vertical="center"/>
    </xf>
    <xf numFmtId="0" fontId="16" fillId="4" borderId="7"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0" xfId="0" applyFont="1" applyAlignment="1">
      <alignment horizontal="center" vertical="center" wrapText="1"/>
    </xf>
    <xf numFmtId="0" fontId="14" fillId="0" borderId="7"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8" xfId="0" applyFont="1" applyBorder="1" applyAlignment="1">
      <alignment horizontal="center" vertical="center" wrapText="1"/>
    </xf>
    <xf numFmtId="0" fontId="6" fillId="4" borderId="15"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0" xfId="0" applyFont="1" applyFill="1" applyAlignment="1">
      <alignment horizontal="center" vertical="center"/>
    </xf>
    <xf numFmtId="0" fontId="6" fillId="4" borderId="7" xfId="0" applyFont="1" applyFill="1" applyBorder="1" applyAlignment="1">
      <alignment horizontal="center" vertical="center"/>
    </xf>
    <xf numFmtId="0" fontId="3" fillId="0" borderId="48" xfId="0" applyFont="1" applyBorder="1" applyAlignment="1">
      <alignment horizontal="center"/>
    </xf>
    <xf numFmtId="0" fontId="3" fillId="0" borderId="30" xfId="0" applyFont="1" applyBorder="1" applyAlignment="1">
      <alignment horizontal="center"/>
    </xf>
    <xf numFmtId="0" fontId="3" fillId="0" borderId="13" xfId="0" applyFont="1" applyBorder="1" applyAlignment="1" applyProtection="1">
      <alignment horizontal="right" vertical="center" wrapText="1"/>
      <protection locked="0"/>
    </xf>
    <xf numFmtId="0" fontId="3" fillId="0" borderId="19" xfId="0" applyFont="1" applyBorder="1" applyAlignment="1" applyProtection="1">
      <alignment horizontal="right" vertical="center" wrapText="1"/>
      <protection locked="0"/>
    </xf>
    <xf numFmtId="164" fontId="3" fillId="0" borderId="10" xfId="0" applyNumberFormat="1" applyFont="1" applyBorder="1" applyAlignment="1" applyProtection="1">
      <alignment horizontal="center" vertical="center" wrapText="1"/>
      <protection locked="0"/>
    </xf>
    <xf numFmtId="0" fontId="3" fillId="0" borderId="19" xfId="0" applyFont="1" applyBorder="1" applyAlignment="1" applyProtection="1">
      <alignment horizontal="center" vertical="center" wrapText="1"/>
      <protection locked="0"/>
    </xf>
    <xf numFmtId="0" fontId="8" fillId="5" borderId="13" xfId="0" applyFont="1" applyFill="1" applyBorder="1" applyAlignment="1">
      <alignment horizontal="left" vertical="center"/>
    </xf>
    <xf numFmtId="0" fontId="8" fillId="5" borderId="19" xfId="0" applyFont="1" applyFill="1" applyBorder="1" applyAlignment="1">
      <alignment horizontal="left" vertical="center"/>
    </xf>
    <xf numFmtId="0" fontId="3" fillId="0" borderId="16" xfId="0" applyFont="1" applyBorder="1" applyAlignment="1">
      <alignment horizontal="right" vertical="center"/>
    </xf>
    <xf numFmtId="0" fontId="3" fillId="0" borderId="17" xfId="0" applyFont="1" applyBorder="1" applyAlignment="1">
      <alignment horizontal="right" vertical="center"/>
    </xf>
    <xf numFmtId="0" fontId="3" fillId="0" borderId="9" xfId="0" applyFont="1" applyBorder="1" applyAlignment="1">
      <alignment horizontal="right" vertical="center"/>
    </xf>
    <xf numFmtId="0" fontId="3" fillId="0" borderId="18" xfId="0" applyFont="1" applyBorder="1" applyAlignment="1">
      <alignment horizontal="right" vertical="center"/>
    </xf>
    <xf numFmtId="164" fontId="3" fillId="0" borderId="15" xfId="0" applyNumberFormat="1" applyFont="1" applyBorder="1" applyAlignment="1">
      <alignment horizontal="center" vertical="center"/>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3" xfId="0" applyFont="1" applyBorder="1" applyAlignment="1" applyProtection="1">
      <alignment horizontal="right" vertical="center"/>
      <protection locked="0"/>
    </xf>
    <xf numFmtId="0" fontId="3" fillId="0" borderId="19" xfId="0" applyFont="1" applyBorder="1" applyAlignment="1" applyProtection="1">
      <alignment horizontal="right" vertical="center"/>
      <protection locked="0"/>
    </xf>
    <xf numFmtId="0" fontId="2" fillId="0" borderId="10" xfId="0" applyFont="1" applyBorder="1" applyAlignment="1" applyProtection="1">
      <alignment horizontal="center" vertical="center"/>
      <protection locked="0"/>
    </xf>
    <xf numFmtId="0" fontId="2" fillId="0" borderId="19" xfId="0" applyFont="1" applyBorder="1" applyAlignment="1" applyProtection="1">
      <alignment horizontal="center" vertical="center"/>
      <protection locked="0"/>
    </xf>
    <xf numFmtId="0" fontId="8" fillId="5" borderId="13" xfId="0" applyFont="1" applyFill="1" applyBorder="1" applyAlignment="1" applyProtection="1">
      <alignment horizontal="center" vertical="center" wrapText="1"/>
      <protection locked="0"/>
    </xf>
    <xf numFmtId="0" fontId="8" fillId="5" borderId="19" xfId="0" applyFont="1" applyFill="1" applyBorder="1" applyAlignment="1" applyProtection="1">
      <alignment horizontal="center" vertical="center" wrapText="1"/>
      <protection locked="0"/>
    </xf>
    <xf numFmtId="164" fontId="3" fillId="0" borderId="13" xfId="0" applyNumberFormat="1" applyFont="1" applyBorder="1" applyAlignment="1" applyProtection="1">
      <alignment horizontal="right" vertical="center" wrapText="1"/>
      <protection locked="0"/>
    </xf>
    <xf numFmtId="164" fontId="3" fillId="0" borderId="19" xfId="0" applyNumberFormat="1" applyFont="1" applyBorder="1" applyAlignment="1" applyProtection="1">
      <alignment horizontal="right" vertical="center" wrapText="1"/>
      <protection locked="0"/>
    </xf>
    <xf numFmtId="164" fontId="3" fillId="0" borderId="19" xfId="0" applyNumberFormat="1" applyFont="1" applyBorder="1" applyAlignment="1" applyProtection="1">
      <alignment horizontal="center" vertical="center" wrapText="1"/>
      <protection locked="0"/>
    </xf>
    <xf numFmtId="164" fontId="3" fillId="0" borderId="16" xfId="0" applyNumberFormat="1" applyFont="1" applyBorder="1" applyAlignment="1" applyProtection="1">
      <alignment horizontal="right" vertical="center" wrapText="1"/>
      <protection locked="0"/>
    </xf>
    <xf numFmtId="164" fontId="3" fillId="0" borderId="9" xfId="0" applyNumberFormat="1" applyFont="1" applyBorder="1" applyAlignment="1" applyProtection="1">
      <alignment horizontal="right" vertical="center" wrapText="1"/>
      <protection locked="0"/>
    </xf>
    <xf numFmtId="164" fontId="9" fillId="0" borderId="15" xfId="0" applyNumberFormat="1" applyFont="1" applyBorder="1" applyAlignment="1" applyProtection="1">
      <alignment horizontal="center" vertical="center" wrapText="1"/>
      <protection locked="0"/>
    </xf>
    <xf numFmtId="164" fontId="9" fillId="0" borderId="17" xfId="0" applyNumberFormat="1" applyFont="1" applyBorder="1" applyAlignment="1" applyProtection="1">
      <alignment horizontal="center" vertical="center" wrapText="1"/>
      <protection locked="0"/>
    </xf>
    <xf numFmtId="164" fontId="9" fillId="0" borderId="14" xfId="0" applyNumberFormat="1" applyFont="1" applyBorder="1" applyAlignment="1" applyProtection="1">
      <alignment horizontal="center" vertical="center" wrapText="1"/>
      <protection locked="0"/>
    </xf>
    <xf numFmtId="164" fontId="9" fillId="0" borderId="18" xfId="0" applyNumberFormat="1" applyFont="1" applyBorder="1" applyAlignment="1" applyProtection="1">
      <alignment horizontal="center" vertical="center" wrapText="1"/>
      <protection locked="0"/>
    </xf>
    <xf numFmtId="0" fontId="3" fillId="5" borderId="13" xfId="0" applyFont="1" applyFill="1" applyBorder="1" applyAlignment="1" applyProtection="1">
      <alignment horizontal="left" vertical="center" wrapText="1"/>
      <protection locked="0"/>
    </xf>
    <xf numFmtId="0" fontId="3" fillId="5" borderId="19" xfId="0" applyFont="1" applyFill="1" applyBorder="1" applyAlignment="1" applyProtection="1">
      <alignment horizontal="left" vertical="center" wrapText="1"/>
      <protection locked="0"/>
    </xf>
    <xf numFmtId="0" fontId="3" fillId="0" borderId="10" xfId="0" applyFont="1" applyBorder="1" applyAlignment="1" applyProtection="1">
      <alignment horizontal="center" vertical="center" wrapText="1"/>
      <protection locked="0"/>
    </xf>
    <xf numFmtId="0" fontId="3" fillId="0" borderId="46" xfId="0" applyFont="1" applyBorder="1" applyAlignment="1" applyProtection="1">
      <alignment horizontal="center" vertical="center" wrapText="1"/>
      <protection locked="0"/>
    </xf>
    <xf numFmtId="164" fontId="3" fillId="0" borderId="20" xfId="1" applyNumberFormat="1" applyFont="1" applyFill="1" applyBorder="1" applyAlignment="1" applyProtection="1">
      <alignment horizontal="center" vertical="center" wrapText="1"/>
      <protection locked="0"/>
    </xf>
    <xf numFmtId="164" fontId="28" fillId="0" borderId="16" xfId="0" applyNumberFormat="1" applyFont="1" applyBorder="1" applyAlignment="1" applyProtection="1">
      <alignment horizontal="center" vertical="center" wrapText="1"/>
      <protection locked="0"/>
    </xf>
    <xf numFmtId="0" fontId="28" fillId="0" borderId="16" xfId="0" applyFont="1" applyBorder="1" applyAlignment="1" applyProtection="1">
      <alignment horizontal="center" vertical="center" wrapText="1"/>
      <protection locked="0"/>
    </xf>
    <xf numFmtId="0" fontId="28" fillId="0" borderId="17" xfId="0" applyFont="1" applyBorder="1" applyAlignment="1" applyProtection="1">
      <alignment horizontal="center" vertical="center" wrapText="1"/>
      <protection locked="0"/>
    </xf>
    <xf numFmtId="0" fontId="28" fillId="0" borderId="0" xfId="0" applyFont="1" applyAlignment="1" applyProtection="1">
      <alignment horizontal="center" vertical="center" wrapText="1"/>
      <protection locked="0"/>
    </xf>
    <xf numFmtId="0" fontId="28" fillId="0" borderId="7" xfId="0" applyFont="1" applyBorder="1" applyAlignment="1" applyProtection="1">
      <alignment horizontal="center" vertical="center" wrapText="1"/>
      <protection locked="0"/>
    </xf>
    <xf numFmtId="0" fontId="28" fillId="0" borderId="9" xfId="0" applyFont="1" applyBorder="1" applyAlignment="1" applyProtection="1">
      <alignment horizontal="center" vertical="center" wrapText="1"/>
      <protection locked="0"/>
    </xf>
    <xf numFmtId="0" fontId="28" fillId="0" borderId="18" xfId="0" applyFont="1" applyBorder="1" applyAlignment="1" applyProtection="1">
      <alignment horizontal="center" vertical="center" wrapText="1"/>
      <protection locked="0"/>
    </xf>
    <xf numFmtId="0" fontId="5" fillId="5" borderId="13" xfId="0" applyFont="1" applyFill="1" applyBorder="1" applyAlignment="1" applyProtection="1">
      <alignment horizontal="center" vertical="center" wrapText="1"/>
      <protection locked="0"/>
    </xf>
    <xf numFmtId="0" fontId="5" fillId="5" borderId="19" xfId="0" applyFont="1" applyFill="1" applyBorder="1" applyAlignment="1" applyProtection="1">
      <alignment horizontal="center" vertical="center" wrapText="1"/>
      <protection locked="0"/>
    </xf>
    <xf numFmtId="0" fontId="3" fillId="0" borderId="16" xfId="0" applyFont="1" applyBorder="1" applyAlignment="1" applyProtection="1">
      <alignment horizontal="right" vertical="center" wrapText="1"/>
      <protection locked="0"/>
    </xf>
    <xf numFmtId="0" fontId="3" fillId="0" borderId="17" xfId="0" applyFont="1" applyBorder="1" applyAlignment="1" applyProtection="1">
      <alignment horizontal="right" vertical="center" wrapText="1"/>
      <protection locked="0"/>
    </xf>
    <xf numFmtId="0" fontId="3" fillId="0" borderId="9" xfId="0" applyFont="1" applyBorder="1" applyAlignment="1" applyProtection="1">
      <alignment horizontal="right" vertical="center" wrapText="1"/>
      <protection locked="0"/>
    </xf>
    <xf numFmtId="0" fontId="3" fillId="0" borderId="18" xfId="0" applyFont="1" applyBorder="1" applyAlignment="1" applyProtection="1">
      <alignment horizontal="right" vertical="center" wrapText="1"/>
      <protection locked="0"/>
    </xf>
    <xf numFmtId="6" fontId="3" fillId="0" borderId="15" xfId="0" applyNumberFormat="1" applyFont="1" applyBorder="1" applyAlignment="1" applyProtection="1">
      <alignment horizontal="center" vertical="center" wrapText="1"/>
      <protection locked="0"/>
    </xf>
    <xf numFmtId="0" fontId="3" fillId="0" borderId="17" xfId="0" applyFont="1" applyBorder="1" applyAlignment="1" applyProtection="1">
      <alignment horizontal="center" vertical="center" wrapText="1"/>
      <protection locked="0"/>
    </xf>
    <xf numFmtId="0" fontId="3" fillId="0" borderId="18" xfId="0" applyFont="1" applyBorder="1" applyAlignment="1" applyProtection="1">
      <alignment horizontal="center" vertical="center" wrapText="1"/>
      <protection locked="0"/>
    </xf>
    <xf numFmtId="164" fontId="3" fillId="0" borderId="29" xfId="1" applyNumberFormat="1" applyFont="1" applyFill="1" applyBorder="1" applyAlignment="1" applyProtection="1">
      <alignment horizontal="center" vertical="center" wrapText="1"/>
      <protection locked="0"/>
    </xf>
    <xf numFmtId="0" fontId="2" fillId="0" borderId="48" xfId="0" applyFont="1" applyBorder="1" applyAlignment="1" applyProtection="1">
      <alignment horizontal="center" vertical="center"/>
      <protection locked="0"/>
    </xf>
    <xf numFmtId="0" fontId="2" fillId="0" borderId="30" xfId="0" applyFont="1" applyBorder="1" applyAlignment="1" applyProtection="1">
      <alignment horizontal="center" vertical="center"/>
      <protection locked="0"/>
    </xf>
    <xf numFmtId="164" fontId="3" fillId="0" borderId="15" xfId="0" applyNumberFormat="1" applyFont="1" applyBorder="1" applyAlignment="1" applyProtection="1">
      <alignment horizontal="center" vertical="center" wrapText="1"/>
      <protection locked="0"/>
    </xf>
    <xf numFmtId="164" fontId="3" fillId="0" borderId="17" xfId="0" applyNumberFormat="1" applyFont="1" applyBorder="1" applyAlignment="1" applyProtection="1">
      <alignment horizontal="center" vertical="center" wrapText="1"/>
      <protection locked="0"/>
    </xf>
    <xf numFmtId="164" fontId="3" fillId="0" borderId="14" xfId="0" applyNumberFormat="1" applyFont="1" applyBorder="1" applyAlignment="1" applyProtection="1">
      <alignment horizontal="center" vertical="center" wrapText="1"/>
      <protection locked="0"/>
    </xf>
    <xf numFmtId="164" fontId="3" fillId="0" borderId="18" xfId="0" applyNumberFormat="1" applyFont="1" applyBorder="1" applyAlignment="1" applyProtection="1">
      <alignment horizontal="center" vertical="center" wrapText="1"/>
      <protection locked="0"/>
    </xf>
    <xf numFmtId="0" fontId="3" fillId="0" borderId="13" xfId="0" applyFont="1" applyBorder="1" applyAlignment="1" applyProtection="1">
      <alignment horizontal="center" vertical="center" wrapText="1"/>
      <protection locked="0"/>
    </xf>
    <xf numFmtId="0" fontId="3" fillId="0" borderId="32" xfId="0" applyFont="1" applyBorder="1" applyAlignment="1" applyProtection="1">
      <alignment horizontal="center" vertical="center" wrapText="1"/>
      <protection locked="0"/>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8" xfId="0" applyFont="1" applyFill="1" applyBorder="1" applyAlignment="1">
      <alignment horizontal="center" vertical="center"/>
    </xf>
    <xf numFmtId="164" fontId="14" fillId="0" borderId="16" xfId="0" applyNumberFormat="1" applyFont="1" applyBorder="1" applyAlignment="1">
      <alignment horizontal="center" vertical="center" wrapText="1"/>
    </xf>
    <xf numFmtId="164" fontId="14" fillId="0" borderId="17" xfId="0" applyNumberFormat="1" applyFont="1" applyBorder="1" applyAlignment="1">
      <alignment horizontal="center" vertical="center" wrapText="1"/>
    </xf>
    <xf numFmtId="164" fontId="14" fillId="0" borderId="0" xfId="0" applyNumberFormat="1" applyFont="1" applyAlignment="1">
      <alignment horizontal="center" vertical="center" wrapText="1"/>
    </xf>
    <xf numFmtId="164" fontId="14" fillId="0" borderId="7" xfId="0" applyNumberFormat="1" applyFont="1" applyBorder="1" applyAlignment="1">
      <alignment horizontal="center" vertical="center" wrapText="1"/>
    </xf>
    <xf numFmtId="164" fontId="14" fillId="0" borderId="9" xfId="0" applyNumberFormat="1" applyFont="1" applyBorder="1" applyAlignment="1">
      <alignment horizontal="center" vertical="center" wrapText="1"/>
    </xf>
    <xf numFmtId="164" fontId="14" fillId="0" borderId="18" xfId="0" applyNumberFormat="1" applyFont="1" applyBorder="1" applyAlignment="1">
      <alignment horizontal="center" vertical="center" wrapText="1"/>
    </xf>
    <xf numFmtId="0" fontId="3" fillId="12" borderId="16" xfId="0" applyFont="1" applyFill="1" applyBorder="1" applyAlignment="1">
      <alignment horizontal="center" vertical="center" wrapText="1"/>
    </xf>
    <xf numFmtId="0" fontId="3" fillId="12" borderId="17" xfId="0" applyFont="1" applyFill="1" applyBorder="1" applyAlignment="1">
      <alignment horizontal="center" vertical="center" wrapText="1"/>
    </xf>
    <xf numFmtId="0" fontId="3" fillId="12" borderId="9" xfId="0" applyFont="1" applyFill="1" applyBorder="1" applyAlignment="1">
      <alignment horizontal="center" vertical="center" wrapText="1"/>
    </xf>
    <xf numFmtId="0" fontId="3" fillId="12" borderId="18" xfId="0" applyFont="1" applyFill="1" applyBorder="1" applyAlignment="1">
      <alignment horizontal="center" vertical="center" wrapText="1"/>
    </xf>
    <xf numFmtId="0" fontId="9" fillId="12" borderId="15" xfId="0" applyFont="1" applyFill="1" applyBorder="1" applyAlignment="1">
      <alignment horizontal="center" vertical="center" wrapText="1"/>
    </xf>
    <xf numFmtId="0" fontId="9" fillId="12" borderId="16" xfId="0" applyFont="1" applyFill="1" applyBorder="1" applyAlignment="1">
      <alignment horizontal="center" vertical="center" wrapText="1"/>
    </xf>
    <xf numFmtId="0" fontId="9" fillId="12" borderId="17" xfId="0" applyFont="1" applyFill="1" applyBorder="1" applyAlignment="1">
      <alignment horizontal="center" vertical="center" wrapText="1"/>
    </xf>
    <xf numFmtId="0" fontId="9" fillId="12" borderId="14" xfId="0" applyFont="1" applyFill="1" applyBorder="1" applyAlignment="1">
      <alignment horizontal="center" vertical="center" wrapText="1"/>
    </xf>
    <xf numFmtId="0" fontId="9" fillId="12" borderId="9" xfId="0" applyFont="1" applyFill="1" applyBorder="1" applyAlignment="1">
      <alignment horizontal="center" vertical="center" wrapText="1"/>
    </xf>
    <xf numFmtId="0" fontId="9" fillId="12" borderId="18" xfId="0" applyFont="1" applyFill="1" applyBorder="1" applyAlignment="1">
      <alignment horizontal="center" vertical="center" wrapText="1"/>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7"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0" xfId="0" applyFont="1" applyFill="1" applyAlignment="1">
      <alignment horizontal="center" vertical="center"/>
    </xf>
    <xf numFmtId="0" fontId="2" fillId="4" borderId="7" xfId="0" applyFont="1" applyFill="1" applyBorder="1" applyAlignment="1">
      <alignment horizontal="center" vertical="center"/>
    </xf>
    <xf numFmtId="0" fontId="8" fillId="12" borderId="15" xfId="0" applyFont="1" applyFill="1" applyBorder="1" applyAlignment="1">
      <alignment horizontal="center" vertical="top"/>
    </xf>
    <xf numFmtId="0" fontId="8" fillId="12" borderId="16" xfId="0" applyFont="1" applyFill="1" applyBorder="1" applyAlignment="1">
      <alignment horizontal="center" vertical="top"/>
    </xf>
    <xf numFmtId="0" fontId="8" fillId="12" borderId="17" xfId="0" applyFont="1" applyFill="1" applyBorder="1" applyAlignment="1">
      <alignment horizontal="center" vertical="top"/>
    </xf>
    <xf numFmtId="0" fontId="2" fillId="12" borderId="13" xfId="0" applyFont="1" applyFill="1" applyBorder="1" applyAlignment="1">
      <alignment horizontal="center" vertical="center"/>
    </xf>
    <xf numFmtId="0" fontId="2" fillId="12" borderId="19"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9" xfId="0" applyFont="1" applyBorder="1" applyAlignment="1">
      <alignment horizontal="center" vertical="center"/>
    </xf>
    <xf numFmtId="0" fontId="9" fillId="0" borderId="18" xfId="0" applyFont="1" applyBorder="1" applyAlignment="1">
      <alignment horizontal="center" vertical="center"/>
    </xf>
    <xf numFmtId="0" fontId="8" fillId="12" borderId="13" xfId="0" applyFont="1" applyFill="1" applyBorder="1" applyAlignment="1">
      <alignment horizontal="center" vertical="center" wrapText="1"/>
    </xf>
    <xf numFmtId="0" fontId="8" fillId="12" borderId="19" xfId="0" applyFont="1" applyFill="1" applyBorder="1" applyAlignment="1">
      <alignment horizontal="center" vertical="center" wrapText="1"/>
    </xf>
    <xf numFmtId="0" fontId="3" fillId="6" borderId="13" xfId="0" applyFont="1" applyFill="1" applyBorder="1" applyAlignment="1">
      <alignment horizontal="left" vertical="center" wrapText="1"/>
    </xf>
    <xf numFmtId="0" fontId="3" fillId="6" borderId="19" xfId="0" applyFont="1" applyFill="1" applyBorder="1" applyAlignment="1">
      <alignment horizontal="left" vertical="center" wrapText="1"/>
    </xf>
    <xf numFmtId="0" fontId="3" fillId="12" borderId="10" xfId="0" applyFont="1" applyFill="1" applyBorder="1" applyAlignment="1">
      <alignment horizontal="center" vertical="center" wrapText="1"/>
    </xf>
    <xf numFmtId="0" fontId="3" fillId="12" borderId="19"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6"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5" fillId="12" borderId="16" xfId="0" applyFont="1" applyFill="1" applyBorder="1" applyAlignment="1" applyProtection="1">
      <alignment horizontal="center" vertical="center" wrapText="1"/>
      <protection locked="0"/>
    </xf>
    <xf numFmtId="0" fontId="5" fillId="12" borderId="0" xfId="0" applyFont="1" applyFill="1" applyAlignment="1" applyProtection="1">
      <alignment horizontal="center" vertical="center" wrapText="1"/>
      <protection locked="0"/>
    </xf>
    <xf numFmtId="0" fontId="5" fillId="12" borderId="9" xfId="0" applyFont="1" applyFill="1" applyBorder="1" applyAlignment="1" applyProtection="1">
      <alignment horizontal="center" vertical="center" wrapText="1"/>
      <protection locked="0"/>
    </xf>
    <xf numFmtId="0" fontId="5" fillId="5" borderId="10" xfId="0" applyFont="1" applyFill="1" applyBorder="1" applyAlignment="1" applyProtection="1">
      <alignment horizontal="center" vertical="center" wrapText="1"/>
      <protection locked="0"/>
    </xf>
    <xf numFmtId="0" fontId="2" fillId="0" borderId="15"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2" fillId="0" borderId="14" xfId="0" applyFont="1" applyBorder="1" applyAlignment="1" applyProtection="1">
      <alignment horizontal="center" vertical="center" wrapText="1"/>
      <protection locked="0"/>
    </xf>
    <xf numFmtId="0" fontId="3" fillId="12" borderId="13" xfId="0" applyFont="1" applyFill="1" applyBorder="1" applyAlignment="1">
      <alignment horizontal="center" vertical="center" wrapText="1"/>
    </xf>
    <xf numFmtId="0" fontId="3" fillId="0" borderId="0" xfId="0" applyFont="1" applyAlignment="1" applyProtection="1">
      <alignment horizontal="left" vertical="top" wrapText="1"/>
      <protection locked="0"/>
    </xf>
    <xf numFmtId="0" fontId="3" fillId="0" borderId="23" xfId="0" applyFont="1" applyBorder="1" applyAlignment="1" applyProtection="1">
      <alignment horizontal="left" vertical="top" wrapText="1"/>
      <protection locked="0"/>
    </xf>
    <xf numFmtId="0" fontId="3" fillId="0" borderId="9" xfId="0" applyFont="1" applyBorder="1" applyAlignment="1" applyProtection="1">
      <alignment horizontal="left" vertical="top" wrapText="1"/>
      <protection locked="0"/>
    </xf>
    <xf numFmtId="0" fontId="3" fillId="0" borderId="26" xfId="0" applyFont="1" applyBorder="1" applyAlignment="1" applyProtection="1">
      <alignment horizontal="left" vertical="top" wrapText="1"/>
      <protection locked="0"/>
    </xf>
    <xf numFmtId="0" fontId="3" fillId="0" borderId="16" xfId="0" applyFont="1" applyBorder="1" applyAlignment="1">
      <alignment horizontal="left" vertical="center"/>
    </xf>
    <xf numFmtId="0" fontId="3" fillId="0" borderId="25" xfId="0" applyFont="1" applyBorder="1" applyAlignment="1">
      <alignment horizontal="left" vertical="center"/>
    </xf>
    <xf numFmtId="0" fontId="15" fillId="0" borderId="0" xfId="0" applyFont="1" applyAlignment="1">
      <alignment horizontal="center"/>
    </xf>
    <xf numFmtId="0" fontId="15" fillId="0" borderId="0" xfId="0" applyFont="1" applyAlignment="1">
      <alignment horizontal="left"/>
    </xf>
  </cellXfs>
  <cellStyles count="4">
    <cellStyle name="Currency" xfId="1" builtinId="4"/>
    <cellStyle name="Hyperlink" xfId="2" builtinId="8" customBuiltin="1"/>
    <cellStyle name="Normal" xfId="0" builtinId="0"/>
    <cellStyle name="Style 1" xfId="3" xr:uid="{EB0C4EBE-7401-44A6-9636-979B631BE7D6}"/>
  </cellStyles>
  <dxfs count="3">
    <dxf>
      <font>
        <strike/>
      </font>
    </dxf>
    <dxf>
      <font>
        <strike/>
      </font>
    </dxf>
    <dxf>
      <font>
        <strike/>
      </font>
    </dxf>
  </dxfs>
  <tableStyles count="0" defaultTableStyle="TableStyleMedium2" defaultPivotStyle="PivotStyleLight16"/>
  <colors>
    <mruColors>
      <color rgb="FFF68D2E"/>
      <color rgb="FF480A05"/>
      <color rgb="FF0048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obbie Bosar" id="{2014AF00-D334-4F63-A276-4DA5681C2690}" userId="Robbie Bos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8" dT="2022-12-12T18:18:15.98" personId="{2014AF00-D334-4F63-A276-4DA5681C2690}" id="{FA6BBAB7-FC1D-43D0-9C48-B5DAA820AC76}">
    <text>Edit</text>
  </threadedComment>
  <threadedComment ref="AC11" dT="2022-12-12T18:18:35.09" personId="{2014AF00-D334-4F63-A276-4DA5681C2690}" id="{73735E3B-2050-4F2D-95EF-FCFF204EC7B3}">
    <text>Edit</text>
  </threadedComment>
  <threadedComment ref="AC59" dT="2022-12-12T18:22:56.34" personId="{2014AF00-D334-4F63-A276-4DA5681C2690}" id="{02B2463B-6775-4C7E-868E-B986DCDBF4A0}">
    <text>Override if needed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119"/>
  <sheetViews>
    <sheetView tabSelected="1" view="pageLayout" zoomScaleNormal="100" workbookViewId="0">
      <selection activeCell="T4" sqref="T4"/>
    </sheetView>
  </sheetViews>
  <sheetFormatPr defaultColWidth="8.625" defaultRowHeight="15"/>
  <cols>
    <col min="1" max="27" width="4" style="1" customWidth="1"/>
    <col min="28" max="28" width="19.875" style="56" customWidth="1"/>
    <col min="29" max="33" width="14.125" style="1" customWidth="1"/>
    <col min="34" max="16384" width="8.625" style="1"/>
  </cols>
  <sheetData>
    <row r="1" spans="1:33" ht="15" customHeight="1" thickBot="1">
      <c r="A1" s="250" t="s">
        <v>0</v>
      </c>
      <c r="B1" s="251"/>
      <c r="C1" s="251"/>
      <c r="D1" s="251"/>
      <c r="E1" s="251"/>
      <c r="F1" s="251"/>
      <c r="G1" s="251"/>
      <c r="H1" s="251"/>
      <c r="I1" s="251"/>
      <c r="J1" s="251"/>
      <c r="K1" s="251"/>
      <c r="L1" s="251"/>
      <c r="M1" s="251"/>
      <c r="N1" s="251"/>
      <c r="O1" s="251"/>
      <c r="P1" s="251"/>
      <c r="Q1" s="251"/>
      <c r="R1" s="251"/>
      <c r="S1" s="251"/>
      <c r="T1" s="251"/>
      <c r="U1" s="251"/>
      <c r="V1" s="251"/>
      <c r="W1" s="251"/>
      <c r="X1" s="251"/>
      <c r="Y1" s="251"/>
      <c r="Z1" s="251"/>
      <c r="AA1" s="251"/>
      <c r="AB1" s="252"/>
      <c r="AC1" s="310" t="s">
        <v>1</v>
      </c>
      <c r="AD1" s="310"/>
      <c r="AE1" s="310"/>
      <c r="AF1" s="310"/>
      <c r="AG1" s="311"/>
    </row>
    <row r="2" spans="1:33" ht="15" customHeight="1" thickBot="1">
      <c r="A2" s="28" t="s">
        <v>2</v>
      </c>
      <c r="B2" s="25"/>
      <c r="C2" s="25"/>
      <c r="D2" s="25"/>
      <c r="E2" s="25"/>
      <c r="F2" s="25"/>
      <c r="G2" s="25"/>
      <c r="H2" s="25"/>
      <c r="I2" s="29" t="s">
        <v>3</v>
      </c>
      <c r="J2" s="25"/>
      <c r="K2" s="25"/>
      <c r="L2" s="25"/>
      <c r="M2" s="25"/>
      <c r="N2" s="25"/>
      <c r="O2" s="29"/>
      <c r="P2" s="25"/>
      <c r="Q2" s="25"/>
      <c r="R2" s="25"/>
      <c r="S2" s="25"/>
      <c r="T2" s="25"/>
      <c r="U2" s="25"/>
      <c r="V2" s="25"/>
      <c r="W2" s="25"/>
      <c r="X2" s="25"/>
      <c r="Y2" s="25"/>
      <c r="Z2" s="25"/>
      <c r="AA2" s="25"/>
      <c r="AB2" s="101"/>
      <c r="AC2" s="37" t="s">
        <v>4</v>
      </c>
      <c r="AD2" s="261"/>
      <c r="AE2" s="261"/>
      <c r="AF2" s="261"/>
      <c r="AG2" s="262"/>
    </row>
    <row r="3" spans="1:33" ht="15" customHeight="1" thickBot="1">
      <c r="A3" s="30"/>
      <c r="B3" s="239"/>
      <c r="C3" s="240"/>
      <c r="D3" s="240"/>
      <c r="E3" s="240"/>
      <c r="F3" s="240"/>
      <c r="G3" s="241"/>
      <c r="H3" s="24"/>
      <c r="I3" s="31"/>
      <c r="J3" s="239"/>
      <c r="K3" s="240"/>
      <c r="L3" s="240"/>
      <c r="M3" s="241"/>
      <c r="N3" s="24"/>
      <c r="O3" s="26"/>
      <c r="P3" s="26"/>
      <c r="Q3" s="26"/>
      <c r="R3" s="26"/>
      <c r="S3" s="26"/>
      <c r="T3" s="26"/>
      <c r="U3" s="26"/>
      <c r="V3" s="26"/>
      <c r="W3" s="26"/>
      <c r="X3" s="26"/>
      <c r="Y3" s="26"/>
      <c r="Z3" s="26"/>
      <c r="AA3" s="31"/>
      <c r="AB3" s="110" t="str">
        <f>IF(AND(Quote_Trailer_Model=Extreme_OffRoad,Quote_Trailer_Size=Size_5x10),"Error",IF(AND(Quote_Trailer_Model="",Quote_Trailer_Size=""),"Select Size/Model",IF(AND(Quote_Trailer_Model&lt;&gt;"",Quote_Trailer_Size=""),"Select Size",IF(AND(Quote_Trailer_Model="",Quote_Trailer_Size&lt;&gt;""),"Select Model",IF(Quote_Trailer_Model=Highway_Deluxe,VLOOKUP(Quote_Trailer_Size,HD_Price_List,3,FALSE),IF(Quote_Trailer_Model=MidRange_Deluxe,VLOOKUP(Quote_Trailer_Size,MR_Price_List,3,FALSE),IF(Quote_Trailer_Model=MidRange_XL,VLOOKUP(Quote_Trailer_Size,XL_Price_List,3,FALSE),IF(Quote_Trailer_Model=Extreme_OffRoad,VLOOKUP(Quote_Trailer_Size,EOR_Price_List,3,FALSE),"Error"))))))))</f>
        <v>Select Size/Model</v>
      </c>
      <c r="AC3" s="38" t="s">
        <v>5</v>
      </c>
      <c r="AD3" s="263"/>
      <c r="AE3" s="264"/>
      <c r="AF3" s="264"/>
      <c r="AG3" s="265"/>
    </row>
    <row r="4" spans="1:33" ht="15" customHeight="1" thickBot="1">
      <c r="A4" s="27" t="s">
        <v>6</v>
      </c>
      <c r="B4" s="47"/>
      <c r="C4" s="49"/>
      <c r="D4" s="47"/>
      <c r="E4" s="47"/>
      <c r="F4" s="47"/>
      <c r="G4" s="47"/>
      <c r="H4" s="47"/>
      <c r="I4" s="45"/>
      <c r="J4" s="45" t="s">
        <v>7</v>
      </c>
      <c r="K4" s="49"/>
      <c r="L4" s="47"/>
      <c r="M4" s="47"/>
      <c r="N4" s="47"/>
      <c r="O4" s="45"/>
      <c r="P4" s="45"/>
      <c r="Q4" s="47"/>
      <c r="R4" s="47"/>
      <c r="S4" s="47"/>
      <c r="T4" s="47"/>
      <c r="U4" s="47"/>
      <c r="V4" s="45"/>
      <c r="W4" s="45"/>
      <c r="X4" s="45"/>
      <c r="Y4" s="45"/>
      <c r="Z4" s="45"/>
      <c r="AA4" s="45"/>
      <c r="AB4" s="102"/>
      <c r="AC4" s="39" t="s">
        <v>8</v>
      </c>
      <c r="AD4" s="266"/>
      <c r="AE4" s="267"/>
      <c r="AF4" s="267"/>
      <c r="AG4" s="268"/>
    </row>
    <row r="5" spans="1:33" ht="15" customHeight="1" thickBot="1">
      <c r="A5" s="51"/>
      <c r="B5" s="108"/>
      <c r="C5" s="24" t="s">
        <v>9</v>
      </c>
      <c r="D5" s="26"/>
      <c r="E5" s="31"/>
      <c r="F5" s="109"/>
      <c r="G5" s="24" t="s">
        <v>10</v>
      </c>
      <c r="H5" s="26"/>
      <c r="I5" s="31"/>
      <c r="J5" s="239"/>
      <c r="K5" s="240"/>
      <c r="L5" s="240"/>
      <c r="M5" s="240"/>
      <c r="N5" s="240"/>
      <c r="O5" s="240"/>
      <c r="P5" s="241"/>
      <c r="Q5" s="43"/>
      <c r="R5" s="43"/>
      <c r="S5" s="43"/>
      <c r="T5" s="43"/>
      <c r="U5" s="43"/>
      <c r="V5" s="26"/>
      <c r="W5" s="26"/>
      <c r="X5" s="26"/>
      <c r="Y5" s="26"/>
      <c r="Z5" s="26"/>
      <c r="AA5" s="26"/>
      <c r="AB5" s="110" t="str">
        <f>IF(AND(Quote_Color_Premium="x",Quote_Color_Standard="x"),"Error",IF(Quote_Color_Selection="","Select One",IF(Quote_Color_Premium="x",VLOOKUP(Quote_Color_Selection,Premium_Color_Price,3,FALSE),IF(Quote_Color_Standard="x","Standard","Error"))))</f>
        <v>Select One</v>
      </c>
      <c r="AC5" s="269" t="s">
        <v>11</v>
      </c>
      <c r="AD5" s="271"/>
      <c r="AE5" s="272"/>
      <c r="AF5" s="272"/>
      <c r="AG5" s="273"/>
    </row>
    <row r="6" spans="1:33" ht="15" customHeight="1" thickBot="1">
      <c r="A6" s="27" t="s">
        <v>12</v>
      </c>
      <c r="B6" s="45"/>
      <c r="C6" s="45"/>
      <c r="D6" s="45"/>
      <c r="E6" s="45"/>
      <c r="F6" s="45"/>
      <c r="G6" s="45"/>
      <c r="H6" s="45"/>
      <c r="I6" s="45"/>
      <c r="J6" s="45"/>
      <c r="K6" s="45"/>
      <c r="L6" s="45"/>
      <c r="M6" s="45"/>
      <c r="N6" s="45"/>
      <c r="O6" s="45"/>
      <c r="P6" s="45"/>
      <c r="Q6" s="45"/>
      <c r="R6" s="45"/>
      <c r="S6" s="45"/>
      <c r="T6" s="45"/>
      <c r="U6" s="45"/>
      <c r="V6" s="45"/>
      <c r="W6" s="45"/>
      <c r="X6" s="45"/>
      <c r="Y6" s="45"/>
      <c r="Z6" s="45"/>
      <c r="AA6" s="45"/>
      <c r="AB6" s="102"/>
      <c r="AC6" s="270"/>
      <c r="AD6" s="274"/>
      <c r="AE6" s="275"/>
      <c r="AF6" s="10" t="s">
        <v>13</v>
      </c>
      <c r="AG6" s="73" t="s">
        <v>14</v>
      </c>
    </row>
    <row r="7" spans="1:33" ht="15" customHeight="1" thickBot="1">
      <c r="A7" s="32"/>
      <c r="B7" s="109"/>
      <c r="C7" s="45" t="s">
        <v>15</v>
      </c>
      <c r="D7" s="45"/>
      <c r="E7" s="45"/>
      <c r="F7" s="46" t="s">
        <v>16</v>
      </c>
      <c r="G7" s="239"/>
      <c r="H7" s="240"/>
      <c r="I7" s="240"/>
      <c r="J7" s="240"/>
      <c r="K7" s="240"/>
      <c r="L7" s="240"/>
      <c r="M7" s="241"/>
      <c r="N7" s="45"/>
      <c r="O7" s="45"/>
      <c r="P7" s="45" t="s">
        <v>6</v>
      </c>
      <c r="Q7" s="45"/>
      <c r="R7" s="45"/>
      <c r="S7" s="45"/>
      <c r="T7" s="45"/>
      <c r="U7" s="45"/>
      <c r="V7" s="45"/>
      <c r="W7" s="45"/>
      <c r="X7" s="45"/>
      <c r="Y7" s="45"/>
      <c r="Z7" s="45"/>
      <c r="AA7" s="45"/>
      <c r="AB7" s="110">
        <f>IF(AND(Quote_Front_DPlate="",Quote_Front_DPlate_Selection&lt;&gt;""),"Check Selection",IF(AND(Quote_Front_DPlate="x",Quote_Front_DPlate_Selection=""),"Select Type",IF(Quote_Front_DPlate="x",VLOOKUP(Quote_Front_DPlate_Selection,Front_DPlate_Price,3,FALSE),0)))</f>
        <v>0</v>
      </c>
      <c r="AC7" s="179" t="s">
        <v>17</v>
      </c>
      <c r="AD7" s="180"/>
      <c r="AE7" s="181"/>
      <c r="AF7" s="182"/>
      <c r="AG7" s="183"/>
    </row>
    <row r="8" spans="1:33" ht="15" customHeight="1" thickBot="1">
      <c r="A8" s="30"/>
      <c r="B8" s="109"/>
      <c r="C8" s="24" t="s">
        <v>18</v>
      </c>
      <c r="D8" s="26"/>
      <c r="E8" s="43"/>
      <c r="F8" s="33" t="s">
        <v>16</v>
      </c>
      <c r="G8" s="239"/>
      <c r="H8" s="240"/>
      <c r="I8" s="240"/>
      <c r="J8" s="240"/>
      <c r="K8" s="240"/>
      <c r="L8" s="240"/>
      <c r="M8" s="241"/>
      <c r="N8" s="52"/>
      <c r="O8" s="62"/>
      <c r="P8" s="239"/>
      <c r="Q8" s="240"/>
      <c r="R8" s="240"/>
      <c r="S8" s="241"/>
      <c r="T8" s="52"/>
      <c r="U8" s="43"/>
      <c r="V8" s="26"/>
      <c r="W8" s="26"/>
      <c r="X8" s="26"/>
      <c r="Y8" s="26"/>
      <c r="Z8" s="26"/>
      <c r="AA8" s="31"/>
      <c r="AB8" s="110">
        <f>IF(AND(Quote_Side_DPlate="",Quote_Side_DPlate_Selection&lt;&gt;""),"Check Selection",IF(AND(Quote_Side_DPlate="x",Quote_Side_DPlate_Selection=""),"Select Type",IF(Quote_Side_DPlate="x",VLOOKUP(Quote_Side_DPlate_Selection,Side_DPlate_Price,3,FALSE),0)))</f>
        <v>0</v>
      </c>
      <c r="AC8" s="184">
        <v>44562</v>
      </c>
      <c r="AD8" s="185"/>
      <c r="AE8" s="188" t="s">
        <v>19</v>
      </c>
      <c r="AF8" s="188"/>
      <c r="AG8" s="189"/>
    </row>
    <row r="9" spans="1:33" ht="15" customHeight="1" thickBot="1">
      <c r="A9" s="27" t="s">
        <v>20</v>
      </c>
      <c r="B9" s="45"/>
      <c r="C9" s="45"/>
      <c r="D9" s="45"/>
      <c r="E9" s="45"/>
      <c r="F9" s="45"/>
      <c r="G9" s="45"/>
      <c r="H9" s="45"/>
      <c r="I9" s="45"/>
      <c r="J9" s="45"/>
      <c r="K9" s="45"/>
      <c r="L9" s="45"/>
      <c r="M9" s="45"/>
      <c r="N9" s="45"/>
      <c r="O9" s="45"/>
      <c r="P9" s="45"/>
      <c r="Q9" s="45"/>
      <c r="R9" s="45"/>
      <c r="S9" s="45"/>
      <c r="T9" s="45"/>
      <c r="U9" s="45"/>
      <c r="V9" s="45"/>
      <c r="W9" s="45"/>
      <c r="X9" s="45"/>
      <c r="Y9" s="45"/>
      <c r="Z9" s="45"/>
      <c r="AA9" s="45"/>
      <c r="AB9" s="102"/>
      <c r="AC9" s="186"/>
      <c r="AD9" s="187"/>
      <c r="AE9" s="190"/>
      <c r="AF9" s="190"/>
      <c r="AG9" s="191"/>
    </row>
    <row r="10" spans="1:33" ht="15" customHeight="1" thickBot="1">
      <c r="A10" s="27"/>
      <c r="B10" s="45" t="s">
        <v>21</v>
      </c>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102"/>
      <c r="AC10" s="276" t="s">
        <v>22</v>
      </c>
      <c r="AD10" s="276"/>
      <c r="AE10" s="276"/>
      <c r="AF10" s="276"/>
      <c r="AG10" s="277"/>
    </row>
    <row r="11" spans="1:33" ht="15" customHeight="1" thickBot="1">
      <c r="A11" s="32"/>
      <c r="B11" s="109"/>
      <c r="C11" s="45" t="s">
        <v>23</v>
      </c>
      <c r="D11" s="45"/>
      <c r="E11" s="45"/>
      <c r="F11" s="45"/>
      <c r="G11" s="45"/>
      <c r="H11" s="45"/>
      <c r="I11" s="46"/>
      <c r="J11" s="46" t="s">
        <v>24</v>
      </c>
      <c r="K11" s="239"/>
      <c r="L11" s="240"/>
      <c r="M11" s="240"/>
      <c r="N11" s="240"/>
      <c r="O11" s="240"/>
      <c r="P11" s="240"/>
      <c r="Q11" s="241"/>
      <c r="R11" s="45"/>
      <c r="S11" s="239"/>
      <c r="T11" s="240"/>
      <c r="U11" s="241"/>
      <c r="V11" s="331" t="str">
        <f>IF(Quote_Door_Color="","*Choose a Color","")</f>
        <v>*Choose a Color</v>
      </c>
      <c r="W11" s="332"/>
      <c r="X11" s="332"/>
      <c r="Y11" s="332"/>
      <c r="Z11" s="332"/>
      <c r="AA11" s="333"/>
      <c r="AB11" s="110" t="str">
        <f>IF(V11&lt;&gt;"","Error",IF(Quote_Door_Type="","Check Selection",IF(Quote_Add_2nd_Door="x",VLOOKUP(Quote_Door_Type,Second_Door_Price,3,FALSE),VLOOKUP(Quote_Door_Type,Single_Door_Price,3,FALSE))))</f>
        <v>Error</v>
      </c>
      <c r="AC11" s="40" t="s">
        <v>25</v>
      </c>
      <c r="AD11" s="312"/>
      <c r="AE11" s="312"/>
      <c r="AF11" s="312"/>
      <c r="AG11" s="313"/>
    </row>
    <row r="12" spans="1:33" ht="15" customHeight="1" thickBot="1">
      <c r="A12" s="30"/>
      <c r="B12" s="109"/>
      <c r="C12" s="24" t="s">
        <v>26</v>
      </c>
      <c r="D12" s="26"/>
      <c r="E12" s="26"/>
      <c r="F12" s="26"/>
      <c r="G12" s="26"/>
      <c r="H12" s="26"/>
      <c r="I12" s="26"/>
      <c r="J12" s="26"/>
      <c r="K12" s="249" t="str">
        <f>IF(ISNA(AB11),"*Redo Door Selection","")</f>
        <v/>
      </c>
      <c r="L12" s="249"/>
      <c r="M12" s="249"/>
      <c r="N12" s="249"/>
      <c r="O12" s="249"/>
      <c r="P12" s="249"/>
      <c r="Q12" s="249"/>
      <c r="R12" s="26"/>
      <c r="S12" s="26" t="s">
        <v>6</v>
      </c>
      <c r="T12" s="26"/>
      <c r="U12" s="26"/>
      <c r="V12" s="26"/>
      <c r="W12" s="26"/>
      <c r="X12" s="26"/>
      <c r="Y12" s="26"/>
      <c r="Z12" s="26"/>
      <c r="AA12" s="31"/>
      <c r="AB12" s="110">
        <f>IF(Quote_Add_Bungies="x",Door_Bungie_Price,0)</f>
        <v>0</v>
      </c>
      <c r="AC12" s="41" t="s">
        <v>27</v>
      </c>
      <c r="AD12" s="314"/>
      <c r="AE12" s="315"/>
      <c r="AF12" s="315"/>
      <c r="AG12" s="316"/>
    </row>
    <row r="13" spans="1:33" ht="15" customHeight="1" thickBot="1">
      <c r="A13" s="27" t="s">
        <v>28</v>
      </c>
      <c r="B13" s="45"/>
      <c r="C13" s="45"/>
      <c r="D13" s="45"/>
      <c r="E13" s="63"/>
      <c r="F13" s="63"/>
      <c r="G13" s="63"/>
      <c r="H13" s="63"/>
      <c r="I13" s="63"/>
      <c r="J13" s="63"/>
      <c r="K13" s="63"/>
      <c r="L13" s="63"/>
      <c r="M13" s="63"/>
      <c r="N13" s="63"/>
      <c r="O13" s="63"/>
      <c r="P13" s="63"/>
      <c r="Q13" s="63"/>
      <c r="R13" s="63"/>
      <c r="S13" s="63"/>
      <c r="T13" s="63"/>
      <c r="U13" s="63"/>
      <c r="V13" s="63"/>
      <c r="W13" s="63"/>
      <c r="X13" s="63"/>
      <c r="Y13" s="63"/>
      <c r="Z13" s="63"/>
      <c r="AA13" s="63"/>
      <c r="AB13" s="103"/>
      <c r="AC13" s="42" t="s">
        <v>29</v>
      </c>
      <c r="AD13" s="173"/>
      <c r="AE13" s="173"/>
      <c r="AF13" s="173"/>
      <c r="AG13" s="174"/>
    </row>
    <row r="14" spans="1:33" ht="15" customHeight="1">
      <c r="A14" s="27"/>
      <c r="B14" s="329" t="s">
        <v>30</v>
      </c>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330"/>
      <c r="AC14" s="69" t="s">
        <v>31</v>
      </c>
      <c r="AD14" s="220"/>
      <c r="AE14" s="221"/>
      <c r="AF14" s="224"/>
      <c r="AG14" s="225"/>
    </row>
    <row r="15" spans="1:33" ht="15" customHeight="1" thickBot="1">
      <c r="A15" s="27"/>
      <c r="B15" s="329"/>
      <c r="C15" s="329"/>
      <c r="D15" s="329"/>
      <c r="E15" s="329"/>
      <c r="F15" s="329"/>
      <c r="G15" s="329"/>
      <c r="H15" s="329"/>
      <c r="I15" s="329"/>
      <c r="J15" s="329"/>
      <c r="K15" s="329"/>
      <c r="L15" s="329"/>
      <c r="M15" s="329"/>
      <c r="N15" s="329"/>
      <c r="O15" s="329"/>
      <c r="P15" s="329"/>
      <c r="Q15" s="329"/>
      <c r="R15" s="329"/>
      <c r="S15" s="329"/>
      <c r="T15" s="329"/>
      <c r="U15" s="329"/>
      <c r="V15" s="329"/>
      <c r="W15" s="329"/>
      <c r="X15" s="329"/>
      <c r="Y15" s="329"/>
      <c r="Z15" s="329"/>
      <c r="AA15" s="329"/>
      <c r="AB15" s="330"/>
      <c r="AC15" s="125" t="s">
        <v>32</v>
      </c>
      <c r="AD15" s="222"/>
      <c r="AE15" s="223"/>
      <c r="AF15" s="226"/>
      <c r="AG15" s="227"/>
    </row>
    <row r="16" spans="1:33" ht="15" customHeight="1" thickBot="1">
      <c r="A16" s="32"/>
      <c r="B16" s="45" t="s">
        <v>33</v>
      </c>
      <c r="C16" s="45"/>
      <c r="D16" s="45"/>
      <c r="E16" s="317" t="s">
        <v>34</v>
      </c>
      <c r="F16" s="319"/>
      <c r="G16" s="327" t="str">
        <f>IF(ISNA(AB16),"*Select Size",IF(AND(Quote_Trailer_Size=Size_5x8,Quote_Galley_Depth=Data!CF4),"*Redo Galley Selection",""))</f>
        <v/>
      </c>
      <c r="H16" s="328"/>
      <c r="I16" s="328"/>
      <c r="J16" s="328"/>
      <c r="K16" s="328"/>
      <c r="L16" s="328"/>
      <c r="M16" s="328"/>
      <c r="N16" s="45"/>
      <c r="O16" s="109"/>
      <c r="P16" s="45" t="str">
        <f>IF(AND(Quote_Galley_Depth=Galley_Standard,Quote_Trailer_Size=Size_5x10),Add_Bunk_Beds,IF(AND(Quote_Trailer_Size=Size_5x10,Quote_Galley_Depth&lt;&gt;Galley_Standard),No_Bunks_Galley,No_Bunks_Size))</f>
        <v>Bunk Beds Require 10' Trailer</v>
      </c>
      <c r="Q16" s="45"/>
      <c r="R16" s="45"/>
      <c r="S16" s="45"/>
      <c r="T16" s="45"/>
      <c r="U16" s="45"/>
      <c r="V16" s="45"/>
      <c r="W16" s="45"/>
      <c r="X16" s="45"/>
      <c r="Y16" s="45"/>
      <c r="Z16" s="45"/>
      <c r="AA16" s="45"/>
      <c r="AB16" s="111" t="str">
        <f>IF(Quote_Galley_Depth="","Error",IF(AND(Quote_Trailer_Size=Size_5x8,Quote_Galley_Depth=Data!CF4),"Check Selection",IF(AND(Quote_Trailer_Size=Size_5x10,Quote_Galley_Depth=Galley_Standard,O16="x"),Bunk_Bed_Price,IF(AND(O16="x",Quote_Trailer_Size&lt;&gt;Size_5x10),"Check Selection",IF(AND(Quote_Trailer_Size=Size_5x10,Quote_Galley_Depth=Galley_24,O16="x"),"Check Selection",VLOOKUP(Quote_Galley_Depth,Galley_Price,3,FALSE))))))</f>
        <v>Standard</v>
      </c>
      <c r="AC16" s="254" t="s">
        <v>35</v>
      </c>
      <c r="AD16" s="254"/>
      <c r="AE16" s="254"/>
      <c r="AF16" s="254"/>
      <c r="AG16" s="255"/>
    </row>
    <row r="17" spans="1:33" ht="15" customHeight="1" thickBot="1">
      <c r="A17" s="32"/>
      <c r="B17" s="64" t="s">
        <v>36</v>
      </c>
      <c r="C17" s="53"/>
      <c r="D17" s="53"/>
      <c r="E17" s="53"/>
      <c r="F17" s="53"/>
      <c r="G17" s="242" t="s">
        <v>37</v>
      </c>
      <c r="H17" s="243"/>
      <c r="I17" s="243"/>
      <c r="J17" s="243"/>
      <c r="K17" s="243"/>
      <c r="L17" s="243"/>
      <c r="M17" s="244"/>
      <c r="N17" s="45" t="str">
        <f>IF(OR(Drawer_Compatible=FALSE,Bunk_Compatible=FALSE),"*Redo Galley Selection","")</f>
        <v/>
      </c>
      <c r="O17" s="45"/>
      <c r="P17" s="45"/>
      <c r="Q17" s="45"/>
      <c r="R17" s="45"/>
      <c r="S17" s="45"/>
      <c r="T17" s="45"/>
      <c r="U17" s="45"/>
      <c r="V17" s="45"/>
      <c r="W17" s="45"/>
      <c r="X17" s="45"/>
      <c r="Y17" s="45"/>
      <c r="Z17" s="45"/>
      <c r="AA17" s="45"/>
      <c r="AB17" s="110" t="str">
        <f>IF(N17&lt;&gt;"","Error",IF(G17="","Select One",VLOOKUP(G17,Galley_CloseOFF_Price,3,FALSE)))</f>
        <v>Standard</v>
      </c>
      <c r="AC17" s="278"/>
      <c r="AD17" s="278"/>
      <c r="AE17" s="278"/>
      <c r="AF17" s="278"/>
      <c r="AG17" s="279"/>
    </row>
    <row r="18" spans="1:33" ht="15" customHeight="1" thickBot="1">
      <c r="A18" s="32"/>
      <c r="B18" s="109"/>
      <c r="C18" s="45" t="s">
        <v>38</v>
      </c>
      <c r="D18" s="45"/>
      <c r="E18" s="45"/>
      <c r="F18" s="45"/>
      <c r="G18" s="46" t="s">
        <v>16</v>
      </c>
      <c r="H18" s="239"/>
      <c r="I18" s="240"/>
      <c r="J18" s="240"/>
      <c r="K18" s="240"/>
      <c r="L18" s="240"/>
      <c r="M18" s="241"/>
      <c r="N18" s="45"/>
      <c r="O18" s="45"/>
      <c r="P18" s="45"/>
      <c r="Q18" s="45"/>
      <c r="R18" s="45"/>
      <c r="S18" s="45"/>
      <c r="T18" s="45"/>
      <c r="U18" s="45"/>
      <c r="V18" s="45"/>
      <c r="W18" s="45"/>
      <c r="X18" s="45"/>
      <c r="Y18" s="45"/>
      <c r="Z18" s="45"/>
      <c r="AA18" s="45"/>
      <c r="AB18" s="110">
        <f>IF(AND(B18="x",Quote_Drawer_Type=""),"Check Selection",IF(B18="x",VLOOKUP(Quote_Drawer_Type,Drawer_Price,3,FALSE),IF(AND(B18="",Quote_Drawer_Type&lt;&gt;""),"Check Selection",0)))</f>
        <v>0</v>
      </c>
      <c r="AC18" s="280"/>
      <c r="AD18" s="280"/>
      <c r="AE18" s="280"/>
      <c r="AF18" s="281"/>
      <c r="AG18" s="5">
        <v>0</v>
      </c>
    </row>
    <row r="19" spans="1:33" ht="15" customHeight="1" thickBot="1">
      <c r="A19" s="32"/>
      <c r="B19" s="109"/>
      <c r="C19" s="45" t="s">
        <v>39</v>
      </c>
      <c r="D19" s="45"/>
      <c r="E19" s="45"/>
      <c r="F19" s="45"/>
      <c r="G19" s="46" t="s">
        <v>16</v>
      </c>
      <c r="H19" s="239"/>
      <c r="I19" s="240"/>
      <c r="J19" s="240"/>
      <c r="K19" s="240"/>
      <c r="L19" s="240"/>
      <c r="M19" s="241"/>
      <c r="N19" s="45" t="str">
        <f>IF(Data!DS23=TRUE,"*Redo Selection","")</f>
        <v/>
      </c>
      <c r="O19" s="45"/>
      <c r="P19" s="45"/>
      <c r="Q19" s="45"/>
      <c r="R19" s="45"/>
      <c r="S19" s="45"/>
      <c r="T19" s="45"/>
      <c r="U19" s="45"/>
      <c r="V19" s="45"/>
      <c r="W19" s="45"/>
      <c r="X19" s="45"/>
      <c r="Y19" s="45"/>
      <c r="Z19" s="45"/>
      <c r="AA19" s="45"/>
      <c r="AB19" s="110">
        <f>IF(N19&lt;&gt;"","Error",IF(AND(B19="",H19&lt;&gt;""),"Check Selection",IF(AND(B19="x",H19=""),"Check Selection",IF(B19="x",VLOOKUP(H19,Cabinet_Door_Price,3,FALSE),0))))</f>
        <v>0</v>
      </c>
      <c r="AC19" s="192"/>
      <c r="AD19" s="192"/>
      <c r="AE19" s="192"/>
      <c r="AF19" s="193"/>
      <c r="AG19" s="6">
        <v>0</v>
      </c>
    </row>
    <row r="20" spans="1:33" ht="15" customHeight="1" thickBot="1">
      <c r="A20" s="32"/>
      <c r="B20" s="109"/>
      <c r="C20" s="331" t="s">
        <v>40</v>
      </c>
      <c r="D20" s="332"/>
      <c r="E20" s="332"/>
      <c r="F20" s="332"/>
      <c r="G20" s="332"/>
      <c r="H20" s="45"/>
      <c r="I20" s="46" t="s">
        <v>41</v>
      </c>
      <c r="J20" s="239"/>
      <c r="K20" s="240"/>
      <c r="L20" s="240"/>
      <c r="M20" s="241"/>
      <c r="N20" s="45"/>
      <c r="O20" s="45"/>
      <c r="P20" s="45"/>
      <c r="Q20" s="45"/>
      <c r="R20" s="45"/>
      <c r="S20" s="45"/>
      <c r="T20" s="45"/>
      <c r="U20" s="45"/>
      <c r="V20" s="45"/>
      <c r="W20" s="45"/>
      <c r="X20" s="45"/>
      <c r="Y20" s="45"/>
      <c r="Z20" s="45"/>
      <c r="AA20" s="45"/>
      <c r="AB20" s="110">
        <f>IF(AND(B18="x",B20="x"),"Error",IF(AND(B20="x",J20=""),"Check Selection",IF(AND(B20="",J20&lt;&gt;""),"Check Selection",IF(B20="x",VLOOKUP(J20,Slide_Out_Price,3,FALSE),0))))</f>
        <v>0</v>
      </c>
      <c r="AC20" s="192"/>
      <c r="AD20" s="192"/>
      <c r="AE20" s="192"/>
      <c r="AF20" s="193"/>
      <c r="AG20" s="6">
        <v>0</v>
      </c>
    </row>
    <row r="21" spans="1:33" ht="15" customHeight="1" thickBot="1">
      <c r="A21" s="32"/>
      <c r="B21" s="109"/>
      <c r="C21" s="45" t="s">
        <v>42</v>
      </c>
      <c r="D21" s="45"/>
      <c r="E21" s="45"/>
      <c r="F21" s="45"/>
      <c r="G21" s="45"/>
      <c r="H21" s="45"/>
      <c r="I21" s="46" t="s">
        <v>41</v>
      </c>
      <c r="J21" s="239"/>
      <c r="K21" s="240"/>
      <c r="L21" s="240"/>
      <c r="M21" s="241"/>
      <c r="N21" s="45"/>
      <c r="O21" s="45"/>
      <c r="P21" s="45"/>
      <c r="Q21" s="45"/>
      <c r="R21" s="45"/>
      <c r="S21" s="45"/>
      <c r="T21" s="45"/>
      <c r="U21" s="45"/>
      <c r="V21" s="45"/>
      <c r="W21" s="45"/>
      <c r="X21" s="45"/>
      <c r="Y21" s="45"/>
      <c r="Z21" s="45"/>
      <c r="AA21" s="45"/>
      <c r="AB21" s="110">
        <f>IF(AND(B21="x",J21=""),"Check Selection",IF(AND(B21="",J21&lt;&gt;""),"Check Selection",IF(B21="x",VLOOKUP(J21,Side_Table_Price,3,FALSE),0)))</f>
        <v>0</v>
      </c>
      <c r="AC21" s="192"/>
      <c r="AD21" s="192"/>
      <c r="AE21" s="192"/>
      <c r="AF21" s="193"/>
      <c r="AG21" s="6">
        <v>0</v>
      </c>
    </row>
    <row r="22" spans="1:33" ht="15" customHeight="1" thickBot="1">
      <c r="A22" s="32"/>
      <c r="B22" s="109"/>
      <c r="C22" s="45" t="s">
        <v>43</v>
      </c>
      <c r="D22" s="45"/>
      <c r="E22" s="45"/>
      <c r="F22" s="45"/>
      <c r="G22" s="45"/>
      <c r="H22" s="45"/>
      <c r="I22" s="45"/>
      <c r="J22" s="45"/>
      <c r="K22" s="45"/>
      <c r="L22" s="45"/>
      <c r="M22" s="45"/>
      <c r="N22" s="45"/>
      <c r="O22" s="45"/>
      <c r="P22" s="45"/>
      <c r="Q22" s="45"/>
      <c r="S22" s="45"/>
      <c r="T22" s="45"/>
      <c r="U22" s="45"/>
      <c r="V22" s="45"/>
      <c r="W22" s="45"/>
      <c r="X22" s="45"/>
      <c r="Y22" s="45"/>
      <c r="Z22" s="45"/>
      <c r="AA22" s="45"/>
      <c r="AB22" s="110">
        <f>IF(B22="x",Front_Shelf_Price,0)</f>
        <v>0</v>
      </c>
      <c r="AC22" s="218"/>
      <c r="AD22" s="218"/>
      <c r="AE22" s="218"/>
      <c r="AF22" s="219"/>
      <c r="AG22" s="12">
        <v>0</v>
      </c>
    </row>
    <row r="23" spans="1:33" ht="15" customHeight="1" thickBot="1">
      <c r="A23" s="32"/>
      <c r="B23" s="109"/>
      <c r="C23" s="45" t="s">
        <v>44</v>
      </c>
      <c r="D23" s="45"/>
      <c r="E23" s="45"/>
      <c r="F23" s="45"/>
      <c r="G23" s="45"/>
      <c r="H23" s="45"/>
      <c r="I23" s="46" t="s">
        <v>16</v>
      </c>
      <c r="J23" s="239"/>
      <c r="K23" s="240"/>
      <c r="L23" s="240"/>
      <c r="M23" s="241"/>
      <c r="N23" s="45" t="str">
        <f>IF(AND(B23="x",Data!EN9=TRUE,Data!EN13=TRUE),Data!EN21,IF(AND(B23="x",Quote_Trailer_Size&lt;&gt;Size_5x10),Data!EN20,""))</f>
        <v/>
      </c>
      <c r="O23" s="45"/>
      <c r="P23" s="45"/>
      <c r="Q23" s="45"/>
      <c r="R23" s="45"/>
      <c r="S23" s="45"/>
      <c r="U23" s="45"/>
      <c r="V23" s="45"/>
      <c r="W23" s="45"/>
      <c r="X23" s="45"/>
      <c r="Y23" s="45"/>
      <c r="Z23" s="45"/>
      <c r="AA23" s="45"/>
      <c r="AB23" s="110">
        <f>IF(N23&lt;&gt;"","Error",IF(AND(B23="x",J23=""),"Check Selection",IF(AND(B23="",J23&lt;&gt;""),"Check Selection",IF(B23="x",VLOOKUP(J23,Rear_Shelf_Price,3,FALSE),0))))</f>
        <v>0</v>
      </c>
      <c r="AC23" s="194"/>
      <c r="AD23" s="194"/>
      <c r="AE23" s="194"/>
      <c r="AF23" s="195"/>
      <c r="AG23" s="7">
        <v>0</v>
      </c>
    </row>
    <row r="24" spans="1:33" ht="15" customHeight="1" thickBot="1">
      <c r="A24" s="30"/>
      <c r="B24" s="109"/>
      <c r="C24" s="24" t="str">
        <f>IF(Quote_Trailer_Model=Extreme_OffRoad,"Add Understorage Cargo Pan","EOR Exclusive Option")</f>
        <v>EOR Exclusive Option</v>
      </c>
      <c r="D24" s="26"/>
      <c r="E24" s="26"/>
      <c r="F24" s="26"/>
      <c r="G24" s="26"/>
      <c r="H24" s="26"/>
      <c r="I24" s="26"/>
      <c r="J24" s="26"/>
      <c r="K24" s="26"/>
      <c r="L24" s="26"/>
      <c r="M24" s="26"/>
      <c r="N24" s="26" t="str">
        <f>IF(AB24="Error",Cargo_Pan_Message,"")</f>
        <v/>
      </c>
      <c r="O24" s="26"/>
      <c r="P24" s="26"/>
      <c r="Q24" s="26"/>
      <c r="R24" s="26"/>
      <c r="S24" s="26"/>
      <c r="T24" s="26"/>
      <c r="U24" s="26"/>
      <c r="V24" s="26"/>
      <c r="W24" s="26"/>
      <c r="X24" s="26"/>
      <c r="Y24" s="26"/>
      <c r="Z24" s="26"/>
      <c r="AA24" s="31"/>
      <c r="AB24" s="110" t="str">
        <f>IF(Quote_Trailer_Model&lt;&gt;Extreme_OffRoad,"N/A",IF(AND(B24="x",Quote_Trailer_Model=Extreme_OffRoad),Cargo_Pan_Price,0))</f>
        <v>N/A</v>
      </c>
      <c r="AC24" s="196" t="s">
        <v>45</v>
      </c>
      <c r="AD24" s="196"/>
      <c r="AE24" s="196"/>
      <c r="AF24" s="196"/>
      <c r="AG24" s="197"/>
    </row>
    <row r="25" spans="1:33" ht="15" customHeight="1" thickBot="1">
      <c r="A25" s="27" t="s">
        <v>46</v>
      </c>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102"/>
      <c r="AC25" s="198"/>
      <c r="AD25" s="198"/>
      <c r="AE25" s="198"/>
      <c r="AF25" s="198"/>
      <c r="AG25" s="199"/>
    </row>
    <row r="26" spans="1:33" ht="15" customHeight="1" thickBot="1">
      <c r="A26" s="32"/>
      <c r="B26" s="109"/>
      <c r="C26" s="45" t="s">
        <v>47</v>
      </c>
      <c r="D26" s="45"/>
      <c r="E26" s="45"/>
      <c r="F26" s="45"/>
      <c r="G26" s="45"/>
      <c r="H26" s="45"/>
      <c r="I26" s="46" t="s">
        <v>48</v>
      </c>
      <c r="J26" s="320"/>
      <c r="K26" s="321"/>
      <c r="L26" s="321"/>
      <c r="M26" s="321"/>
      <c r="N26" s="321"/>
      <c r="O26" s="322"/>
      <c r="P26" s="45"/>
      <c r="Q26" s="45"/>
      <c r="R26" s="45"/>
      <c r="S26" s="45"/>
      <c r="T26" s="45"/>
      <c r="U26" s="45"/>
      <c r="V26" s="45"/>
      <c r="W26" s="45"/>
      <c r="X26" s="45"/>
      <c r="Y26" s="45"/>
      <c r="Z26" s="45"/>
      <c r="AA26" s="45"/>
      <c r="AB26" s="110">
        <f>IF(AND(Logic_Roof_Rack_Required=TRUE,B26=""),"Required",IF(AND(B26="x",J26=""),"Check Selection",IF(AND(B26="",J26&lt;&gt;""),"Check Selection",IF(B26="x",VLOOKUP(J26,Roof_Rack_Price,3,FALSE),0))))</f>
        <v>0</v>
      </c>
      <c r="AC26" s="200" t="str">
        <f>AB3</f>
        <v>Select Size/Model</v>
      </c>
      <c r="AD26" s="200"/>
      <c r="AE26" s="200"/>
      <c r="AF26" s="200"/>
      <c r="AG26" s="201"/>
    </row>
    <row r="27" spans="1:33" ht="15" customHeight="1" thickBot="1">
      <c r="A27" s="32"/>
      <c r="B27" s="109"/>
      <c r="C27" s="45" t="s">
        <v>49</v>
      </c>
      <c r="D27" s="45"/>
      <c r="E27" s="45"/>
      <c r="F27" s="45"/>
      <c r="G27" s="45"/>
      <c r="H27" s="45"/>
      <c r="I27" s="45"/>
      <c r="J27" s="46" t="s">
        <v>16</v>
      </c>
      <c r="K27" s="320"/>
      <c r="L27" s="323"/>
      <c r="M27" s="323"/>
      <c r="N27" s="323"/>
      <c r="O27" s="323"/>
      <c r="P27" s="323"/>
      <c r="Q27" s="324"/>
      <c r="R27" s="45"/>
      <c r="S27" s="45"/>
      <c r="T27" s="45"/>
      <c r="U27" s="45"/>
      <c r="V27" s="45"/>
      <c r="W27" s="45"/>
      <c r="X27" s="45"/>
      <c r="Y27" s="45"/>
      <c r="Z27" s="45"/>
      <c r="AA27" s="45"/>
      <c r="AB27" s="110">
        <f>IF(R27&lt;&gt;"","Error",IF(AND(B27="x",K27=""),"Check Selection",IF(AND(B27="",K27&lt;&gt;""),"Check Selection",IF(B27="x",VLOOKUP(K27,Awning_Price,3,FALSE),0))))</f>
        <v>0</v>
      </c>
      <c r="AC27" s="202"/>
      <c r="AD27" s="202"/>
      <c r="AE27" s="202"/>
      <c r="AF27" s="202"/>
      <c r="AG27" s="203"/>
    </row>
    <row r="28" spans="1:33" ht="15" customHeight="1" thickBot="1">
      <c r="A28" s="32"/>
      <c r="B28" s="109"/>
      <c r="C28" s="45" t="s">
        <v>50</v>
      </c>
      <c r="D28" s="45"/>
      <c r="E28" s="45"/>
      <c r="F28" s="45"/>
      <c r="G28" s="45"/>
      <c r="H28" s="45"/>
      <c r="I28" s="45"/>
      <c r="J28" s="46" t="s">
        <v>16</v>
      </c>
      <c r="K28" s="239"/>
      <c r="L28" s="240"/>
      <c r="M28" s="240"/>
      <c r="N28" s="240"/>
      <c r="O28" s="240"/>
      <c r="P28" s="240"/>
      <c r="Q28" s="241"/>
      <c r="R28" s="45" t="str">
        <f>IF(Data!EZ29=TRUE,Occlusion_Message,"")</f>
        <v/>
      </c>
      <c r="S28" s="45"/>
      <c r="T28" s="45"/>
      <c r="U28" s="45"/>
      <c r="V28" s="45"/>
      <c r="W28" s="45"/>
      <c r="X28" s="45"/>
      <c r="Y28" s="45"/>
      <c r="Z28" s="45"/>
      <c r="AA28" s="45"/>
      <c r="AB28" s="110">
        <f>IF(R28&lt;&gt;"","Error",IF(AND(B28="x",K28=""),"Check Selection",IF(AND(B28="",K28&lt;&gt;""),"Check Selection",IF(B28="x",VLOOKUP(K28,Awning_Price,3,FALSE),0))))</f>
        <v>0</v>
      </c>
      <c r="AC28" s="204"/>
      <c r="AD28" s="204"/>
      <c r="AE28" s="204"/>
      <c r="AF28" s="204"/>
      <c r="AG28" s="205"/>
    </row>
    <row r="29" spans="1:33" ht="15" customHeight="1" thickBot="1">
      <c r="A29" s="32"/>
      <c r="B29" s="109"/>
      <c r="C29" s="45" t="s">
        <v>51</v>
      </c>
      <c r="D29" s="45"/>
      <c r="E29" s="45"/>
      <c r="G29" s="45"/>
      <c r="H29" s="45"/>
      <c r="I29" s="45"/>
      <c r="J29" s="46" t="s">
        <v>16</v>
      </c>
      <c r="K29" s="239"/>
      <c r="L29" s="240"/>
      <c r="M29" s="240"/>
      <c r="N29" s="240"/>
      <c r="O29" s="240"/>
      <c r="P29" s="240"/>
      <c r="Q29" s="241"/>
      <c r="R29" s="45" t="str">
        <f>IF(Data!EZ32=TRUE,Occlusion_Message,"")</f>
        <v/>
      </c>
      <c r="S29" s="45"/>
      <c r="T29" s="45"/>
      <c r="U29" s="45"/>
      <c r="V29" s="45"/>
      <c r="W29" s="45"/>
      <c r="X29" s="45"/>
      <c r="Y29" s="45"/>
      <c r="Z29" s="45"/>
      <c r="AA29" s="45"/>
      <c r="AB29" s="110">
        <f>IF(R29&lt;&gt;"","Error",IF(AND(B29="x",K29=""),"Check Selection",IF(AND(B29="",K29&lt;&gt;""),"Check Selection",IF(B29="x",VLOOKUP(K29,Rooftop_Water_Price,3,FALSE),0))))</f>
        <v>0</v>
      </c>
      <c r="AC29" s="206" t="s">
        <v>52</v>
      </c>
      <c r="AD29" s="206"/>
      <c r="AE29" s="206"/>
      <c r="AF29" s="206"/>
      <c r="AG29" s="207"/>
    </row>
    <row r="30" spans="1:33" ht="15" customHeight="1" thickBot="1">
      <c r="A30" s="32"/>
      <c r="B30" s="109"/>
      <c r="C30" s="45" t="s">
        <v>53</v>
      </c>
      <c r="D30" s="45"/>
      <c r="E30" s="45"/>
      <c r="F30" s="45"/>
      <c r="G30" s="45"/>
      <c r="H30" s="45"/>
      <c r="I30" s="45"/>
      <c r="J30" s="46" t="s">
        <v>16</v>
      </c>
      <c r="K30" s="239"/>
      <c r="L30" s="240"/>
      <c r="M30" s="240"/>
      <c r="N30" s="240"/>
      <c r="O30" s="240"/>
      <c r="P30" s="240"/>
      <c r="Q30" s="241"/>
      <c r="R30" s="45" t="str">
        <f>IF(OR(Data!EZ32=TRUE,Data!EZ41=TRUE),Occlusion_Message,"")</f>
        <v/>
      </c>
      <c r="S30" s="45"/>
      <c r="T30" s="45"/>
      <c r="U30" s="45"/>
      <c r="V30" s="45"/>
      <c r="W30" s="45"/>
      <c r="X30" s="45"/>
      <c r="Y30" s="45"/>
      <c r="Z30" s="45"/>
      <c r="AA30" s="45"/>
      <c r="AB30" s="110">
        <f>IF(R30&lt;&gt;"","Error",IF(AND(B30="x",K30=""),"Check Selection",IF(AND(B30="",K30&lt;&gt;""),"Check Selection",IF(B30="x",VLOOKUP(K30,Rooftop_Storage_Price,3,FALSE),0))))</f>
        <v>0</v>
      </c>
      <c r="AC30" s="208"/>
      <c r="AD30" s="208"/>
      <c r="AE30" s="208"/>
      <c r="AF30" s="208"/>
      <c r="AG30" s="209"/>
    </row>
    <row r="31" spans="1:33" ht="15" customHeight="1" thickBot="1">
      <c r="A31" s="30"/>
      <c r="B31" s="109"/>
      <c r="C31" s="24" t="s">
        <v>54</v>
      </c>
      <c r="D31" s="26"/>
      <c r="E31" s="26"/>
      <c r="F31" s="26"/>
      <c r="G31" s="26"/>
      <c r="H31" s="26"/>
      <c r="I31" s="26"/>
      <c r="J31" s="33" t="s">
        <v>16</v>
      </c>
      <c r="K31" s="239"/>
      <c r="L31" s="240"/>
      <c r="M31" s="240"/>
      <c r="N31" s="240"/>
      <c r="O31" s="240"/>
      <c r="P31" s="240"/>
      <c r="Q31" s="241"/>
      <c r="R31" s="24" t="str">
        <f>IF(OR(Data!EZ29=TRUE,Data!EZ41=TRUE,Data!LN18=TRUE),Occlusion_Message,"")</f>
        <v/>
      </c>
      <c r="S31" s="26"/>
      <c r="T31" s="26"/>
      <c r="U31" s="26"/>
      <c r="V31" s="26"/>
      <c r="W31" s="26"/>
      <c r="X31" s="26"/>
      <c r="Y31" s="26"/>
      <c r="Z31" s="26"/>
      <c r="AA31" s="31"/>
      <c r="AB31" s="110">
        <f>IF(R31&lt;&gt;"","Error",IF(AND(B31="x",K31=""),"Check Selection",IF(AND(B31="",K31&lt;&gt;""),"Check Selection",IF(B31="x",VLOOKUP(K31,RTT_Price,3,FALSE),0))))</f>
        <v>0</v>
      </c>
      <c r="AC31" s="200">
        <f>SUM(AB5,AB7:AB8,AB11:AB12,AB16:AB24,AB26:AB31,AB35:AB41,AB43:AB44,AB46:AB47,AB50:AB53,AB57:AB65,AB68:AB72,AB74:AB76,AB78:AB80,AB82:AB83,AB85:AB90,AB95,AB98,AB100,)</f>
        <v>0</v>
      </c>
      <c r="AD31" s="210"/>
      <c r="AE31" s="210"/>
      <c r="AF31" s="210"/>
      <c r="AG31" s="211"/>
    </row>
    <row r="32" spans="1:33" ht="15" customHeight="1">
      <c r="A32" s="27" t="s">
        <v>55</v>
      </c>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102"/>
      <c r="AC32" s="212"/>
      <c r="AD32" s="212"/>
      <c r="AE32" s="212"/>
      <c r="AF32" s="212"/>
      <c r="AG32" s="213"/>
    </row>
    <row r="33" spans="1:33" ht="15" customHeight="1" thickBot="1">
      <c r="A33" s="27"/>
      <c r="B33" s="329" t="str">
        <f>IF(Quote_Trailer_Model=Highway_Deluxe,HD_Susp_Desc,IF(Quote_Trailer_Model=MidRange_Deluxe,MR_Susp_Desc,IF(Quote_Trailer_Model=MidRange_XL,XL_Susp_Desc,IF(Quote_Trailer_Model=Extreme_OffRoad,EOR_Susp_Desc,"Choose a Model for suspension description"))))</f>
        <v>Choose a Model for suspension description</v>
      </c>
      <c r="C33" s="329"/>
      <c r="D33" s="329"/>
      <c r="E33" s="329"/>
      <c r="F33" s="329"/>
      <c r="G33" s="329"/>
      <c r="H33" s="329"/>
      <c r="I33" s="329"/>
      <c r="J33" s="329"/>
      <c r="K33" s="329"/>
      <c r="L33" s="329"/>
      <c r="M33" s="329"/>
      <c r="N33" s="329"/>
      <c r="O33" s="329"/>
      <c r="P33" s="329"/>
      <c r="Q33" s="329"/>
      <c r="R33" s="329"/>
      <c r="S33" s="329"/>
      <c r="T33" s="329"/>
      <c r="U33" s="329"/>
      <c r="V33" s="329"/>
      <c r="W33" s="329"/>
      <c r="X33" s="329"/>
      <c r="Y33" s="329"/>
      <c r="Z33" s="329"/>
      <c r="AA33" s="329"/>
      <c r="AB33" s="330"/>
      <c r="AC33" s="214"/>
      <c r="AD33" s="214"/>
      <c r="AE33" s="214"/>
      <c r="AF33" s="214"/>
      <c r="AG33" s="215"/>
    </row>
    <row r="34" spans="1:33" ht="15" customHeight="1" thickBot="1">
      <c r="A34" s="27"/>
      <c r="B34" s="329"/>
      <c r="C34" s="329"/>
      <c r="D34" s="329"/>
      <c r="E34" s="329"/>
      <c r="F34" s="329"/>
      <c r="G34" s="329"/>
      <c r="H34" s="329"/>
      <c r="I34" s="329"/>
      <c r="J34" s="329"/>
      <c r="K34" s="329"/>
      <c r="L34" s="329"/>
      <c r="M34" s="329"/>
      <c r="N34" s="329"/>
      <c r="O34" s="329"/>
      <c r="P34" s="329"/>
      <c r="Q34" s="329"/>
      <c r="R34" s="329"/>
      <c r="S34" s="329"/>
      <c r="T34" s="329"/>
      <c r="U34" s="329"/>
      <c r="V34" s="329"/>
      <c r="W34" s="329"/>
      <c r="X34" s="329"/>
      <c r="Y34" s="329"/>
      <c r="Z34" s="329"/>
      <c r="AA34" s="329"/>
      <c r="AB34" s="330"/>
      <c r="AC34" s="206" t="s">
        <v>56</v>
      </c>
      <c r="AD34" s="206"/>
      <c r="AE34" s="206"/>
      <c r="AF34" s="206"/>
      <c r="AG34" s="207"/>
    </row>
    <row r="35" spans="1:33" ht="15" customHeight="1" thickBot="1">
      <c r="A35" s="32"/>
      <c r="B35" s="109"/>
      <c r="C35" s="45" t="s">
        <v>57</v>
      </c>
      <c r="D35" s="45"/>
      <c r="E35" s="45"/>
      <c r="F35" s="45"/>
      <c r="G35" s="45"/>
      <c r="H35" s="45"/>
      <c r="I35" s="46" t="s">
        <v>58</v>
      </c>
      <c r="J35" s="239"/>
      <c r="K35" s="240"/>
      <c r="L35" s="240"/>
      <c r="M35" s="240"/>
      <c r="N35" s="247"/>
      <c r="O35" s="247"/>
      <c r="P35" s="247"/>
      <c r="Q35" s="248"/>
      <c r="R35" s="45" t="str">
        <f>IF(AND(B35="",OR(J35=HD_Tire_Only,J35=MR_Tire_Only,J35=XL_Tire_Only,J35=EOR_Tire_Only)),"*Select the Add Spare Tire Box",IF(AND(B35="x",OR(J35=HD_Tire_Only,J35=MR_Tire_Only,J35=XL_Tire_Only,J35=EOR_Tire_Only)),"*Loose Spare Tire",IF(AND(B35="",J35&lt;&gt;""),"*Mount Only","")))</f>
        <v/>
      </c>
      <c r="S35" s="45"/>
      <c r="T35" s="45"/>
      <c r="U35" s="45"/>
      <c r="V35" s="45"/>
      <c r="W35" s="45"/>
      <c r="X35" s="45"/>
      <c r="Y35" s="45"/>
      <c r="Z35" s="45"/>
      <c r="AA35" s="45"/>
      <c r="AB35" s="110">
        <f>IF(Data!GR51=TRUE,"Redo Selection",IF(R35="*Select the Add Spare Tire Box","Error",IF(AND(B35="x",J35=""),"Check Selection",IF(AND(B35="",J35&lt;&gt;""),VLOOKUP(J35,Master_Spare_List,2,FALSE),IF(AND(B35="x",J35&lt;&gt;""),VLOOKUP(J35,Master_Spare_List_With,3,FALSE),0)))))</f>
        <v>0</v>
      </c>
      <c r="AC35" s="216"/>
      <c r="AD35" s="216"/>
      <c r="AE35" s="216"/>
      <c r="AF35" s="216"/>
      <c r="AG35" s="217"/>
    </row>
    <row r="36" spans="1:33" ht="15" customHeight="1" thickBot="1">
      <c r="A36" s="32"/>
      <c r="B36" s="45" t="s">
        <v>59</v>
      </c>
      <c r="C36" s="45"/>
      <c r="D36" s="45"/>
      <c r="E36" s="239"/>
      <c r="F36" s="240"/>
      <c r="G36" s="240"/>
      <c r="H36" s="240"/>
      <c r="I36" s="241"/>
      <c r="J36" s="45"/>
      <c r="K36" s="64" t="s">
        <v>60</v>
      </c>
      <c r="L36" s="45"/>
      <c r="M36" s="45"/>
      <c r="N36" s="239"/>
      <c r="O36" s="240"/>
      <c r="P36" s="240"/>
      <c r="Q36" s="240"/>
      <c r="R36" s="240"/>
      <c r="S36" s="241"/>
      <c r="T36" s="45" t="str">
        <f>IF(OR(E36="",N36=""),"*Required",IF(AND(E36=Ball_Only,N36&lt;&gt;Customer_Provided),"*Incompatible.  Redo Selection",IF(AND(E36=Data!HR9,N36=Customer_Provided),"*Incompatible.  Redo Selection","")))</f>
        <v>*Required</v>
      </c>
      <c r="U36" s="45"/>
      <c r="V36" s="45"/>
      <c r="W36" s="45"/>
      <c r="X36" s="45"/>
      <c r="Y36" s="45"/>
      <c r="Z36" s="45"/>
      <c r="AA36" s="45"/>
      <c r="AB36" s="110" t="str">
        <f>IF(T36&lt;&gt;"","Error",IF(AND(E36=Ball_Only,N36=Customer_Provided),"Standard",IF(E36=Data!HR9,VLOOKUP(N36,Lock_N_Roll_Price,3,FALSE),0)))</f>
        <v>Error</v>
      </c>
      <c r="AC36" s="294">
        <f>SUM(AG18:AG23)</f>
        <v>0</v>
      </c>
      <c r="AD36" s="294"/>
      <c r="AE36" s="294"/>
      <c r="AF36" s="294"/>
      <c r="AG36" s="295"/>
    </row>
    <row r="37" spans="1:33" ht="15" customHeight="1" thickBot="1">
      <c r="A37" s="32"/>
      <c r="B37" s="109"/>
      <c r="C37" s="45" t="s">
        <v>61</v>
      </c>
      <c r="D37" s="45"/>
      <c r="E37" s="45"/>
      <c r="F37" s="45"/>
      <c r="G37" s="45"/>
      <c r="H37" s="45"/>
      <c r="I37" s="45" t="str">
        <f>IF(Data!IY33=TRUE,Data!IT26,IF(Data!IY40=TRUE,Data!IT27,""))</f>
        <v>*Brakes required based on your State's Regulations</v>
      </c>
      <c r="J37" s="45"/>
      <c r="K37" s="45"/>
      <c r="L37" s="45"/>
      <c r="M37" s="45"/>
      <c r="N37" s="45"/>
      <c r="O37" s="45"/>
      <c r="P37" s="45"/>
      <c r="Q37" s="45"/>
      <c r="R37" s="45"/>
      <c r="S37" s="45"/>
      <c r="T37" s="45"/>
      <c r="U37" s="45"/>
      <c r="V37" s="45"/>
      <c r="W37" s="45"/>
      <c r="X37" s="45"/>
      <c r="Y37" s="45"/>
      <c r="Z37" s="45"/>
      <c r="AA37" s="45"/>
      <c r="AB37" s="110">
        <f>IF(B37="x",Brakes_Price,0)</f>
        <v>0</v>
      </c>
      <c r="AC37" s="296"/>
      <c r="AD37" s="296"/>
      <c r="AE37" s="296"/>
      <c r="AF37" s="296"/>
      <c r="AG37" s="297"/>
    </row>
    <row r="38" spans="1:33" ht="15" customHeight="1" thickBot="1">
      <c r="A38" s="32"/>
      <c r="B38" s="109"/>
      <c r="C38" s="45" t="s">
        <v>62</v>
      </c>
      <c r="D38" s="45"/>
      <c r="E38" s="45"/>
      <c r="F38" s="45"/>
      <c r="G38" s="45"/>
      <c r="H38" s="45"/>
      <c r="I38" s="45"/>
      <c r="J38" s="45"/>
      <c r="K38" s="45"/>
      <c r="L38" s="45" t="str">
        <f>IF(B38="x",AutowBrake_Message,"")</f>
        <v/>
      </c>
      <c r="M38" s="45"/>
      <c r="N38" s="45"/>
      <c r="O38" s="45"/>
      <c r="P38" s="45"/>
      <c r="Q38" s="45"/>
      <c r="R38" s="45"/>
      <c r="S38" s="45"/>
      <c r="T38" s="45"/>
      <c r="U38" s="45"/>
      <c r="V38" s="45"/>
      <c r="W38" s="45"/>
      <c r="X38" s="45"/>
      <c r="Y38" s="45"/>
      <c r="Z38" s="45"/>
      <c r="AA38" s="45"/>
      <c r="AB38" s="110">
        <f>IF(B38="x",AutowBrake_Price,0)</f>
        <v>0</v>
      </c>
      <c r="AC38" s="298"/>
      <c r="AD38" s="298"/>
      <c r="AE38" s="298"/>
      <c r="AF38" s="298"/>
      <c r="AG38" s="299"/>
    </row>
    <row r="39" spans="1:33" ht="15" customHeight="1" thickBot="1">
      <c r="A39" s="32"/>
      <c r="B39" s="109"/>
      <c r="C39" s="45" t="str">
        <f>IF(Quote_Trailer_Model=Extreme_OffRoad,"6 x 5.5 Lug Pattern Upgrade","EOR Exclusive Option")</f>
        <v>EOR Exclusive Option</v>
      </c>
      <c r="D39" s="45"/>
      <c r="E39" s="45"/>
      <c r="F39" s="45"/>
      <c r="G39" s="45"/>
      <c r="H39" s="45"/>
      <c r="I39" s="46"/>
      <c r="J39" s="45"/>
      <c r="K39" s="45"/>
      <c r="L39" s="45"/>
      <c r="M39" s="45"/>
      <c r="N39" s="45"/>
      <c r="O39" s="45"/>
      <c r="P39" s="45"/>
      <c r="Q39" s="45"/>
      <c r="R39" s="45"/>
      <c r="S39" s="45"/>
      <c r="T39" s="45"/>
      <c r="U39" s="45"/>
      <c r="V39" s="45"/>
      <c r="W39" s="45" t="s">
        <v>63</v>
      </c>
      <c r="X39" s="45"/>
      <c r="Y39" s="45"/>
      <c r="Z39" s="45"/>
      <c r="AA39" s="45"/>
      <c r="AB39" s="110" t="str">
        <f>IF(AND(Quote_Trailer_Model&lt;&gt;Extreme_OffRoad,B39="x"),"Error",IF(AND(Quote_Trailer_Model=Extreme_OffRoad,B39="x"),Lug_Upgrade_Price,IF(AND(Quote_Trailer_Model=Extreme_OffRoad,B39=""),0,"N/A")))</f>
        <v>N/A</v>
      </c>
      <c r="AC39" s="300" t="s">
        <v>64</v>
      </c>
      <c r="AD39" s="300"/>
      <c r="AE39" s="300"/>
      <c r="AF39" s="300"/>
      <c r="AG39" s="301"/>
    </row>
    <row r="40" spans="1:33" ht="15" customHeight="1" thickBot="1">
      <c r="A40" s="32"/>
      <c r="B40" s="109"/>
      <c r="C40" s="45" t="s">
        <v>65</v>
      </c>
      <c r="D40" s="45"/>
      <c r="E40" s="47"/>
      <c r="F40" s="47"/>
      <c r="G40" s="47"/>
      <c r="H40" s="47"/>
      <c r="I40" s="45"/>
      <c r="J40" s="45"/>
      <c r="K40" s="45"/>
      <c r="L40" s="45"/>
      <c r="M40" s="45"/>
      <c r="N40" s="45"/>
      <c r="O40" s="45"/>
      <c r="P40" s="45"/>
      <c r="Q40" s="45"/>
      <c r="R40" s="45"/>
      <c r="S40" s="45"/>
      <c r="T40" s="45"/>
      <c r="U40" s="45"/>
      <c r="V40" s="45"/>
      <c r="W40" s="45"/>
      <c r="X40" s="45"/>
      <c r="Y40" s="45"/>
      <c r="Z40" s="45"/>
      <c r="AA40" s="45"/>
      <c r="AB40" s="110">
        <f>IF(B40="x",ArkJack_Price,0)</f>
        <v>0</v>
      </c>
      <c r="AC40" s="300"/>
      <c r="AD40" s="300"/>
      <c r="AE40" s="300"/>
      <c r="AF40" s="300"/>
      <c r="AG40" s="301"/>
    </row>
    <row r="41" spans="1:33" ht="15" customHeight="1" thickBot="1">
      <c r="A41" s="30"/>
      <c r="B41" s="109"/>
      <c r="C41" s="24" t="str">
        <f>IF(Quote_Trailer_Model=Highway_Deluxe,Add_Stab_Jacks,IF(Quote_Trailer_Model=Extreme_OffRoad,Add_Airbags,Exclusive_Option))</f>
        <v>This Option is Exclusive to a Different Model</v>
      </c>
      <c r="D41" s="26"/>
      <c r="E41" s="43"/>
      <c r="F41" s="43"/>
      <c r="G41" s="43"/>
      <c r="H41" s="43"/>
      <c r="I41" s="26"/>
      <c r="J41" s="26"/>
      <c r="K41" s="26"/>
      <c r="L41" s="26"/>
      <c r="M41" s="26"/>
      <c r="N41" s="26"/>
      <c r="O41" s="26"/>
      <c r="P41" s="26"/>
      <c r="Q41" s="26"/>
      <c r="R41" s="26"/>
      <c r="S41" s="26"/>
      <c r="T41" s="26"/>
      <c r="U41" s="26"/>
      <c r="V41" s="26"/>
      <c r="W41" s="26"/>
      <c r="X41" s="26"/>
      <c r="Y41" s="26"/>
      <c r="Z41" s="26"/>
      <c r="AA41" s="26"/>
      <c r="AB41" s="110">
        <f>IF(AND(C41=Add_Stab_Jacks,B41="x"),Rear_Jacks_Price,IF(AND(C41=Add_Airbags,B41="x"),Airbag_Price,IF(AND(C41=Exclusive_Option,B41="x"),"Error",0)))</f>
        <v>0</v>
      </c>
      <c r="AC41" s="302">
        <f>SUM(AC26,AC31,AC36)</f>
        <v>0</v>
      </c>
      <c r="AD41" s="303"/>
      <c r="AE41" s="303"/>
      <c r="AF41" s="303"/>
      <c r="AG41" s="304"/>
    </row>
    <row r="42" spans="1:33" ht="15" customHeight="1" thickBot="1">
      <c r="A42" s="27" t="s">
        <v>66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102"/>
      <c r="AC42" s="305"/>
      <c r="AD42" s="305"/>
      <c r="AE42" s="305"/>
      <c r="AF42" s="305"/>
      <c r="AG42" s="306"/>
    </row>
    <row r="43" spans="1:33" ht="15" customHeight="1" thickBot="1">
      <c r="A43" s="32"/>
      <c r="B43" s="109"/>
      <c r="C43" s="45" t="str">
        <f>IF(Quote_Trailer_Model=Extreme_OffRoad,"Included Toolbox","Add Toolbox")</f>
        <v>Add Toolbox</v>
      </c>
      <c r="D43" s="45"/>
      <c r="E43" s="45"/>
      <c r="F43" s="45"/>
      <c r="G43" s="46" t="s">
        <v>16</v>
      </c>
      <c r="H43" s="239"/>
      <c r="I43" s="240"/>
      <c r="J43" s="240"/>
      <c r="K43" s="240"/>
      <c r="L43" s="240"/>
      <c r="M43" s="240"/>
      <c r="N43" s="240"/>
      <c r="O43" s="241"/>
      <c r="P43" s="45" t="str">
        <f>IF(AND(Quote_Trailer_Model=Extreme_OffRoad,H43&lt;&gt;EOR_Toolbox),"*Redo Selection",IF(B38="x","*Required for a Selected Option",IF(AND(B43="x",B44="x",Quote_Trailer_Model&lt;&gt;Extreme_OffRoad),Occlusion_Message,"")))</f>
        <v/>
      </c>
      <c r="Q43" s="45"/>
      <c r="R43" s="45"/>
      <c r="S43" s="45"/>
      <c r="T43" s="45"/>
      <c r="U43" s="45"/>
      <c r="V43" s="45"/>
      <c r="W43" s="45"/>
      <c r="X43" s="45"/>
      <c r="Y43" s="45"/>
      <c r="Z43" s="45"/>
      <c r="AA43" s="45"/>
      <c r="AB43" s="110">
        <f>IF(P43="*Redo Selection","Error",IF(Quote_Trailer_Model=Extreme_OffRoad,"Standard",IF(AND(B43="x",H43=""),"Check Selection",IF(AND(B43="",H43&lt;&gt;""),"Check Selection",IF(AND(B43="x",Quote_Trailer_Model&lt;&gt;Extreme_OffRoad),VLOOKUP(H43,Toolbox_Price,3,FALSE),0)))))</f>
        <v>0</v>
      </c>
      <c r="AC43" s="307"/>
      <c r="AD43" s="307"/>
      <c r="AE43" s="307"/>
      <c r="AF43" s="307"/>
      <c r="AG43" s="308"/>
    </row>
    <row r="44" spans="1:33" ht="15" customHeight="1" thickBot="1">
      <c r="A44" s="30"/>
      <c r="B44" s="109"/>
      <c r="C44" s="26" t="str">
        <f>IF(Quote_Trailer_Model=Highway_Deluxe,"N/A on this Model","Add Fridge Box")</f>
        <v>Add Fridge Box</v>
      </c>
      <c r="D44" s="26"/>
      <c r="E44" s="26"/>
      <c r="F44" s="26"/>
      <c r="G44" s="33"/>
      <c r="H44" s="109"/>
      <c r="I44" s="50" t="str">
        <f>IF(Quote_Trailer_Model=Highway_Deluxe,"N/A on this Model","Add Fridge Box Storage Rack")</f>
        <v>Add Fridge Box Storage Rack</v>
      </c>
      <c r="J44" s="43"/>
      <c r="K44" s="43"/>
      <c r="L44" s="43"/>
      <c r="M44" s="43"/>
      <c r="N44" s="43"/>
      <c r="O44" s="43"/>
      <c r="P44" s="26"/>
      <c r="Q44" s="26"/>
      <c r="R44" s="26"/>
      <c r="S44" s="26"/>
      <c r="T44" s="26"/>
      <c r="U44" s="26"/>
      <c r="V44" s="26"/>
      <c r="W44" s="26"/>
      <c r="X44" s="26"/>
      <c r="Y44" s="26"/>
      <c r="Z44" s="26"/>
      <c r="AA44" s="31"/>
      <c r="AB44" s="110">
        <f>IF(Quote_Trailer_Model=Highway_Deluxe,"N/A",IF(AND(H44="x",B44=""),"Check Selection",IF(AND(B44="x",H44="x"),FridgeBox_Combined,IF(B44="x",FridgeBox_Price,0))))</f>
        <v>0</v>
      </c>
      <c r="AC44" s="175" t="s">
        <v>67</v>
      </c>
      <c r="AD44" s="175"/>
      <c r="AE44" s="175"/>
      <c r="AF44" s="175"/>
      <c r="AG44" s="176"/>
    </row>
    <row r="45" spans="1:33" ht="15" customHeight="1" thickBot="1">
      <c r="A45" s="27" t="s">
        <v>68</v>
      </c>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102"/>
      <c r="AC45" s="177"/>
      <c r="AD45" s="177"/>
      <c r="AE45" s="177"/>
      <c r="AF45" s="177"/>
      <c r="AG45" s="178"/>
    </row>
    <row r="46" spans="1:33" ht="15" customHeight="1" thickBot="1">
      <c r="A46" s="32"/>
      <c r="B46" s="109"/>
      <c r="C46" s="45" t="s">
        <v>69</v>
      </c>
      <c r="D46" s="45"/>
      <c r="E46" s="45"/>
      <c r="F46" s="45"/>
      <c r="G46" s="45"/>
      <c r="H46" s="45"/>
      <c r="I46" s="45"/>
      <c r="J46" s="45"/>
      <c r="K46" s="46" t="s">
        <v>70</v>
      </c>
      <c r="L46" s="317"/>
      <c r="M46" s="319"/>
      <c r="N46" s="45"/>
      <c r="O46" s="109"/>
      <c r="P46" s="45" t="s">
        <v>71</v>
      </c>
      <c r="Q46" s="45"/>
      <c r="R46" s="45"/>
      <c r="S46" s="45" t="str">
        <f>IF(P53&lt;&gt;"","*Required for Heat Option","")</f>
        <v/>
      </c>
      <c r="T46" s="45"/>
      <c r="U46" s="45"/>
      <c r="V46" s="45"/>
      <c r="W46" s="45"/>
      <c r="Y46" s="45"/>
      <c r="Z46" s="45"/>
      <c r="AA46" s="45"/>
      <c r="AB46" s="110">
        <f>IF(AND(O46="x",L46="",B46=""),"Error",IF(AND(O46="x",L46="",B46="x"),"Check Selection",IF(AND(L46&lt;&gt;"",B46=""),"Check Selection",IF(AND(B46="x",L46="",O46=""),"Check Selection",IF(AND(B46="x",O46="x"),VLOOKUP(L46,WithTank_List,3,FALSE),IF(B46="x",VLOOKUP(L46,NoTank_List,3,FALSE),0))))))</f>
        <v>0</v>
      </c>
      <c r="AC46" s="309">
        <v>500</v>
      </c>
      <c r="AD46" s="229"/>
      <c r="AE46" s="229"/>
      <c r="AF46" s="229"/>
      <c r="AG46" s="230"/>
    </row>
    <row r="47" spans="1:33" ht="15" customHeight="1" thickBot="1">
      <c r="A47" s="30"/>
      <c r="B47" s="113"/>
      <c r="C47" s="24" t="s">
        <v>72</v>
      </c>
      <c r="D47" s="26"/>
      <c r="E47" s="26"/>
      <c r="F47" s="26"/>
      <c r="G47" s="26"/>
      <c r="H47" s="26"/>
      <c r="I47" s="26"/>
      <c r="J47" s="26"/>
      <c r="K47" s="33" t="s">
        <v>70</v>
      </c>
      <c r="L47" s="317"/>
      <c r="M47" s="319"/>
      <c r="N47" s="30"/>
      <c r="O47" s="109"/>
      <c r="P47" s="24" t="s">
        <v>71</v>
      </c>
      <c r="Q47" s="26"/>
      <c r="R47" s="26"/>
      <c r="S47" s="26" t="str">
        <f>IF(AND(B80="x",B47&lt;&gt;"x"),"*Required for Shower Option","")</f>
        <v/>
      </c>
      <c r="T47" s="26"/>
      <c r="U47" s="26"/>
      <c r="V47" s="26"/>
      <c r="W47" s="26"/>
      <c r="X47" s="26"/>
      <c r="Y47" s="26"/>
      <c r="Z47" s="26"/>
      <c r="AA47" s="31"/>
      <c r="AB47" s="110">
        <f>IF(AND(O47="x",L47="",B47=""),"Error",IF(AND(O47="x",L47="",B47="x"),"Check Selection",IF(AND(L47&lt;&gt;"",B47=""),"Check Selection",IF(AND(B47="x",L47="",O47=""),"Check Selection",IF(AND(B47="x",O47="x"),VLOOKUP(L47,WithTank_List,3,FALSE),IF(B47="x",VLOOKUP(L47,NoTank_List,3,FALSE),0))))))</f>
        <v>0</v>
      </c>
      <c r="AC47" s="231"/>
      <c r="AD47" s="231"/>
      <c r="AE47" s="231"/>
      <c r="AF47" s="231"/>
      <c r="AG47" s="232"/>
    </row>
    <row r="48" spans="1:33" ht="15" customHeight="1" thickBot="1">
      <c r="A48" s="27" t="s">
        <v>73</v>
      </c>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102"/>
      <c r="AC48" s="233"/>
      <c r="AD48" s="233"/>
      <c r="AE48" s="233"/>
      <c r="AF48" s="233"/>
      <c r="AG48" s="234"/>
    </row>
    <row r="49" spans="1:33" ht="15" customHeight="1" thickBot="1">
      <c r="A49" s="27"/>
      <c r="B49" s="45" t="s">
        <v>74</v>
      </c>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102"/>
      <c r="AC49" s="206" t="s">
        <v>75</v>
      </c>
      <c r="AD49" s="206"/>
      <c r="AE49" s="206"/>
      <c r="AF49" s="206"/>
      <c r="AG49" s="207"/>
    </row>
    <row r="50" spans="1:33" ht="15" customHeight="1" thickBot="1">
      <c r="A50" s="32"/>
      <c r="B50" s="45" t="s">
        <v>76</v>
      </c>
      <c r="C50" s="45"/>
      <c r="D50" s="53"/>
      <c r="E50" s="53"/>
      <c r="F50" s="53"/>
      <c r="G50" s="242"/>
      <c r="H50" s="243"/>
      <c r="I50" s="243"/>
      <c r="J50" s="243"/>
      <c r="K50" s="243"/>
      <c r="L50" s="244"/>
      <c r="M50" s="45"/>
      <c r="N50" s="45"/>
      <c r="O50" s="45"/>
      <c r="P50" s="45"/>
      <c r="Q50" s="45"/>
      <c r="R50" s="45"/>
      <c r="S50" s="45"/>
      <c r="T50" s="45"/>
      <c r="U50" s="45"/>
      <c r="V50" s="45"/>
      <c r="W50" s="45"/>
      <c r="X50" s="45"/>
      <c r="Y50" s="45"/>
      <c r="Z50" s="45"/>
      <c r="AA50" s="45"/>
      <c r="AB50" s="110" t="str">
        <f>IF(G50="","Required",VLOOKUP(G50,Data!LB3:LD5,3,FALSE))</f>
        <v>Required</v>
      </c>
      <c r="AC50" s="216"/>
      <c r="AD50" s="216"/>
      <c r="AE50" s="216"/>
      <c r="AF50" s="216"/>
      <c r="AG50" s="217"/>
    </row>
    <row r="51" spans="1:33" ht="15" customHeight="1" thickBot="1">
      <c r="A51" s="32"/>
      <c r="B51" s="109"/>
      <c r="C51" s="45" t="s">
        <v>77</v>
      </c>
      <c r="D51" s="45"/>
      <c r="E51" s="45"/>
      <c r="F51" s="45"/>
      <c r="G51" s="45"/>
      <c r="H51" s="45"/>
      <c r="I51" s="45"/>
      <c r="J51" s="45"/>
      <c r="K51" s="45"/>
      <c r="L51" s="45"/>
      <c r="M51" s="45"/>
      <c r="N51" s="45"/>
      <c r="O51" s="45"/>
      <c r="P51" s="45"/>
      <c r="Q51" s="45"/>
      <c r="R51" s="45"/>
      <c r="S51" s="45"/>
      <c r="T51" s="45"/>
      <c r="U51" s="45"/>
      <c r="V51" s="45"/>
      <c r="W51" s="45"/>
      <c r="X51" s="45"/>
      <c r="Y51" s="45"/>
      <c r="Z51" s="45"/>
      <c r="AA51" s="45"/>
      <c r="AB51" s="110">
        <f>IF(B51="x",AC_Prep_Price,0)</f>
        <v>0</v>
      </c>
      <c r="AC51" s="228">
        <f>SUM(AC41,-AC46)</f>
        <v>-500</v>
      </c>
      <c r="AD51" s="229"/>
      <c r="AE51" s="229"/>
      <c r="AF51" s="229"/>
      <c r="AG51" s="230"/>
    </row>
    <row r="52" spans="1:33" ht="15" customHeight="1" thickBot="1">
      <c r="A52" s="32"/>
      <c r="B52" s="109"/>
      <c r="C52" s="45" t="s">
        <v>78</v>
      </c>
      <c r="D52" s="45"/>
      <c r="E52" s="45"/>
      <c r="F52" s="45"/>
      <c r="G52" s="45"/>
      <c r="H52" s="46" t="s">
        <v>16</v>
      </c>
      <c r="I52" s="239"/>
      <c r="J52" s="240"/>
      <c r="K52" s="240"/>
      <c r="L52" s="240"/>
      <c r="M52" s="240"/>
      <c r="N52" s="240"/>
      <c r="O52" s="241"/>
      <c r="P52" s="45" t="str">
        <f>IF(B31="x","*Unavailable with RTT","")</f>
        <v/>
      </c>
      <c r="Q52" s="45"/>
      <c r="R52" s="45"/>
      <c r="S52" s="45"/>
      <c r="T52" s="45"/>
      <c r="U52" s="45"/>
      <c r="V52" s="45"/>
      <c r="W52" s="45"/>
      <c r="X52" s="45"/>
      <c r="Y52" s="45"/>
      <c r="Z52" s="45"/>
      <c r="AA52" s="45"/>
      <c r="AB52" s="110">
        <f>IF(AND(B52="x",P52&lt;&gt;""),"Error",IF(AND(B52="",I52&lt;&gt;""),"Check Selection",IF(AND(B52="x",I52=""),"Check Selection",IF(B52="x",VLOOKUP(I52,Rooftop_AC_Price,3,FALSE),0))))</f>
        <v>0</v>
      </c>
      <c r="AC52" s="231"/>
      <c r="AD52" s="231"/>
      <c r="AE52" s="231"/>
      <c r="AF52" s="231"/>
      <c r="AG52" s="232"/>
    </row>
    <row r="53" spans="1:33" ht="15" customHeight="1" thickBot="1">
      <c r="A53" s="30"/>
      <c r="B53" s="109"/>
      <c r="C53" s="24" t="s">
        <v>79</v>
      </c>
      <c r="D53" s="26"/>
      <c r="E53" s="26"/>
      <c r="F53" s="26"/>
      <c r="G53" s="26"/>
      <c r="H53" s="33" t="s">
        <v>16</v>
      </c>
      <c r="I53" s="239"/>
      <c r="J53" s="240"/>
      <c r="K53" s="240"/>
      <c r="L53" s="240"/>
      <c r="M53" s="240"/>
      <c r="N53" s="240"/>
      <c r="O53" s="241"/>
      <c r="P53" s="24" t="str">
        <f>IF(AND(O16="x",B53="x"),"*Unavailable with Bunk Beds",IF(AND(B53="x",AB46&lt;&gt;Data!KF19),"*11lb Propane Tank and Mount Required",""))</f>
        <v/>
      </c>
      <c r="Q53" s="26"/>
      <c r="R53" s="26"/>
      <c r="S53" s="26"/>
      <c r="T53" s="26"/>
      <c r="U53" s="26"/>
      <c r="V53" s="26"/>
      <c r="W53" s="26"/>
      <c r="X53" s="26"/>
      <c r="Y53" s="26"/>
      <c r="Z53" s="26"/>
      <c r="AA53" s="31"/>
      <c r="AB53" s="110">
        <f>IF(AND(B53="",I53&lt;&gt;""),"Check Selection",IF(AND(B53="x",I53=""),"Check Selection",IF(B53="x",VLOOKUP(I53,Data!LT3:LV4,3,FALSE),0)))</f>
        <v>0</v>
      </c>
      <c r="AC53" s="233"/>
      <c r="AD53" s="233"/>
      <c r="AE53" s="233"/>
      <c r="AF53" s="233"/>
      <c r="AG53" s="234"/>
    </row>
    <row r="54" spans="1:33" ht="15" customHeight="1">
      <c r="A54" s="27" t="s">
        <v>80</v>
      </c>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102"/>
      <c r="AC54" s="282" t="s">
        <v>81</v>
      </c>
      <c r="AD54" s="282"/>
      <c r="AE54" s="282"/>
      <c r="AF54" s="282"/>
      <c r="AG54" s="283"/>
    </row>
    <row r="55" spans="1:33" ht="15" customHeight="1">
      <c r="A55" s="27"/>
      <c r="B55" s="245" t="s">
        <v>82</v>
      </c>
      <c r="C55" s="245"/>
      <c r="D55" s="245"/>
      <c r="E55" s="245"/>
      <c r="F55" s="245"/>
      <c r="G55" s="245"/>
      <c r="H55" s="245"/>
      <c r="I55" s="245"/>
      <c r="J55" s="245"/>
      <c r="K55" s="245"/>
      <c r="L55" s="245"/>
      <c r="M55" s="245"/>
      <c r="N55" s="245"/>
      <c r="O55" s="245"/>
      <c r="P55" s="245"/>
      <c r="Q55" s="245"/>
      <c r="R55" s="245"/>
      <c r="S55" s="245"/>
      <c r="T55" s="245"/>
      <c r="U55" s="245"/>
      <c r="V55" s="245"/>
      <c r="W55" s="245"/>
      <c r="X55" s="245"/>
      <c r="Y55" s="245"/>
      <c r="Z55" s="245"/>
      <c r="AA55" s="245"/>
      <c r="AB55" s="246"/>
      <c r="AC55" s="284"/>
      <c r="AD55" s="284"/>
      <c r="AE55" s="284"/>
      <c r="AF55" s="284"/>
      <c r="AG55" s="285"/>
    </row>
    <row r="56" spans="1:33" ht="15" customHeight="1" thickBot="1">
      <c r="A56" s="32"/>
      <c r="B56" s="245"/>
      <c r="C56" s="245"/>
      <c r="D56" s="245"/>
      <c r="E56" s="245"/>
      <c r="F56" s="245"/>
      <c r="G56" s="245"/>
      <c r="H56" s="245"/>
      <c r="I56" s="245"/>
      <c r="J56" s="245"/>
      <c r="K56" s="245"/>
      <c r="L56" s="245"/>
      <c r="M56" s="245"/>
      <c r="N56" s="245"/>
      <c r="O56" s="245"/>
      <c r="P56" s="245"/>
      <c r="Q56" s="245"/>
      <c r="R56" s="245"/>
      <c r="S56" s="245"/>
      <c r="T56" s="245"/>
      <c r="U56" s="245"/>
      <c r="V56" s="245"/>
      <c r="W56" s="245"/>
      <c r="X56" s="245"/>
      <c r="Y56" s="245"/>
      <c r="Z56" s="245"/>
      <c r="AA56" s="245"/>
      <c r="AB56" s="246"/>
      <c r="AC56" s="286"/>
      <c r="AD56" s="286"/>
      <c r="AE56" s="286"/>
      <c r="AF56" s="286"/>
      <c r="AG56" s="287"/>
    </row>
    <row r="57" spans="1:33" ht="15" customHeight="1" thickBot="1">
      <c r="A57" s="32"/>
      <c r="B57" s="109"/>
      <c r="C57" s="45" t="s">
        <v>83</v>
      </c>
      <c r="D57" s="45"/>
      <c r="E57" s="45"/>
      <c r="F57" s="45"/>
      <c r="G57" s="45"/>
      <c r="H57" s="45"/>
      <c r="I57" s="46" t="s">
        <v>16</v>
      </c>
      <c r="J57" s="239"/>
      <c r="K57" s="240"/>
      <c r="L57" s="240"/>
      <c r="M57" s="240"/>
      <c r="N57" s="240"/>
      <c r="O57" s="241"/>
      <c r="P57" s="45"/>
      <c r="Q57" s="45"/>
      <c r="R57" s="45"/>
      <c r="S57" s="45"/>
      <c r="T57" s="45"/>
      <c r="U57" s="45"/>
      <c r="V57" s="45"/>
      <c r="W57" s="45"/>
      <c r="X57" s="45"/>
      <c r="Y57" s="45"/>
      <c r="Z57" s="45"/>
      <c r="AA57" s="45"/>
      <c r="AB57" s="110" t="str">
        <f>IF(AND(J57="",K60=""),"Select One",IF(AND(B57="",J57=No_Battery),"Standard",IF(AND(B57="",J57&lt;&gt;""),"Check Selection",IF(AND(B57="x",J57=""),"Check Selection",IF(B57="x",VLOOKUP(J57,Battery_Price,3,FALSE),0)))))</f>
        <v>Select One</v>
      </c>
      <c r="AC57" s="235" t="s">
        <v>84</v>
      </c>
      <c r="AD57" s="235"/>
      <c r="AE57" s="235"/>
      <c r="AF57" s="235"/>
      <c r="AG57" s="236"/>
    </row>
    <row r="58" spans="1:33" ht="15" customHeight="1" thickBot="1">
      <c r="A58" s="32"/>
      <c r="B58" s="45"/>
      <c r="C58" s="109"/>
      <c r="D58" s="45" t="str">
        <f>IF(Data!MI13=FALSE,"Larger Battery Required","Add a 600W Inverter")</f>
        <v>Larger Battery Required</v>
      </c>
      <c r="E58" s="45"/>
      <c r="F58" s="45"/>
      <c r="G58" s="45"/>
      <c r="H58" s="45"/>
      <c r="I58" s="45"/>
      <c r="J58" s="45"/>
      <c r="K58" s="45"/>
      <c r="L58" s="45"/>
      <c r="M58" s="45"/>
      <c r="N58" s="45"/>
      <c r="O58" s="45"/>
      <c r="P58" s="45"/>
      <c r="Q58" s="45"/>
      <c r="S58" s="45"/>
      <c r="T58" s="45"/>
      <c r="U58" s="45"/>
      <c r="V58" s="45"/>
      <c r="W58" s="45"/>
      <c r="X58" s="45"/>
      <c r="Y58" s="45"/>
      <c r="Z58" s="45"/>
      <c r="AA58" s="45"/>
      <c r="AB58" s="110">
        <f>IF(H58&lt;&gt;"","N/A",IF(C58="x",Data!MK4,0))</f>
        <v>0</v>
      </c>
      <c r="AC58" s="237"/>
      <c r="AD58" s="237"/>
      <c r="AE58" s="237"/>
      <c r="AF58" s="237"/>
      <c r="AG58" s="238"/>
    </row>
    <row r="59" spans="1:33" ht="15" customHeight="1" thickBot="1">
      <c r="A59" s="32"/>
      <c r="B59" s="45"/>
      <c r="C59" s="45" t="s">
        <v>85</v>
      </c>
      <c r="D59" s="45"/>
      <c r="E59" s="45"/>
      <c r="F59" s="45"/>
      <c r="G59" s="239" t="s">
        <v>86</v>
      </c>
      <c r="H59" s="240"/>
      <c r="I59" s="240"/>
      <c r="J59" s="240"/>
      <c r="K59" s="241"/>
      <c r="L59" s="45"/>
      <c r="M59" s="45"/>
      <c r="N59" s="45"/>
      <c r="O59" s="45"/>
      <c r="P59" s="45"/>
      <c r="Q59" s="45"/>
      <c r="R59" s="45"/>
      <c r="S59" s="45"/>
      <c r="T59" s="45"/>
      <c r="U59" s="45"/>
      <c r="V59" s="45"/>
      <c r="W59" s="45"/>
      <c r="X59" s="45"/>
      <c r="Y59" s="45"/>
      <c r="Z59" s="45"/>
      <c r="AA59" s="45"/>
      <c r="AB59" s="111" t="str">
        <f>IF(AND(B57&lt;&gt;"",J57&lt;&gt;"",G59=""),"Required",IF(G59=Data!MF4,Data!MG4,Data!MG3))</f>
        <v>Standard</v>
      </c>
      <c r="AC59" s="169" t="s">
        <v>87</v>
      </c>
      <c r="AD59" s="169"/>
      <c r="AE59" s="169"/>
      <c r="AF59" s="169"/>
      <c r="AG59" s="170"/>
    </row>
    <row r="60" spans="1:33" ht="15" customHeight="1" thickBot="1">
      <c r="A60" s="32"/>
      <c r="B60" s="109"/>
      <c r="C60" s="45" t="s">
        <v>88</v>
      </c>
      <c r="D60" s="45"/>
      <c r="E60" s="45"/>
      <c r="F60" s="45"/>
      <c r="G60" s="45"/>
      <c r="H60" s="45"/>
      <c r="I60" s="45"/>
      <c r="J60" s="46" t="s">
        <v>16</v>
      </c>
      <c r="K60" s="239"/>
      <c r="L60" s="240"/>
      <c r="M60" s="240"/>
      <c r="N60" s="240"/>
      <c r="O60" s="240"/>
      <c r="P60" s="240"/>
      <c r="Q60" s="241"/>
      <c r="R60" s="45" t="str">
        <f>IF(Data!MO18=TRUE,"Installed in Rear Galley","")</f>
        <v/>
      </c>
      <c r="S60" s="45"/>
      <c r="T60" s="45"/>
      <c r="U60" s="45"/>
      <c r="V60" s="45"/>
      <c r="W60" s="45"/>
      <c r="X60" s="45"/>
      <c r="Y60" s="45"/>
      <c r="Z60" s="45"/>
      <c r="AA60" s="45"/>
      <c r="AB60" s="111">
        <f>IF(AND(B60="",K60&lt;&gt;""),"Check Selection",IF(AND(B60="x",K60=""),"Check Selection",IF(B60="x",VLOOKUP(K60,GoalZero_Price,3,FALSE),0)))</f>
        <v>0</v>
      </c>
      <c r="AC60" s="171"/>
      <c r="AD60" s="171"/>
      <c r="AE60" s="171"/>
      <c r="AF60" s="171"/>
      <c r="AG60" s="172"/>
    </row>
    <row r="61" spans="1:33" ht="15" customHeight="1" thickBot="1">
      <c r="A61" s="32"/>
      <c r="B61" s="45"/>
      <c r="C61" s="109"/>
      <c r="D61" s="45" t="s">
        <v>89</v>
      </c>
      <c r="E61" s="45"/>
      <c r="F61" s="45"/>
      <c r="G61" s="45"/>
      <c r="H61" s="45"/>
      <c r="I61" s="45"/>
      <c r="J61" s="45"/>
      <c r="K61" s="45"/>
      <c r="L61" s="45"/>
      <c r="M61" s="45"/>
      <c r="N61" s="45"/>
      <c r="O61" s="45"/>
      <c r="P61" s="45"/>
      <c r="Q61" s="45"/>
      <c r="R61" s="45"/>
      <c r="S61" s="45"/>
      <c r="T61" s="45"/>
      <c r="U61" s="45"/>
      <c r="V61" s="45"/>
      <c r="W61" s="45"/>
      <c r="X61" s="45"/>
      <c r="Y61" s="45"/>
      <c r="Z61" s="45"/>
      <c r="AA61" s="45"/>
      <c r="AB61" s="110">
        <f>IF(C61="x",Male_Plug_Price,0)</f>
        <v>0</v>
      </c>
      <c r="AC61" s="171"/>
      <c r="AD61" s="171"/>
      <c r="AE61" s="171"/>
      <c r="AF61" s="171"/>
      <c r="AG61" s="172"/>
    </row>
    <row r="62" spans="1:33" ht="15" customHeight="1" thickBot="1">
      <c r="A62" s="32"/>
      <c r="B62" s="45"/>
      <c r="C62" s="109"/>
      <c r="D62" s="45" t="s">
        <v>90</v>
      </c>
      <c r="E62" s="45"/>
      <c r="F62" s="45"/>
      <c r="G62" s="45"/>
      <c r="H62" s="45"/>
      <c r="I62" s="45"/>
      <c r="J62" s="45"/>
      <c r="K62" s="45"/>
      <c r="L62" s="45"/>
      <c r="M62" s="45"/>
      <c r="N62" s="45"/>
      <c r="O62" s="46" t="s">
        <v>70</v>
      </c>
      <c r="P62" s="239"/>
      <c r="Q62" s="240"/>
      <c r="R62" s="240"/>
      <c r="S62" s="240"/>
      <c r="T62" s="241"/>
      <c r="U62" s="45"/>
      <c r="V62" s="45"/>
      <c r="W62" s="45"/>
      <c r="X62" s="45"/>
      <c r="Y62" s="45"/>
      <c r="Z62" s="45"/>
      <c r="AA62" s="45"/>
      <c r="AB62" s="110">
        <f>IF(AND(C62="",P62&lt;&gt;""),"Check Selection",IF(AND(C62="x",P62=""),"Check Selection",IF(C62="x",VLOOKUP(P62,GoalZero_Mount_Price,3,FALSE),0)))</f>
        <v>0</v>
      </c>
      <c r="AC62" s="288" t="s">
        <v>91</v>
      </c>
      <c r="AD62" s="288"/>
      <c r="AE62" s="288"/>
      <c r="AF62" s="288"/>
      <c r="AG62" s="289"/>
    </row>
    <row r="63" spans="1:33" ht="15" customHeight="1" thickBot="1">
      <c r="A63" s="32"/>
      <c r="B63" s="45"/>
      <c r="C63" s="109"/>
      <c r="D63" s="45" t="s">
        <v>92</v>
      </c>
      <c r="E63" s="45"/>
      <c r="F63" s="45"/>
      <c r="G63" s="45"/>
      <c r="H63" s="45"/>
      <c r="I63" s="45"/>
      <c r="J63" s="45"/>
      <c r="K63" s="45"/>
      <c r="L63" s="45"/>
      <c r="M63" s="45"/>
      <c r="N63" s="45"/>
      <c r="O63" s="45"/>
      <c r="P63" s="45"/>
      <c r="Q63" s="45"/>
      <c r="R63" s="45"/>
      <c r="S63" s="45"/>
      <c r="T63" s="45"/>
      <c r="U63" s="45"/>
      <c r="V63" s="45"/>
      <c r="W63" s="45"/>
      <c r="X63" s="45"/>
      <c r="Y63" s="45"/>
      <c r="Z63" s="45"/>
      <c r="AA63" s="45"/>
      <c r="AB63" s="110">
        <f>IF(C63="x",Data!NA3,0)</f>
        <v>0</v>
      </c>
      <c r="AC63" s="290"/>
      <c r="AD63" s="290"/>
      <c r="AE63" s="290"/>
      <c r="AF63" s="290"/>
      <c r="AG63" s="291"/>
    </row>
    <row r="64" spans="1:33" ht="15" customHeight="1" thickBot="1">
      <c r="A64" s="54"/>
      <c r="B64" s="109"/>
      <c r="C64" s="45" t="s">
        <v>93</v>
      </c>
      <c r="D64" s="45"/>
      <c r="E64" s="45"/>
      <c r="F64" s="45"/>
      <c r="G64" s="45"/>
      <c r="H64" s="45"/>
      <c r="I64" s="45"/>
      <c r="J64" s="45"/>
      <c r="K64" s="45"/>
      <c r="L64" s="45"/>
      <c r="M64" s="45"/>
      <c r="N64" s="45"/>
      <c r="O64" s="45"/>
      <c r="P64" s="45"/>
      <c r="Q64" s="45"/>
      <c r="R64" s="45"/>
      <c r="S64" s="45" t="s">
        <v>63</v>
      </c>
      <c r="T64" s="45"/>
      <c r="U64" s="45"/>
      <c r="V64" s="45"/>
      <c r="W64" s="45"/>
      <c r="X64" s="45"/>
      <c r="Y64" s="45"/>
      <c r="Z64" s="45"/>
      <c r="AA64" s="45"/>
      <c r="AB64" s="110">
        <f>IF(B64="x",Front_110_Price,0)</f>
        <v>0</v>
      </c>
      <c r="AC64" s="290"/>
      <c r="AD64" s="290"/>
      <c r="AE64" s="290"/>
      <c r="AF64" s="290"/>
      <c r="AG64" s="291"/>
    </row>
    <row r="65" spans="1:33" ht="15" customHeight="1" thickBot="1">
      <c r="A65" s="24"/>
      <c r="B65" s="109"/>
      <c r="C65" s="24" t="s">
        <v>94</v>
      </c>
      <c r="D65" s="26"/>
      <c r="E65" s="26"/>
      <c r="F65" s="26"/>
      <c r="G65" s="26"/>
      <c r="H65" s="109"/>
      <c r="I65" s="163" t="str">
        <f>IF(B44="x","Add 12V Fridge Box Power","N/A")</f>
        <v>N/A</v>
      </c>
      <c r="J65" s="26"/>
      <c r="K65" s="26"/>
      <c r="L65" s="26"/>
      <c r="M65" s="26"/>
      <c r="N65" s="26"/>
      <c r="O65" s="109"/>
      <c r="P65" s="163" t="str">
        <f>IF(B44="x","Add 110V Fridge Box Power","N/A")</f>
        <v>N/A</v>
      </c>
      <c r="Q65" s="26"/>
      <c r="R65" s="26"/>
      <c r="S65" s="26"/>
      <c r="T65" s="26"/>
      <c r="U65" s="26"/>
      <c r="V65" s="26"/>
      <c r="W65" s="26"/>
      <c r="X65" s="26"/>
      <c r="Y65" s="26"/>
      <c r="Z65" s="26"/>
      <c r="AA65" s="31"/>
      <c r="AB65" s="110">
        <f>IF(AND(Data!NJ11=FALSE,OR(O65="x",H65="x")),"Error",IF(AND(B65="x",H65="x",O65="x"),(Rear_USB_Price+FB_12V_Price+FB_110_Price),IF(AND(B65="x",H65="x"),(Rear_USB_Price+FB_12V_Price),IF(AND(B65="x",O65="x"),(Rear_USB_Price+FB_110_Price),IF(AND(H65="x",O65="x"),(FB_12V_Price+FB_110_Price),IF(H65="x",FB_12V_Price,IF(O65="x",FB_110_Price,IF(B65="x",Rear_USB_Price,0))))))))</f>
        <v>0</v>
      </c>
      <c r="AC65" s="290"/>
      <c r="AD65" s="290"/>
      <c r="AE65" s="290"/>
      <c r="AF65" s="290"/>
      <c r="AG65" s="291"/>
    </row>
    <row r="66" spans="1:33" ht="15" customHeight="1">
      <c r="A66" s="27" t="s">
        <v>95</v>
      </c>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102"/>
      <c r="AC66" s="290"/>
      <c r="AD66" s="290"/>
      <c r="AE66" s="290"/>
      <c r="AF66" s="290"/>
      <c r="AG66" s="291"/>
    </row>
    <row r="67" spans="1:33" ht="15" customHeight="1" thickBot="1">
      <c r="A67" s="27"/>
      <c r="B67" s="45" t="s">
        <v>96</v>
      </c>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102"/>
      <c r="AC67" s="290"/>
      <c r="AD67" s="290"/>
      <c r="AE67" s="290"/>
      <c r="AF67" s="290"/>
      <c r="AG67" s="291"/>
    </row>
    <row r="68" spans="1:33" ht="15" customHeight="1" thickBot="1">
      <c r="A68" s="32"/>
      <c r="B68" s="45" t="s">
        <v>97</v>
      </c>
      <c r="C68" s="45"/>
      <c r="D68" s="45"/>
      <c r="E68" s="45"/>
      <c r="F68" s="239"/>
      <c r="G68" s="240"/>
      <c r="H68" s="241"/>
      <c r="I68" s="45"/>
      <c r="J68" s="45"/>
      <c r="K68" s="45"/>
      <c r="L68" s="45"/>
      <c r="M68" s="45"/>
      <c r="N68" s="45"/>
      <c r="O68" s="45"/>
      <c r="P68" s="45"/>
      <c r="Q68" s="45"/>
      <c r="R68" s="45"/>
      <c r="S68" s="45"/>
      <c r="T68" s="45"/>
      <c r="U68" s="45"/>
      <c r="V68" s="45"/>
      <c r="W68" s="45"/>
      <c r="X68" s="45"/>
      <c r="Y68" s="45"/>
      <c r="Z68" s="45"/>
      <c r="AA68" s="45"/>
      <c r="AB68" s="110" t="str">
        <f>IF(F68="","Error",VLOOKUP(F68,Cabin_Light_Price,3,FALSE))</f>
        <v>Error</v>
      </c>
      <c r="AC68" s="292"/>
      <c r="AD68" s="292"/>
      <c r="AE68" s="292"/>
      <c r="AF68" s="292"/>
      <c r="AG68" s="293"/>
    </row>
    <row r="69" spans="1:33" ht="15" customHeight="1" thickBot="1">
      <c r="A69" s="32"/>
      <c r="B69" s="109"/>
      <c r="C69" s="45" t="s">
        <v>98</v>
      </c>
      <c r="D69" s="45"/>
      <c r="E69" s="45"/>
      <c r="F69" s="45"/>
      <c r="G69" s="45"/>
      <c r="H69" s="46" t="s">
        <v>16</v>
      </c>
      <c r="I69" s="239"/>
      <c r="J69" s="240"/>
      <c r="K69" s="247"/>
      <c r="L69" s="247"/>
      <c r="M69" s="248"/>
      <c r="N69" s="45"/>
      <c r="O69" s="45"/>
      <c r="P69" s="45"/>
      <c r="Q69" s="45"/>
      <c r="R69" s="45"/>
      <c r="S69" s="45"/>
      <c r="T69" s="45"/>
      <c r="U69" s="45"/>
      <c r="V69" s="45"/>
      <c r="W69" s="45"/>
      <c r="X69" s="45"/>
      <c r="Y69" s="45"/>
      <c r="Z69" s="45"/>
      <c r="AA69" s="45"/>
      <c r="AB69" s="110">
        <f>IF(AND(B69="",I69&lt;&gt;""),"Check Selection",IF(AND(B69="x",I69=""),"Check Selection",IF(B69="x",VLOOKUP(I69,Reading_Light_Price,3,FALSE),0)))</f>
        <v>0</v>
      </c>
      <c r="AC69" s="253" t="s">
        <v>99</v>
      </c>
      <c r="AD69" s="254"/>
      <c r="AE69" s="254"/>
      <c r="AF69" s="254"/>
      <c r="AG69" s="255"/>
    </row>
    <row r="70" spans="1:33" ht="15" customHeight="1" thickBot="1">
      <c r="A70" s="32"/>
      <c r="B70" s="109"/>
      <c r="C70" s="45" t="s">
        <v>100</v>
      </c>
      <c r="D70" s="45"/>
      <c r="E70" s="45"/>
      <c r="F70" s="45"/>
      <c r="G70" s="45"/>
      <c r="H70" s="45"/>
      <c r="I70" s="45"/>
      <c r="J70" s="46" t="s">
        <v>16</v>
      </c>
      <c r="K70" s="239"/>
      <c r="L70" s="240"/>
      <c r="M70" s="240"/>
      <c r="N70" s="241"/>
      <c r="O70" s="45" t="str">
        <f>IF(K70=Basic_Light,Switch_EXT,IF(OR(K70=Flood_Light,K70=Spot_Light),Switch_INT,""))</f>
        <v/>
      </c>
      <c r="P70" s="45"/>
      <c r="Q70" s="45"/>
      <c r="R70" s="45"/>
      <c r="S70" s="45"/>
      <c r="T70" s="45"/>
      <c r="U70" s="45"/>
      <c r="V70" s="45"/>
      <c r="W70" s="45"/>
      <c r="X70" s="45"/>
      <c r="Y70" s="45"/>
      <c r="Z70" s="45"/>
      <c r="AA70" s="45"/>
      <c r="AB70" s="110">
        <f>IF(AND(B70="",K70&lt;&gt;""),"Check Selection",IF(AND(B70="x",K70=""),"Check Selection",IF(B70="x",VLOOKUP(K70,EXT_Light_Price,3,FALSE),0)))</f>
        <v>0</v>
      </c>
      <c r="AC70" s="256"/>
      <c r="AD70" s="257"/>
      <c r="AE70" s="257"/>
      <c r="AF70" s="257"/>
      <c r="AG70" s="258"/>
    </row>
    <row r="71" spans="1:33" ht="15" customHeight="1" thickBot="1">
      <c r="A71" s="32"/>
      <c r="B71" s="109"/>
      <c r="C71" s="45" t="s">
        <v>101</v>
      </c>
      <c r="D71" s="45"/>
      <c r="E71" s="45"/>
      <c r="F71" s="45"/>
      <c r="G71" s="45"/>
      <c r="H71" s="45"/>
      <c r="I71" s="45"/>
      <c r="J71" s="46" t="s">
        <v>16</v>
      </c>
      <c r="K71" s="239"/>
      <c r="L71" s="240"/>
      <c r="M71" s="240"/>
      <c r="N71" s="241"/>
      <c r="O71" s="45" t="str">
        <f>IF(K71=Basic_Light,Switch_EXT,IF(OR(K71=Flood_Light,K71=Spot_Light),Switch_INT,""))</f>
        <v/>
      </c>
      <c r="P71" s="45"/>
      <c r="Q71" s="45"/>
      <c r="R71" s="45"/>
      <c r="S71" s="45"/>
      <c r="T71" s="45"/>
      <c r="U71" s="45"/>
      <c r="V71" s="45"/>
      <c r="W71" s="45"/>
      <c r="X71" s="45"/>
      <c r="Y71" s="45"/>
      <c r="Z71" s="45"/>
      <c r="AA71" s="45"/>
      <c r="AB71" s="110">
        <f>IF(AND(B71="",K71&lt;&gt;""),"Check Selection",IF(AND(B71="x",K71=""),"Check Selection",IF(B71="x",VLOOKUP(K71,EXT_Light_Price,3,FALSE),0)))</f>
        <v>0</v>
      </c>
      <c r="AC71" s="128" t="s">
        <v>102</v>
      </c>
      <c r="AD71" s="4" t="e">
        <f>VLOOKUP(Trailer_Selection,Weight_Chart,2,FALSE)</f>
        <v>#N/A</v>
      </c>
      <c r="AE71" s="4" t="s">
        <v>103</v>
      </c>
      <c r="AF71" s="259" t="s">
        <v>104</v>
      </c>
      <c r="AG71" s="325" t="s">
        <v>105</v>
      </c>
    </row>
    <row r="72" spans="1:33" ht="15" customHeight="1" thickBot="1">
      <c r="A72" s="30"/>
      <c r="B72" s="109"/>
      <c r="C72" s="24" t="s">
        <v>106</v>
      </c>
      <c r="D72" s="26"/>
      <c r="E72" s="26"/>
      <c r="F72" s="26"/>
      <c r="G72" s="26"/>
      <c r="H72" s="26"/>
      <c r="I72" s="26"/>
      <c r="J72" s="33" t="s">
        <v>16</v>
      </c>
      <c r="K72" s="239"/>
      <c r="L72" s="240"/>
      <c r="M72" s="240"/>
      <c r="N72" s="241"/>
      <c r="O72" s="24" t="str">
        <f>IF(K72=Basic_Light,Switch_EXT,IF(OR(K72=Flood_Light,K72=Spot_Light),Switch_INT,""))</f>
        <v/>
      </c>
      <c r="P72" s="26"/>
      <c r="Q72" s="26"/>
      <c r="R72" s="26"/>
      <c r="S72" s="26"/>
      <c r="T72" s="26"/>
      <c r="U72" s="26"/>
      <c r="V72" s="26"/>
      <c r="W72" s="26"/>
      <c r="X72" s="26"/>
      <c r="Y72" s="26"/>
      <c r="Z72" s="26"/>
      <c r="AA72" s="26"/>
      <c r="AB72" s="110">
        <f>IF(AND(B72="",K72&lt;&gt;""),"Check Selection",IF(AND(B72="x",K72=""),"Check Selection",IF(B72="x",VLOOKUP(K72,EXT_Light_Price,3,FALSE),0)))</f>
        <v>0</v>
      </c>
      <c r="AC72" s="129" t="s">
        <v>107</v>
      </c>
      <c r="AD72" s="3" t="e">
        <f>VLOOKUP(Trailer_Selection,Weight_Chart,3,FALSE)</f>
        <v>#N/A</v>
      </c>
      <c r="AE72" s="3" t="s">
        <v>103</v>
      </c>
      <c r="AF72" s="260"/>
      <c r="AG72" s="326"/>
    </row>
    <row r="73" spans="1:33" ht="15" customHeight="1" thickBot="1">
      <c r="A73" s="27" t="s">
        <v>108</v>
      </c>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102"/>
      <c r="AC73" s="130" t="s">
        <v>109</v>
      </c>
      <c r="AD73" s="59"/>
      <c r="AE73" s="60"/>
      <c r="AF73" s="61"/>
      <c r="AG73" s="44" t="str">
        <f>IF(Data!JC19=TRUE,"Yes","No")</f>
        <v>No</v>
      </c>
    </row>
    <row r="74" spans="1:33" ht="15" customHeight="1" thickBot="1">
      <c r="A74" s="32"/>
      <c r="B74" s="109"/>
      <c r="C74" s="45" t="s">
        <v>110</v>
      </c>
      <c r="D74" s="45"/>
      <c r="E74" s="45"/>
      <c r="F74" s="45"/>
      <c r="G74" s="45"/>
      <c r="H74" s="45"/>
      <c r="I74" s="46" t="s">
        <v>16</v>
      </c>
      <c r="J74" s="239"/>
      <c r="K74" s="240"/>
      <c r="L74" s="240"/>
      <c r="M74" s="240"/>
      <c r="N74" s="240"/>
      <c r="O74" s="240"/>
      <c r="P74" s="241"/>
      <c r="Q74" s="45" t="str">
        <f>IF(J74&lt;&gt;"","Connection Type","")</f>
        <v/>
      </c>
      <c r="R74" s="45"/>
      <c r="S74" s="45"/>
      <c r="T74" s="45"/>
      <c r="U74" s="45" t="str">
        <f>IF(Data!ON34=TRUE,Data!OO33,IF(Data!ON37=TRUE,Data!OO36,IF(Data!ON40=TRUE,Data!OO39,IF(Data!ON43=TRUE,Data!OO42,""))))</f>
        <v/>
      </c>
      <c r="V74" s="45"/>
      <c r="W74" s="45"/>
      <c r="X74" s="45"/>
      <c r="Y74" s="45"/>
      <c r="Z74" s="45"/>
      <c r="AA74" s="45"/>
      <c r="AB74" s="110">
        <f>IF(AND(B74="",J74&lt;&gt;""),"Check Selection",IF(AND(B74="x",J74=""),"Check Selection",IF(B74="x",VLOOKUP(J74,Portable_Solar_Price,3,FALSE),0)))</f>
        <v>0</v>
      </c>
      <c r="AC74" s="131" t="s">
        <v>111</v>
      </c>
      <c r="AD74" s="56"/>
      <c r="AE74" s="55"/>
      <c r="AF74" s="56"/>
      <c r="AG74" s="126" t="e">
        <f>VLOOKUP(Trailer_Selection,Spec_Table,4,FALSE)</f>
        <v>#N/A</v>
      </c>
    </row>
    <row r="75" spans="1:33" ht="15" customHeight="1" thickBot="1">
      <c r="A75" s="119"/>
      <c r="B75" s="109"/>
      <c r="C75" s="45" t="s">
        <v>112</v>
      </c>
      <c r="D75" s="45"/>
      <c r="E75" s="45"/>
      <c r="F75" s="45"/>
      <c r="G75" s="45"/>
      <c r="H75" s="45"/>
      <c r="I75" s="46" t="s">
        <v>16</v>
      </c>
      <c r="J75" s="239"/>
      <c r="K75" s="240"/>
      <c r="L75" s="240"/>
      <c r="M75" s="240"/>
      <c r="N75" s="240"/>
      <c r="O75" s="240"/>
      <c r="P75" s="241"/>
      <c r="Q75" s="45"/>
      <c r="R75" s="45"/>
      <c r="S75" s="120" t="s">
        <v>113</v>
      </c>
      <c r="T75" s="239"/>
      <c r="U75" s="240"/>
      <c r="V75" s="240"/>
      <c r="W75" s="240"/>
      <c r="X75" s="241"/>
      <c r="Y75" s="45" t="str">
        <f>IF(AND(B75="x",J75&lt;&gt;"",T75=""),"Required","")</f>
        <v/>
      </c>
      <c r="Z75" s="45"/>
      <c r="AA75" s="45"/>
      <c r="AB75" s="110">
        <f>IF(Y75&lt;&gt;"","Check Selection",IF(AND(B75="",J75&lt;&gt;""),"Check Selection",IF(AND(B75="x",J75=""),"Check Selection",IF(B75="x",VLOOKUP(J75,Permanent_Solar_Price,3,FALSE),0))))</f>
        <v>0</v>
      </c>
      <c r="AC75" s="132" t="s">
        <v>114</v>
      </c>
      <c r="AD75" s="58"/>
      <c r="AE75" s="57"/>
      <c r="AF75" s="58"/>
      <c r="AG75" s="127" t="e">
        <f>VLOOKUP(Trailer_Selection,Spec_Table,5,FALSE)</f>
        <v>#N/A</v>
      </c>
    </row>
    <row r="76" spans="1:33" ht="15" customHeight="1" thickBot="1">
      <c r="A76" s="30"/>
      <c r="B76" s="109"/>
      <c r="C76" s="24" t="s">
        <v>115</v>
      </c>
      <c r="D76" s="26"/>
      <c r="E76" s="26"/>
      <c r="F76" s="26"/>
      <c r="G76" s="26"/>
      <c r="H76" s="26"/>
      <c r="I76" s="33" t="s">
        <v>16</v>
      </c>
      <c r="J76" s="239"/>
      <c r="K76" s="240"/>
      <c r="L76" s="240"/>
      <c r="M76" s="240"/>
      <c r="N76" s="240"/>
      <c r="O76" s="240"/>
      <c r="P76" s="241"/>
      <c r="Q76" s="24"/>
      <c r="R76" s="26"/>
      <c r="S76" s="26"/>
      <c r="T76" s="26"/>
      <c r="U76" s="26"/>
      <c r="V76" s="26"/>
      <c r="W76" s="26"/>
      <c r="X76" s="26"/>
      <c r="Y76" s="26"/>
      <c r="Z76" s="26"/>
      <c r="AA76" s="31"/>
      <c r="AB76" s="110">
        <f>IF(AND(B76="",J76&lt;&gt;""),"Check Selection",IF(AND(B76="x",J76=""),"Check Selection",IF(B76="x",VLOOKUP(J76,Solar_Adapter_Price,3,FALSE),0)))</f>
        <v>0</v>
      </c>
      <c r="AC76" s="133" t="s">
        <v>116</v>
      </c>
      <c r="AD76" s="134"/>
      <c r="AE76" s="135"/>
      <c r="AF76" s="344" t="str">
        <f>Data!RK4</f>
        <v>13/16th or 19mm</v>
      </c>
      <c r="AG76" s="345"/>
    </row>
    <row r="77" spans="1:33" ht="15" customHeight="1" thickBot="1">
      <c r="A77" s="27" t="s">
        <v>117</v>
      </c>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102"/>
      <c r="AC77" s="346" t="s">
        <v>118</v>
      </c>
      <c r="AD77" s="347"/>
      <c r="AE77" s="347"/>
      <c r="AF77" s="347"/>
      <c r="AG77" s="348"/>
    </row>
    <row r="78" spans="1:33" ht="15" customHeight="1" thickBot="1">
      <c r="A78" s="27"/>
      <c r="B78" s="121"/>
      <c r="C78" s="45" t="s">
        <v>119</v>
      </c>
      <c r="D78" s="45"/>
      <c r="E78" s="45"/>
      <c r="F78" s="45"/>
      <c r="G78" s="45"/>
      <c r="H78" s="45"/>
      <c r="I78" s="45"/>
      <c r="J78" s="45"/>
      <c r="K78" s="45"/>
      <c r="L78" s="45"/>
      <c r="M78" s="45"/>
      <c r="N78" s="45"/>
      <c r="O78" s="45"/>
      <c r="P78" s="45"/>
      <c r="Q78" s="45"/>
      <c r="R78" s="45"/>
      <c r="S78" s="45"/>
      <c r="T78" s="45"/>
      <c r="U78" s="45"/>
      <c r="V78" s="45"/>
      <c r="W78" s="45"/>
      <c r="X78" s="45"/>
      <c r="Y78" s="45"/>
      <c r="Z78" s="45"/>
      <c r="AA78" s="45"/>
      <c r="AB78" s="110">
        <f>IF(B78="x",Data!PH3,0)</f>
        <v>0</v>
      </c>
      <c r="AC78" s="340"/>
      <c r="AD78" s="335"/>
      <c r="AE78" s="335"/>
      <c r="AF78" s="335"/>
      <c r="AG78" s="336"/>
    </row>
    <row r="79" spans="1:33" ht="15" customHeight="1" thickBot="1">
      <c r="A79" s="119"/>
      <c r="B79" s="109"/>
      <c r="C79" s="45" t="str">
        <f>IF(Data!PF40=TRUE,Data!PF43,Data!PF44)</f>
        <v>Undermount Water Not Available on This Model or Size</v>
      </c>
      <c r="D79" s="45"/>
      <c r="E79" s="45"/>
      <c r="F79" s="45"/>
      <c r="G79" s="45"/>
      <c r="H79" s="45"/>
      <c r="I79" s="45"/>
      <c r="J79" s="45"/>
      <c r="K79" s="45"/>
      <c r="L79" s="45"/>
      <c r="M79" s="45"/>
      <c r="N79" s="45"/>
      <c r="O79" s="45"/>
      <c r="P79" s="45"/>
      <c r="Q79" s="45"/>
      <c r="R79" s="45"/>
      <c r="S79" s="45"/>
      <c r="T79" s="45"/>
      <c r="U79" s="45"/>
      <c r="V79" s="45"/>
      <c r="W79" s="45"/>
      <c r="X79" s="45"/>
      <c r="Y79" s="45"/>
      <c r="Z79" s="45"/>
      <c r="AA79" s="45"/>
      <c r="AB79" s="110" t="str">
        <f>IF(C79=Data!PF44,"N/A",IF(B79="x",Data!PH4,0))</f>
        <v>N/A</v>
      </c>
      <c r="AC79" s="340"/>
      <c r="AD79" s="335"/>
      <c r="AE79" s="335"/>
      <c r="AF79" s="335"/>
      <c r="AG79" s="336"/>
    </row>
    <row r="80" spans="1:33" ht="15" customHeight="1" thickBot="1">
      <c r="A80" s="24"/>
      <c r="B80" s="109"/>
      <c r="C80" s="24" t="s">
        <v>120</v>
      </c>
      <c r="D80" s="26"/>
      <c r="E80" s="26"/>
      <c r="F80" s="26"/>
      <c r="G80" s="26"/>
      <c r="H80" s="26"/>
      <c r="I80" s="26"/>
      <c r="J80" s="26" t="str">
        <f>IF(AND(B80="x",B79=""),"*Requires Constant Pressure to Operate","")</f>
        <v/>
      </c>
      <c r="K80" s="26"/>
      <c r="L80" s="26"/>
      <c r="M80" s="26"/>
      <c r="N80" s="26"/>
      <c r="O80" s="26"/>
      <c r="P80" s="26"/>
      <c r="Q80" s="26"/>
      <c r="R80" s="26"/>
      <c r="S80" s="26"/>
      <c r="T80" s="26"/>
      <c r="U80" s="26"/>
      <c r="V80" s="26"/>
      <c r="W80" s="26"/>
      <c r="X80" s="26"/>
      <c r="Y80" s="26"/>
      <c r="Z80" s="26"/>
      <c r="AA80" s="26"/>
      <c r="AB80" s="110">
        <f>IF(B80="x",Data!PH5,0)</f>
        <v>0</v>
      </c>
      <c r="AC80" s="340"/>
      <c r="AD80" s="335"/>
      <c r="AE80" s="335"/>
      <c r="AF80" s="335"/>
      <c r="AG80" s="336"/>
    </row>
    <row r="81" spans="1:33" ht="15" customHeight="1" thickBot="1">
      <c r="A81" s="27" t="s">
        <v>121</v>
      </c>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102"/>
      <c r="AC81" s="340"/>
      <c r="AD81" s="335"/>
      <c r="AE81" s="335"/>
      <c r="AF81" s="335"/>
      <c r="AG81" s="336"/>
    </row>
    <row r="82" spans="1:33" ht="15" customHeight="1" thickBot="1">
      <c r="A82" s="32"/>
      <c r="B82" s="113"/>
      <c r="C82" s="45" t="s">
        <v>122</v>
      </c>
      <c r="D82" s="45"/>
      <c r="E82" s="45"/>
      <c r="F82" s="45"/>
      <c r="G82" s="45"/>
      <c r="H82" s="45"/>
      <c r="I82" s="46" t="s">
        <v>16</v>
      </c>
      <c r="J82" s="239"/>
      <c r="K82" s="240"/>
      <c r="L82" s="240"/>
      <c r="M82" s="240"/>
      <c r="N82" s="240"/>
      <c r="O82" s="240"/>
      <c r="P82" s="240"/>
      <c r="Q82" s="240"/>
      <c r="R82" s="241"/>
      <c r="S82" s="45" t="str">
        <f>IF(Data!PL38=TRUE,IF(Data!PL31=TRUE,Data!PL34,Data!PL35),"")</f>
        <v/>
      </c>
      <c r="T82" s="45"/>
      <c r="U82" s="45"/>
      <c r="V82" s="45"/>
      <c r="W82" s="45"/>
      <c r="X82" s="45"/>
      <c r="Y82" s="45"/>
      <c r="Z82" s="45"/>
      <c r="AA82" s="45"/>
      <c r="AB82" s="110">
        <f>IF(AND(B82="",J82&lt;&gt;""),"Check Selection",IF(AND(B82="x",J82=""),"Check Selection",IF(B82="x",VLOOKUP(J82,Fridge_Price,3,FALSE),0)))</f>
        <v>0</v>
      </c>
      <c r="AC82" s="337"/>
      <c r="AD82" s="338"/>
      <c r="AE82" s="338"/>
      <c r="AF82" s="338"/>
      <c r="AG82" s="339"/>
    </row>
    <row r="83" spans="1:33" ht="15" customHeight="1" thickBot="1">
      <c r="A83" s="30"/>
      <c r="B83" s="113"/>
      <c r="C83" s="24" t="str">
        <f>IF(Data!PL41=TRUE,Data!PL45,Data!PL44)</f>
        <v>Fridge Box Required for Slide Add On</v>
      </c>
      <c r="D83" s="26"/>
      <c r="E83" s="26"/>
      <c r="F83" s="26"/>
      <c r="G83" s="26"/>
      <c r="H83" s="26"/>
      <c r="I83" s="26"/>
      <c r="J83" s="26"/>
      <c r="K83" s="26"/>
      <c r="L83" s="26"/>
      <c r="M83" s="26"/>
      <c r="N83" s="26"/>
      <c r="O83" s="26"/>
      <c r="P83" s="26"/>
      <c r="Q83" s="26"/>
      <c r="R83" s="26"/>
      <c r="S83" s="26"/>
      <c r="T83" s="26"/>
      <c r="U83" s="26"/>
      <c r="V83" s="26"/>
      <c r="W83" s="26"/>
      <c r="X83" s="26"/>
      <c r="Y83" s="26"/>
      <c r="Z83" s="26"/>
      <c r="AA83" s="31"/>
      <c r="AB83" s="110" t="str">
        <f>IF(AND(Data!PL41=FALSE,B83="x"),"Error",IF(Data!PL41=FALSE,"N/A",IF(Data!PL41=TRUE,IF(B83="x",Data!PN13,0))))</f>
        <v>N/A</v>
      </c>
      <c r="AC83" s="349" t="s">
        <v>123</v>
      </c>
      <c r="AD83" s="350"/>
      <c r="AE83" s="350"/>
      <c r="AF83" s="350"/>
      <c r="AG83" s="351"/>
    </row>
    <row r="84" spans="1:33" ht="15" customHeight="1" thickBot="1">
      <c r="A84" s="27" t="s">
        <v>124</v>
      </c>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102"/>
      <c r="AC84" s="352"/>
      <c r="AD84" s="353"/>
      <c r="AE84" s="353"/>
      <c r="AF84" s="353"/>
      <c r="AG84" s="354"/>
    </row>
    <row r="85" spans="1:33" ht="15" customHeight="1" thickBot="1">
      <c r="A85" s="32"/>
      <c r="B85" s="109"/>
      <c r="C85" s="45" t="s">
        <v>125</v>
      </c>
      <c r="D85" s="45"/>
      <c r="E85" s="45"/>
      <c r="F85" s="45"/>
      <c r="G85" s="45"/>
      <c r="H85" s="45"/>
      <c r="I85" s="45"/>
      <c r="J85" s="46"/>
      <c r="K85" s="45"/>
      <c r="L85" s="45"/>
      <c r="M85" s="45"/>
      <c r="N85" s="45"/>
      <c r="O85" s="45"/>
      <c r="P85" s="45"/>
      <c r="Q85" s="45"/>
      <c r="R85" s="45"/>
      <c r="S85" s="45"/>
      <c r="T85" s="45"/>
      <c r="U85" s="45"/>
      <c r="V85" s="45"/>
      <c r="W85" s="45"/>
      <c r="X85" s="45"/>
      <c r="Y85" s="45"/>
      <c r="Z85" s="45"/>
      <c r="AA85" s="45"/>
      <c r="AB85" s="122">
        <f>IF(B85="x",VLOOKUP(Quote_Trailer_Size,Trailer_Cover_Price,3,FALSE),0)</f>
        <v>0</v>
      </c>
      <c r="AC85" s="355"/>
      <c r="AD85" s="356"/>
      <c r="AE85" s="356"/>
      <c r="AF85" s="356"/>
      <c r="AG85" s="357"/>
    </row>
    <row r="86" spans="1:33" ht="15" customHeight="1" thickBot="1">
      <c r="A86" s="32"/>
      <c r="B86" s="109"/>
      <c r="C86" s="45" t="s">
        <v>126</v>
      </c>
      <c r="D86" s="45"/>
      <c r="E86" s="45"/>
      <c r="F86" s="45"/>
      <c r="G86" s="45"/>
      <c r="H86" s="45"/>
      <c r="I86" s="45"/>
      <c r="J86" s="45"/>
      <c r="K86" s="45"/>
      <c r="L86" s="45"/>
      <c r="M86" s="45"/>
      <c r="N86" s="45"/>
      <c r="O86" s="45"/>
      <c r="P86" s="45"/>
      <c r="Q86" s="45"/>
      <c r="R86" s="45"/>
      <c r="S86" s="45"/>
      <c r="T86" s="45"/>
      <c r="U86" s="45"/>
      <c r="V86" s="45"/>
      <c r="W86" s="45"/>
      <c r="X86" s="45"/>
      <c r="Y86" s="45"/>
      <c r="Z86" s="45"/>
      <c r="AA86" s="45"/>
      <c r="AB86" s="122">
        <f>IF(B86="x",Data!QV3,0)</f>
        <v>0</v>
      </c>
      <c r="AC86" s="346" t="s">
        <v>127</v>
      </c>
      <c r="AD86" s="347"/>
      <c r="AE86" s="347"/>
      <c r="AF86" s="347"/>
      <c r="AG86" s="348"/>
    </row>
    <row r="87" spans="1:33" ht="15" customHeight="1" thickBot="1">
      <c r="A87" s="32"/>
      <c r="B87" s="109"/>
      <c r="C87" s="45" t="s">
        <v>128</v>
      </c>
      <c r="D87" s="45"/>
      <c r="E87" s="45"/>
      <c r="F87" s="45"/>
      <c r="G87" s="45"/>
      <c r="H87" s="45"/>
      <c r="I87" s="45"/>
      <c r="J87" s="45"/>
      <c r="K87" s="45"/>
      <c r="L87" s="45"/>
      <c r="M87" s="45"/>
      <c r="N87" s="45"/>
      <c r="O87" s="45"/>
      <c r="P87" s="45"/>
      <c r="Q87" s="45"/>
      <c r="R87" s="45"/>
      <c r="S87" s="45"/>
      <c r="T87" s="45"/>
      <c r="U87" s="45"/>
      <c r="V87" s="45"/>
      <c r="W87" s="45"/>
      <c r="X87" s="45"/>
      <c r="Y87" s="45"/>
      <c r="Z87" s="45"/>
      <c r="AA87" s="45"/>
      <c r="AB87" s="122">
        <f>IF(B87="x",Data!QV4,0)</f>
        <v>0</v>
      </c>
      <c r="AC87" s="340"/>
      <c r="AD87" s="335"/>
      <c r="AE87" s="335"/>
      <c r="AF87" s="335"/>
      <c r="AG87" s="336"/>
    </row>
    <row r="88" spans="1:33" ht="15" customHeight="1" thickBot="1">
      <c r="A88" s="32"/>
      <c r="B88" s="109"/>
      <c r="C88" s="45" t="s">
        <v>129</v>
      </c>
      <c r="D88" s="45"/>
      <c r="E88" s="45"/>
      <c r="F88" s="45"/>
      <c r="G88" s="45"/>
      <c r="H88" s="45" t="str">
        <f>IF(AND(B88="x",B37="x"),"*Brakes will not function with this adapter","")</f>
        <v/>
      </c>
      <c r="I88" s="45"/>
      <c r="J88" s="46"/>
      <c r="K88" s="45"/>
      <c r="L88" s="45"/>
      <c r="M88" s="45"/>
      <c r="N88" s="45"/>
      <c r="O88" s="45"/>
      <c r="P88" s="45"/>
      <c r="Q88" s="45"/>
      <c r="R88" s="45"/>
      <c r="S88" s="45"/>
      <c r="T88" s="45"/>
      <c r="U88" s="45"/>
      <c r="V88" s="45"/>
      <c r="W88" s="45"/>
      <c r="X88" s="45"/>
      <c r="Y88" s="45"/>
      <c r="Z88" s="45"/>
      <c r="AA88" s="45"/>
      <c r="AB88" s="122">
        <f>IF(B88="x",Data!QV5,0)</f>
        <v>0</v>
      </c>
      <c r="AC88" s="340"/>
      <c r="AD88" s="335"/>
      <c r="AE88" s="335"/>
      <c r="AF88" s="335"/>
      <c r="AG88" s="336"/>
    </row>
    <row r="89" spans="1:33" ht="15" customHeight="1" thickBot="1">
      <c r="A89" s="32"/>
      <c r="B89" s="109"/>
      <c r="C89" s="45" t="s">
        <v>130</v>
      </c>
      <c r="D89" s="45"/>
      <c r="E89" s="45"/>
      <c r="F89" s="45"/>
      <c r="G89" s="45"/>
      <c r="H89" s="45"/>
      <c r="I89" s="45"/>
      <c r="J89" s="46"/>
      <c r="K89" s="47"/>
      <c r="L89" s="47"/>
      <c r="M89" s="47"/>
      <c r="N89" s="47"/>
      <c r="O89" s="47"/>
      <c r="P89" s="47"/>
      <c r="Q89" s="45"/>
      <c r="R89" s="45"/>
      <c r="S89" s="45"/>
      <c r="T89" s="45"/>
      <c r="U89" s="45"/>
      <c r="V89" s="45"/>
      <c r="W89" s="45"/>
      <c r="X89" s="45"/>
      <c r="Y89" s="45"/>
      <c r="Z89" s="45"/>
      <c r="AA89" s="45"/>
      <c r="AB89" s="122">
        <f>IF(B89="x",Data!QV6,0)</f>
        <v>0</v>
      </c>
      <c r="AC89" s="340"/>
      <c r="AD89" s="335"/>
      <c r="AE89" s="335"/>
      <c r="AF89" s="335"/>
      <c r="AG89" s="336"/>
    </row>
    <row r="90" spans="1:33" ht="15" customHeight="1" thickBot="1">
      <c r="A90" s="30"/>
      <c r="B90" s="109"/>
      <c r="C90" s="24" t="s">
        <v>131</v>
      </c>
      <c r="D90" s="26"/>
      <c r="E90" s="26"/>
      <c r="F90" s="26"/>
      <c r="G90" s="26"/>
      <c r="H90" s="26"/>
      <c r="I90" s="26"/>
      <c r="J90" s="65"/>
      <c r="K90" s="43"/>
      <c r="L90" s="43"/>
      <c r="M90" s="43"/>
      <c r="N90" s="43"/>
      <c r="O90" s="43"/>
      <c r="P90" s="43"/>
      <c r="Q90" s="26"/>
      <c r="R90" s="26"/>
      <c r="S90" s="26"/>
      <c r="T90" s="26"/>
      <c r="U90" s="26"/>
      <c r="V90" s="26"/>
      <c r="W90" s="26"/>
      <c r="X90" s="26"/>
      <c r="Y90" s="26"/>
      <c r="Z90" s="26"/>
      <c r="AA90" s="31"/>
      <c r="AB90" s="122">
        <f>IF(B90="x",Data!QV7,0)</f>
        <v>0</v>
      </c>
      <c r="AC90" s="341" t="s">
        <v>132</v>
      </c>
      <c r="AD90" s="342"/>
      <c r="AE90" s="342"/>
      <c r="AF90" s="342"/>
      <c r="AG90" s="343"/>
    </row>
    <row r="91" spans="1:33" ht="15" customHeight="1">
      <c r="A91" s="27" t="s">
        <v>133</v>
      </c>
      <c r="B91" s="45"/>
      <c r="C91" s="45"/>
      <c r="D91" s="45"/>
      <c r="E91" s="164" t="s">
        <v>134</v>
      </c>
      <c r="F91" s="45"/>
      <c r="G91" s="45"/>
      <c r="H91" s="45"/>
      <c r="I91" s="45"/>
      <c r="J91" s="45"/>
      <c r="K91" s="45"/>
      <c r="L91" s="45"/>
      <c r="M91" s="45"/>
      <c r="N91" s="45"/>
      <c r="O91" s="45"/>
      <c r="P91" s="45"/>
      <c r="Q91" s="45"/>
      <c r="R91" s="45"/>
      <c r="S91" s="45"/>
      <c r="T91" s="45"/>
      <c r="U91" s="45"/>
      <c r="V91" s="45"/>
      <c r="W91" s="45"/>
      <c r="X91" s="45"/>
      <c r="Y91" s="45"/>
      <c r="Z91" s="45"/>
      <c r="AA91" s="45"/>
      <c r="AB91" s="105"/>
      <c r="AC91" s="341"/>
      <c r="AD91" s="342"/>
      <c r="AE91" s="342"/>
      <c r="AF91" s="342"/>
      <c r="AG91" s="343"/>
    </row>
    <row r="92" spans="1:33" ht="15" customHeight="1">
      <c r="A92" s="27"/>
      <c r="B92" s="165" t="s">
        <v>135</v>
      </c>
      <c r="C92" s="165"/>
      <c r="D92" s="165"/>
      <c r="E92" s="165"/>
      <c r="F92" s="165"/>
      <c r="G92" s="165"/>
      <c r="H92" s="165"/>
      <c r="I92" s="165"/>
      <c r="J92" s="165"/>
      <c r="K92" s="165"/>
      <c r="L92" s="165"/>
      <c r="M92" s="165"/>
      <c r="N92" s="165"/>
      <c r="O92" s="165"/>
      <c r="P92" s="165"/>
      <c r="Q92" s="165"/>
      <c r="R92" s="165"/>
      <c r="S92" s="165"/>
      <c r="T92" s="165"/>
      <c r="U92" s="165"/>
      <c r="V92" s="165"/>
      <c r="W92" s="165"/>
      <c r="X92" s="165"/>
      <c r="Y92" s="165"/>
      <c r="Z92" s="45"/>
      <c r="AA92" s="45"/>
      <c r="AB92" s="105"/>
      <c r="AC92" s="334" t="str">
        <f>HYPERLINK("https://www.hikertrailers.com/","website")</f>
        <v>website</v>
      </c>
      <c r="AD92" s="335"/>
      <c r="AE92" s="335"/>
      <c r="AF92" s="335"/>
      <c r="AG92" s="336"/>
    </row>
    <row r="93" spans="1:33" ht="15" customHeight="1">
      <c r="A93" s="32"/>
      <c r="B93" s="165"/>
      <c r="C93" s="166" t="s">
        <v>136</v>
      </c>
      <c r="D93" s="165"/>
      <c r="E93" s="165"/>
      <c r="F93" s="165"/>
      <c r="G93" s="165"/>
      <c r="H93" s="165"/>
      <c r="I93" s="166" t="s">
        <v>137</v>
      </c>
      <c r="J93" s="165"/>
      <c r="K93" s="165"/>
      <c r="L93" s="165"/>
      <c r="M93" s="165"/>
      <c r="N93" s="165"/>
      <c r="O93" s="165"/>
      <c r="P93" s="165"/>
      <c r="Q93" s="165"/>
      <c r="R93" s="165"/>
      <c r="S93" s="166" t="s">
        <v>138</v>
      </c>
      <c r="T93" s="165"/>
      <c r="U93" s="165"/>
      <c r="V93" s="165"/>
      <c r="W93" s="165"/>
      <c r="X93" s="165"/>
      <c r="Y93" s="165"/>
      <c r="Z93" s="45"/>
      <c r="AA93" s="45"/>
      <c r="AB93" s="105"/>
      <c r="AC93" s="340" t="s">
        <v>139</v>
      </c>
      <c r="AD93" s="335"/>
      <c r="AE93" s="335"/>
      <c r="AF93" s="335"/>
      <c r="AG93" s="336"/>
    </row>
    <row r="94" spans="1:33" ht="15" customHeight="1" thickBot="1">
      <c r="A94" s="48"/>
      <c r="B94" s="165"/>
      <c r="C94" s="166" t="s">
        <v>140</v>
      </c>
      <c r="D94" s="165"/>
      <c r="E94" s="165"/>
      <c r="F94" s="165"/>
      <c r="G94" s="165"/>
      <c r="H94" s="165"/>
      <c r="I94" s="166" t="s">
        <v>141</v>
      </c>
      <c r="J94" s="165"/>
      <c r="K94" s="165"/>
      <c r="L94" s="165"/>
      <c r="M94" s="165"/>
      <c r="N94" s="165"/>
      <c r="O94" s="165"/>
      <c r="P94" s="165"/>
      <c r="Q94" s="165"/>
      <c r="R94" s="165"/>
      <c r="S94" s="166" t="s">
        <v>142</v>
      </c>
      <c r="T94" s="165"/>
      <c r="U94" s="165"/>
      <c r="V94" s="165"/>
      <c r="W94" s="165"/>
      <c r="X94" s="165"/>
      <c r="Y94" s="165"/>
      <c r="Z94" s="45"/>
      <c r="AA94" s="45"/>
      <c r="AB94" s="105"/>
      <c r="AC94" s="340"/>
      <c r="AD94" s="335"/>
      <c r="AE94" s="335"/>
      <c r="AF94" s="335"/>
      <c r="AG94" s="336"/>
    </row>
    <row r="95" spans="1:33" ht="15" customHeight="1" thickBot="1">
      <c r="A95" s="24"/>
      <c r="B95" s="109"/>
      <c r="C95" s="167" t="s">
        <v>143</v>
      </c>
      <c r="D95" s="26"/>
      <c r="E95" s="26"/>
      <c r="F95" s="26"/>
      <c r="G95" s="26"/>
      <c r="H95" s="26"/>
      <c r="I95" s="168" t="s">
        <v>144</v>
      </c>
      <c r="J95" s="239"/>
      <c r="K95" s="241"/>
      <c r="L95" s="26"/>
      <c r="M95" s="26"/>
      <c r="N95" s="168" t="s">
        <v>145</v>
      </c>
      <c r="O95" s="239"/>
      <c r="P95" s="241"/>
      <c r="Q95" s="26"/>
      <c r="R95" s="26"/>
      <c r="S95" s="26"/>
      <c r="T95" s="26"/>
      <c r="U95" s="26"/>
      <c r="V95" s="26"/>
      <c r="W95" s="26"/>
      <c r="X95" s="26"/>
      <c r="Y95" s="26"/>
      <c r="Z95" s="26"/>
      <c r="AA95" s="26"/>
      <c r="AB95" s="122" t="str">
        <f>IF(E91&lt;&gt;"","Coming Soon",IF(AND(B95="x",OR(J95="",O95="")),"Choose Sizes",IF(AND(B95="x",J95&lt;&gt;"",O95&lt;&gt;""),Data!QV9,0)))</f>
        <v>Coming Soon</v>
      </c>
      <c r="AC95" s="334" t="str">
        <f>HYPERLINK("https://www.youtube.com/c/HikerTrailers/","Hiker Trailers YouTube")</f>
        <v>Hiker Trailers YouTube</v>
      </c>
      <c r="AD95" s="335"/>
      <c r="AE95" s="335"/>
      <c r="AF95" s="335"/>
      <c r="AG95" s="336"/>
    </row>
    <row r="96" spans="1:33" ht="15" customHeight="1">
      <c r="A96" s="27" t="s">
        <v>146</v>
      </c>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105"/>
      <c r="AC96" s="136"/>
      <c r="AD96" s="118"/>
      <c r="AE96" s="118"/>
      <c r="AF96" s="118"/>
      <c r="AG96" s="115"/>
    </row>
    <row r="97" spans="1:33" ht="15" customHeight="1" thickBot="1">
      <c r="A97" s="27"/>
      <c r="B97" s="124" t="s">
        <v>147</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105"/>
      <c r="AC97" s="340" t="s">
        <v>148</v>
      </c>
      <c r="AD97" s="335"/>
      <c r="AE97" s="335"/>
      <c r="AF97" s="335"/>
      <c r="AG97" s="336"/>
    </row>
    <row r="98" spans="1:33" ht="15" customHeight="1" thickBot="1">
      <c r="A98" s="30"/>
      <c r="B98" s="317" t="s">
        <v>149</v>
      </c>
      <c r="C98" s="318"/>
      <c r="D98" s="318"/>
      <c r="E98" s="318"/>
      <c r="F98" s="319"/>
      <c r="G98" s="24"/>
      <c r="H98" s="26"/>
      <c r="I98" s="26"/>
      <c r="J98" s="26"/>
      <c r="K98" s="26"/>
      <c r="L98" s="26"/>
      <c r="M98" s="26"/>
      <c r="N98" s="26"/>
      <c r="O98" s="26"/>
      <c r="P98" s="26"/>
      <c r="Q98" s="26"/>
      <c r="R98" s="26"/>
      <c r="S98" s="26"/>
      <c r="T98" s="26"/>
      <c r="U98" s="26"/>
      <c r="V98" s="26"/>
      <c r="W98" s="26"/>
      <c r="X98" s="26"/>
      <c r="Y98" s="26"/>
      <c r="Z98" s="26"/>
      <c r="AA98" s="31"/>
      <c r="AB98" s="122" t="str">
        <f>IF(B98="","Required",VLOOKUP(B98,Pick_Up_Price,3,FALSE))</f>
        <v>Free</v>
      </c>
      <c r="AC98" s="340"/>
      <c r="AD98" s="335"/>
      <c r="AE98" s="335"/>
      <c r="AF98" s="335"/>
      <c r="AG98" s="336"/>
    </row>
    <row r="99" spans="1:33" ht="15" customHeight="1" thickBot="1">
      <c r="A99" s="27" t="s">
        <v>150</v>
      </c>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105"/>
      <c r="AC99" s="334" t="str">
        <f>HYPERLINK("https://www.facebook.com/groups/hikertrailerownerexchange/","Hiker Trailer Owner's Exchange")</f>
        <v>Hiker Trailer Owner's Exchange</v>
      </c>
      <c r="AD99" s="335"/>
      <c r="AE99" s="335"/>
      <c r="AF99" s="335"/>
      <c r="AG99" s="336"/>
    </row>
    <row r="100" spans="1:33" ht="15" customHeight="1" thickBot="1">
      <c r="A100" s="34"/>
      <c r="B100" s="123" t="s">
        <v>151</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6"/>
      <c r="AB100" s="104" t="s">
        <v>152</v>
      </c>
      <c r="AC100" s="337"/>
      <c r="AD100" s="338"/>
      <c r="AE100" s="338"/>
      <c r="AF100" s="338"/>
      <c r="AG100" s="339"/>
    </row>
    <row r="101" spans="1:33">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105"/>
    </row>
    <row r="102" spans="1:33">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105"/>
    </row>
    <row r="103" spans="1:3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105"/>
    </row>
    <row r="104" spans="1:33">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105"/>
    </row>
    <row r="105" spans="1:33">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105"/>
    </row>
    <row r="106" spans="1:33">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105"/>
    </row>
    <row r="107" spans="1:33">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105"/>
    </row>
    <row r="108" spans="1:33">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105"/>
    </row>
    <row r="109" spans="1:33">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105"/>
    </row>
    <row r="110" spans="1:33">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105"/>
    </row>
    <row r="111" spans="1:33">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105"/>
    </row>
    <row r="112" spans="1:33">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105"/>
    </row>
    <row r="113" spans="1:28">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105"/>
    </row>
    <row r="114" spans="1:28" ht="1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06"/>
    </row>
    <row r="115" spans="1:28" ht="1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106"/>
    </row>
    <row r="116" spans="1:28" ht="1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106"/>
    </row>
    <row r="117" spans="1:28" ht="18">
      <c r="AB117" s="106"/>
    </row>
    <row r="118" spans="1:28">
      <c r="AB118" s="107"/>
    </row>
    <row r="119" spans="1:28">
      <c r="AB119" s="107"/>
    </row>
  </sheetData>
  <sheetProtection selectLockedCells="1"/>
  <mergeCells count="108">
    <mergeCell ref="AC99:AG100"/>
    <mergeCell ref="AC97:AG98"/>
    <mergeCell ref="AC95:AG95"/>
    <mergeCell ref="AC90:AG91"/>
    <mergeCell ref="J76:P76"/>
    <mergeCell ref="T75:X75"/>
    <mergeCell ref="J95:K95"/>
    <mergeCell ref="O95:P95"/>
    <mergeCell ref="AF76:AG76"/>
    <mergeCell ref="AC92:AG92"/>
    <mergeCell ref="AC93:AG94"/>
    <mergeCell ref="AC77:AG82"/>
    <mergeCell ref="AC83:AG85"/>
    <mergeCell ref="AC86:AG89"/>
    <mergeCell ref="AG71:AG72"/>
    <mergeCell ref="B3:G3"/>
    <mergeCell ref="J3:M3"/>
    <mergeCell ref="K11:Q11"/>
    <mergeCell ref="F68:H68"/>
    <mergeCell ref="I69:M69"/>
    <mergeCell ref="L46:M46"/>
    <mergeCell ref="G8:M8"/>
    <mergeCell ref="G16:M16"/>
    <mergeCell ref="H19:M19"/>
    <mergeCell ref="J20:M20"/>
    <mergeCell ref="J21:M21"/>
    <mergeCell ref="L47:M47"/>
    <mergeCell ref="B33:AB34"/>
    <mergeCell ref="H43:O43"/>
    <mergeCell ref="K60:Q60"/>
    <mergeCell ref="P62:T62"/>
    <mergeCell ref="S11:U11"/>
    <mergeCell ref="C20:G20"/>
    <mergeCell ref="E16:F16"/>
    <mergeCell ref="H18:M18"/>
    <mergeCell ref="G17:M17"/>
    <mergeCell ref="B14:AB15"/>
    <mergeCell ref="V11:AA11"/>
    <mergeCell ref="B98:F98"/>
    <mergeCell ref="J82:R82"/>
    <mergeCell ref="K70:N70"/>
    <mergeCell ref="K71:N71"/>
    <mergeCell ref="J23:M23"/>
    <mergeCell ref="J75:P75"/>
    <mergeCell ref="I52:O52"/>
    <mergeCell ref="I53:O53"/>
    <mergeCell ref="K72:N72"/>
    <mergeCell ref="J74:P74"/>
    <mergeCell ref="J26:O26"/>
    <mergeCell ref="K28:Q28"/>
    <mergeCell ref="K27:Q27"/>
    <mergeCell ref="K29:Q29"/>
    <mergeCell ref="N36:S36"/>
    <mergeCell ref="K30:Q30"/>
    <mergeCell ref="A1:AB1"/>
    <mergeCell ref="AC69:AG70"/>
    <mergeCell ref="AF71:AF72"/>
    <mergeCell ref="AD2:AG2"/>
    <mergeCell ref="AD3:AG3"/>
    <mergeCell ref="AD4:AG4"/>
    <mergeCell ref="AC5:AC6"/>
    <mergeCell ref="AD5:AG5"/>
    <mergeCell ref="AD6:AE6"/>
    <mergeCell ref="AC10:AG10"/>
    <mergeCell ref="AC16:AG17"/>
    <mergeCell ref="AC18:AF18"/>
    <mergeCell ref="AC19:AF19"/>
    <mergeCell ref="AC21:AF21"/>
    <mergeCell ref="J57:O57"/>
    <mergeCell ref="AC54:AG56"/>
    <mergeCell ref="AC62:AG68"/>
    <mergeCell ref="AC36:AG38"/>
    <mergeCell ref="AC39:AG40"/>
    <mergeCell ref="AC41:AG43"/>
    <mergeCell ref="AC46:AG48"/>
    <mergeCell ref="AC1:AG1"/>
    <mergeCell ref="AD11:AG11"/>
    <mergeCell ref="AD12:AG12"/>
    <mergeCell ref="J5:P5"/>
    <mergeCell ref="G7:M7"/>
    <mergeCell ref="P8:S8"/>
    <mergeCell ref="G59:K59"/>
    <mergeCell ref="G50:L50"/>
    <mergeCell ref="B55:AB56"/>
    <mergeCell ref="K31:Q31"/>
    <mergeCell ref="J35:Q35"/>
    <mergeCell ref="E36:I36"/>
    <mergeCell ref="K12:Q12"/>
    <mergeCell ref="AC59:AG61"/>
    <mergeCell ref="AD13:AG13"/>
    <mergeCell ref="AC44:AG45"/>
    <mergeCell ref="AC7:AD7"/>
    <mergeCell ref="AE7:AG7"/>
    <mergeCell ref="AC8:AD9"/>
    <mergeCell ref="AE8:AG9"/>
    <mergeCell ref="AC20:AF20"/>
    <mergeCell ref="AC23:AF23"/>
    <mergeCell ref="AC24:AG25"/>
    <mergeCell ref="AC26:AG28"/>
    <mergeCell ref="AC29:AG30"/>
    <mergeCell ref="AC31:AG33"/>
    <mergeCell ref="AC34:AG35"/>
    <mergeCell ref="AC22:AF22"/>
    <mergeCell ref="AD14:AE15"/>
    <mergeCell ref="AF14:AG15"/>
    <mergeCell ref="AC49:AG50"/>
    <mergeCell ref="AC51:AG53"/>
    <mergeCell ref="AC57:AG58"/>
  </mergeCells>
  <conditionalFormatting sqref="C39">
    <cfRule type="expression" dxfId="2" priority="1">
      <formula>"EOR Exclusive Option"</formula>
    </cfRule>
  </conditionalFormatting>
  <dataValidations count="44">
    <dataValidation type="list" allowBlank="1" showInputMessage="1" showErrorMessage="1" sqref="AG6" xr:uid="{CDA2399B-D1A8-4F22-A577-762BA8A5D1F3}">
      <formula1>States_List</formula1>
    </dataValidation>
    <dataValidation type="list" allowBlank="1" showInputMessage="1" showErrorMessage="1" sqref="B3:G3" xr:uid="{7DBCED54-6F5C-4A0E-97FB-F5A515E9333C}">
      <formula1>Trailer_Model_List</formula1>
    </dataValidation>
    <dataValidation type="list" allowBlank="1" showInputMessage="1" showErrorMessage="1" sqref="J5:P5" xr:uid="{D7CBC8E1-3A0E-480F-9266-12F5939D3622}">
      <formula1>IF(Quote_Color_Standard="x",Standard_Color_List,IF(Quote_Color_Premium="x",Premium_Color_List,"Select One"))</formula1>
    </dataValidation>
    <dataValidation type="list" allowBlank="1" showInputMessage="1" showErrorMessage="1" sqref="G7:M7" xr:uid="{5109FC57-3E5D-4480-B416-7562E018DE9F}">
      <formula1>Front_DPlate_List</formula1>
    </dataValidation>
    <dataValidation type="list" allowBlank="1" showInputMessage="1" showErrorMessage="1" sqref="G8:M8" xr:uid="{6FFE21CD-6913-4380-868D-B0B6E15DA59E}">
      <formula1>Side_DPlate_List</formula1>
    </dataValidation>
    <dataValidation type="list" allowBlank="1" showInputMessage="1" showErrorMessage="1" sqref="P8:S8" xr:uid="{EFC2FEF8-691C-4512-B5F2-72150281536F}">
      <formula1>DPlate_Color</formula1>
    </dataValidation>
    <dataValidation type="list" allowBlank="1" showInputMessage="1" showErrorMessage="1" sqref="K11:Q11" xr:uid="{DD807C3B-0C31-4502-AB53-80B27358B5EB}">
      <formula1>IF(Quote_Add_2nd_Door="x",Second_Door_List,Single_Door_List)</formula1>
    </dataValidation>
    <dataValidation type="list" allowBlank="1" showInputMessage="1" showErrorMessage="1" sqref="S11:U11" xr:uid="{A7A6D670-DD47-470E-90D7-862ABED6A0E6}">
      <formula1>Door_Color_List</formula1>
    </dataValidation>
    <dataValidation type="list" allowBlank="1" showInputMessage="1" showErrorMessage="1" sqref="E16:F16" xr:uid="{5BB85840-AF7C-4A8E-9F9E-38BBA2DB536C}">
      <formula1>IF(Quote_Trailer_Size&lt;&gt;"5' x 8'",Galley_Depth_List,Galley_Standard)</formula1>
    </dataValidation>
    <dataValidation type="list" allowBlank="1" showInputMessage="1" showErrorMessage="1" sqref="H18:M18" xr:uid="{F225A27A-3712-49E7-8F78-BD6C09495248}">
      <formula1>Drawer_List</formula1>
    </dataValidation>
    <dataValidation type="list" allowBlank="1" showInputMessage="1" showErrorMessage="1" sqref="G17:M17" xr:uid="{15E07C2D-C741-46C3-A582-6D4FEF58377E}">
      <formula1>IF(Logic_Bunk_Bed=TRUE,Galley_SolidWall_Required,IF(Logic_Drawers=TRUE,Galley_CloseOFF_Required,Galley_CloseOFF_List))</formula1>
    </dataValidation>
    <dataValidation type="list" allowBlank="1" showInputMessage="1" showErrorMessage="1" sqref="H19:M19" xr:uid="{A9154BAC-04A0-4F94-B703-5D918CD875BD}">
      <formula1>IF(Logic_Bunk_Bed=TRUE,Cabinet_Door_FrontOnly,Cabinet_Doors_List)</formula1>
    </dataValidation>
    <dataValidation type="list" allowBlank="1" showInputMessage="1" showErrorMessage="1" sqref="J20:M20" xr:uid="{61EBC976-9AD8-4DA2-A7CE-6F142DA615B9}">
      <formula1>Slide_Out_List</formula1>
    </dataValidation>
    <dataValidation type="list" allowBlank="1" showInputMessage="1" showErrorMessage="1" sqref="J21:M21" xr:uid="{110FC8F6-EE9A-40B3-9361-07158749DD19}">
      <formula1>Side_Table_List</formula1>
    </dataValidation>
    <dataValidation type="list" allowBlank="1" showInputMessage="1" showErrorMessage="1" sqref="J23:M23" xr:uid="{0B43C58E-EF7D-4410-BA09-EEBF3DE48E13}">
      <formula1>Rear_Shelf_List</formula1>
    </dataValidation>
    <dataValidation type="list" allowBlank="1" showInputMessage="1" showErrorMessage="1" sqref="K27:Q27" xr:uid="{64382B03-3A89-44DB-9AF9-ADCEF65D2429}">
      <formula1>PAS_Awning_List</formula1>
    </dataValidation>
    <dataValidation type="list" allowBlank="1" showInputMessage="1" showErrorMessage="1" sqref="K28:Q28" xr:uid="{E7111120-BA42-46B0-90D2-BA2A6E95073B}">
      <formula1>DVR_Awning_List</formula1>
    </dataValidation>
    <dataValidation type="list" allowBlank="1" showInputMessage="1" showErrorMessage="1" sqref="K29:Q29" xr:uid="{439FD99D-AE9A-4735-9B26-FEC4F9ED8A6F}">
      <formula1>Rooftop_Water_List</formula1>
    </dataValidation>
    <dataValidation type="list" allowBlank="1" showInputMessage="1" showErrorMessage="1" sqref="K30:Q30" xr:uid="{88362699-E4F7-42B6-B282-44679AD2D307}">
      <formula1>Rooftop_Storage_List</formula1>
    </dataValidation>
    <dataValidation type="list" allowBlank="1" showInputMessage="1" showErrorMessage="1" sqref="K31:Q31" xr:uid="{DAC1BB2A-F3A9-47DF-81A1-2ED9B5A0154C}">
      <formula1>RTT_List</formula1>
    </dataValidation>
    <dataValidation type="list" allowBlank="1" showInputMessage="1" showErrorMessage="1" sqref="J26:O26" xr:uid="{E8F0F3D2-DFF1-41D9-BC88-AA7FD4B945B9}">
      <formula1>IF(RTT_List_Logic=TRUE,Roof_Rack_RTT_List,IF(Logic_Roof_Rack_Required=TRUE,Roof_Rack_Required,Roof_Rack_List))</formula1>
    </dataValidation>
    <dataValidation type="list" allowBlank="1" showInputMessage="1" showErrorMessage="1" sqref="J35:Q35" xr:uid="{424D2165-C2EC-42FF-B2EC-895CCFF3C179}">
      <formula1>IF(Quote_Trailer_Model=Highway_Deluxe,HD_Spare_List,IF(Quote_Trailer_Model=MidRange_Deluxe,MR_Spare_List,IF(Quote_Trailer_Model=MidRange_XL,XL_Spare_List,EOR_Spare_List)))</formula1>
    </dataValidation>
    <dataValidation type="list" allowBlank="1" showInputMessage="1" showErrorMessage="1" sqref="E36:I36" xr:uid="{497320B6-8CB5-45D6-ACB4-65CC8C27FA28}">
      <formula1>IF(Quote_Trailer_Model=Highway_Deluxe,Ball_Only,Trailer_Hitch_List)</formula1>
    </dataValidation>
    <dataValidation type="list" allowBlank="1" showInputMessage="1" showErrorMessage="1" sqref="N36" xr:uid="{3C955FFD-DE1D-47B0-B845-2EABEC1E48F4}">
      <formula1>IF(OR(Quote_Trailer_Model=Highway_Deluxe,$E$36=Ball_Only),Customer_Provided,Vehicle_Hitch_List)</formula1>
    </dataValidation>
    <dataValidation type="list" allowBlank="1" showInputMessage="1" showErrorMessage="1" sqref="H43:O43" xr:uid="{00F48815-0ED3-42C5-8F0B-8F2754278C10}">
      <formula1>IF(Quote_Trailer_Model=Extreme_OffRoad,EOR_Toolbox,HD_Toolbox)</formula1>
    </dataValidation>
    <dataValidation type="list" allowBlank="1" showInputMessage="1" showErrorMessage="1" sqref="L46:M47" xr:uid="{ABFC26A5-7A1C-43E9-9336-46E6C538636C}">
      <formula1>TankMount_List</formula1>
    </dataValidation>
    <dataValidation type="list" allowBlank="1" showInputMessage="1" showErrorMessage="1" sqref="G50:L50" xr:uid="{B0680627-B847-4876-A165-ADC077D1062E}">
      <formula1>Fan_Type_List</formula1>
    </dataValidation>
    <dataValidation type="list" allowBlank="1" showInputMessage="1" showErrorMessage="1" sqref="I52:O52" xr:uid="{7CF1A848-22CB-4C23-A29D-9A0FBE5F0EFA}">
      <formula1>Rooftop_AC_List</formula1>
    </dataValidation>
    <dataValidation type="list" allowBlank="1" showInputMessage="1" showErrorMessage="1" sqref="I53:O53" xr:uid="{35212682-086B-44C2-8D01-A5A42E74179D}">
      <formula1>Heat_List</formula1>
    </dataValidation>
    <dataValidation type="list" allowBlank="1" showInputMessage="1" showErrorMessage="1" sqref="J57:O57" xr:uid="{3F7EDC49-4CAB-45C5-9781-4927CDCEF6EA}">
      <formula1>IF($B$57="",No_Battery,Battery_List)</formula1>
    </dataValidation>
    <dataValidation type="list" allowBlank="1" showInputMessage="1" showErrorMessage="1" sqref="G59:K59" xr:uid="{8C1442C9-5C82-4B3C-8086-E42297DE15E2}">
      <formula1>Battery_Location_List</formula1>
    </dataValidation>
    <dataValidation type="list" allowBlank="1" showInputMessage="1" showErrorMessage="1" sqref="K60:Q60" xr:uid="{577F6CCF-3221-49E0-9AFC-5DFF61F0909E}">
      <formula1>GoalZero_List</formula1>
    </dataValidation>
    <dataValidation type="list" allowBlank="1" showInputMessage="1" showErrorMessage="1" sqref="P62:T62" xr:uid="{68490D54-BDC1-4EA7-9C8A-0EE8D8733702}">
      <formula1>GoalZero_Mount_List</formula1>
    </dataValidation>
    <dataValidation type="list" allowBlank="1" showInputMessage="1" showErrorMessage="1" sqref="F68:H68" xr:uid="{CE51510D-DA69-483B-8F7D-0917C0031094}">
      <formula1>Cabin_Light_list</formula1>
    </dataValidation>
    <dataValidation type="list" allowBlank="1" showInputMessage="1" showErrorMessage="1" sqref="I69:M69" xr:uid="{67E50206-0294-4C4C-B7A8-357588B31996}">
      <formula1>Reading_Light_List</formula1>
    </dataValidation>
    <dataValidation type="list" allowBlank="1" showInputMessage="1" showErrorMessage="1" sqref="K70:N72" xr:uid="{6BD68FA0-70D6-4357-B0E3-96C803154837}">
      <formula1>EXT_Light_List</formula1>
    </dataValidation>
    <dataValidation type="list" allowBlank="1" showInputMessage="1" showErrorMessage="1" sqref="J74:P74" xr:uid="{D12F6057-D01A-41B2-89F0-7E3B32C1C86A}">
      <formula1>Portable_Solar_List</formula1>
    </dataValidation>
    <dataValidation type="list" allowBlank="1" showInputMessage="1" showErrorMessage="1" sqref="J75:P75" xr:uid="{9943364D-7C71-4A46-A89D-8DFDBF33C41D}">
      <formula1>Permanent_Solar_List</formula1>
    </dataValidation>
    <dataValidation type="list" allowBlank="1" showInputMessage="1" showErrorMessage="1" sqref="T75:X75" xr:uid="{DD7EF489-2107-480E-9238-08958B51B518}">
      <formula1>Permanent_Install_List</formula1>
    </dataValidation>
    <dataValidation type="list" allowBlank="1" showInputMessage="1" showErrorMessage="1" sqref="J76:P76" xr:uid="{6203FB9D-CA75-448D-BE23-BB5C4D9421A0}">
      <formula1>Solar_Adapters</formula1>
    </dataValidation>
    <dataValidation type="list" allowBlank="1" showInputMessage="1" showErrorMessage="1" sqref="J82:R82" xr:uid="{D166134D-A2CC-4009-857C-6EFFC7A2AD86}">
      <formula1>Fridge_List</formula1>
    </dataValidation>
    <dataValidation type="list" allowBlank="1" showInputMessage="1" showErrorMessage="1" sqref="J95:K95 O95:P95" xr:uid="{42D17639-FCEA-44A6-8A31-99C9E1B25F0F}">
      <formula1>Shirt_Size</formula1>
    </dataValidation>
    <dataValidation type="list" allowBlank="1" showInputMessage="1" showErrorMessage="1" sqref="B98:F98" xr:uid="{26C27EFE-09AE-4F92-B2D4-6C104FB3CEB7}">
      <formula1>Pick_Up_List</formula1>
    </dataValidation>
    <dataValidation type="list" allowBlank="1" showInputMessage="1" showErrorMessage="1" sqref="AB100" xr:uid="{EA277C3D-7208-4ECA-830C-69C6FE2CA8EE}">
      <formula1>Dealer_Fee</formula1>
    </dataValidation>
  </dataValidations>
  <pageMargins left="0.75" right="0.75" top="1" bottom="0.25" header="0" footer="0"/>
  <pageSetup scale="42" orientation="portrait" horizontalDpi="300" verticalDpi="300" r:id="rId1"/>
  <headerFooter alignWithMargins="0">
    <oddHeader xml:space="preserve">&amp;L&amp;"Roboto,Regular"&amp;11Hiker Trailers
2860 N National Rd.  Suite B
Columbus, IN 47201&amp;C&amp;"Roboto,Bold"&amp;36&amp;K000000Hiker Trailer Custom Build
&amp;24- Quote -
&amp;36
&amp;R&amp;"Roboto,Regular"&amp;11hikertrailers@numagroupinc.com
812-975-5300
M-F 9a-4p (est)
Sat. by Appt. 
</oddHead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F6DD6DE-7D4C-4654-A6A3-EA68318957C7}">
          <x14:formula1>
            <xm:f>IF($B$3=Data!$D$6,EOR_Trailer_Size,Trailer_Size)</xm:f>
          </x14:formula1>
          <xm:sqref>J3:M3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413C-1959-4C0A-8DF0-580E8B3A9535}">
  <sheetPr>
    <pageSetUpPr fitToPage="1"/>
  </sheetPr>
  <dimension ref="A1:AG119"/>
  <sheetViews>
    <sheetView view="pageLayout" zoomScaleNormal="100" workbookViewId="0">
      <selection activeCell="W9" sqref="W9"/>
    </sheetView>
  </sheetViews>
  <sheetFormatPr defaultColWidth="8.625" defaultRowHeight="15"/>
  <cols>
    <col min="1" max="27" width="4" style="1" customWidth="1"/>
    <col min="28" max="28" width="19.875" style="56" customWidth="1"/>
    <col min="29" max="33" width="14.125" style="1" customWidth="1"/>
    <col min="34" max="16384" width="8.625" style="1"/>
  </cols>
  <sheetData>
    <row r="1" spans="1:33" ht="15" customHeight="1" thickBot="1">
      <c r="A1" s="365" t="s">
        <v>0</v>
      </c>
      <c r="B1" s="366"/>
      <c r="C1" s="366"/>
      <c r="D1" s="366"/>
      <c r="E1" s="366"/>
      <c r="F1" s="366"/>
      <c r="G1" s="366"/>
      <c r="H1" s="366"/>
      <c r="I1" s="366"/>
      <c r="J1" s="366"/>
      <c r="K1" s="366"/>
      <c r="L1" s="366"/>
      <c r="M1" s="366"/>
      <c r="N1" s="366"/>
      <c r="O1" s="366"/>
      <c r="P1" s="366"/>
      <c r="Q1" s="366"/>
      <c r="R1" s="366"/>
      <c r="S1" s="366"/>
      <c r="T1" s="366"/>
      <c r="U1" s="366"/>
      <c r="V1" s="366"/>
      <c r="W1" s="366"/>
      <c r="X1" s="366"/>
      <c r="Y1" s="366"/>
      <c r="Z1" s="366"/>
      <c r="AA1" s="366"/>
      <c r="AB1" s="366"/>
      <c r="AC1" s="367" t="s">
        <v>1</v>
      </c>
      <c r="AD1" s="368"/>
      <c r="AE1" s="368"/>
      <c r="AF1" s="368"/>
      <c r="AG1" s="369"/>
    </row>
    <row r="2" spans="1:33" ht="15" customHeight="1" thickBot="1">
      <c r="A2" s="28" t="s">
        <v>2</v>
      </c>
      <c r="B2" s="25"/>
      <c r="C2" s="25"/>
      <c r="D2" s="25"/>
      <c r="E2" s="25"/>
      <c r="F2" s="25"/>
      <c r="G2" s="25"/>
      <c r="H2" s="25"/>
      <c r="I2" s="29" t="s">
        <v>3</v>
      </c>
      <c r="J2" s="25"/>
      <c r="K2" s="25"/>
      <c r="L2" s="25"/>
      <c r="M2" s="25"/>
      <c r="N2" s="25"/>
      <c r="O2" s="29"/>
      <c r="P2" s="25"/>
      <c r="Q2" s="25"/>
      <c r="R2" s="25"/>
      <c r="S2" s="25"/>
      <c r="T2" s="25"/>
      <c r="U2" s="25"/>
      <c r="V2" s="25"/>
      <c r="W2" s="25"/>
      <c r="X2" s="25"/>
      <c r="Y2" s="25"/>
      <c r="Z2" s="25"/>
      <c r="AA2" s="25"/>
      <c r="AB2" s="142"/>
      <c r="AC2" s="155" t="s">
        <v>4</v>
      </c>
      <c r="AD2" s="358" t="str">
        <f>IF('INPUT (Quote)'!AD2="","",'INPUT (Quote)'!AD2)</f>
        <v/>
      </c>
      <c r="AE2" s="358"/>
      <c r="AF2" s="358"/>
      <c r="AG2" s="359"/>
    </row>
    <row r="3" spans="1:33" ht="15" customHeight="1" thickBot="1">
      <c r="A3" s="30"/>
      <c r="B3" s="239">
        <f>Quote_Trailer_Model</f>
        <v>0</v>
      </c>
      <c r="C3" s="240"/>
      <c r="D3" s="240"/>
      <c r="E3" s="240"/>
      <c r="F3" s="240"/>
      <c r="G3" s="241"/>
      <c r="H3" s="24"/>
      <c r="I3" s="31"/>
      <c r="J3" s="239">
        <f>Quote_Trailer_Size</f>
        <v>0</v>
      </c>
      <c r="K3" s="240"/>
      <c r="L3" s="240"/>
      <c r="M3" s="241"/>
      <c r="N3" s="24"/>
      <c r="O3" s="26"/>
      <c r="P3" s="26"/>
      <c r="Q3" s="26"/>
      <c r="R3" s="26"/>
      <c r="S3" s="26"/>
      <c r="T3" s="26"/>
      <c r="U3" s="26"/>
      <c r="V3" s="26"/>
      <c r="W3" s="26"/>
      <c r="X3" s="26"/>
      <c r="Y3" s="26"/>
      <c r="Z3" s="26"/>
      <c r="AA3" s="31"/>
      <c r="AB3" s="122" t="str">
        <f>'INPUT (Quote)'!AB3</f>
        <v>Select Size/Model</v>
      </c>
      <c r="AC3" s="155" t="s">
        <v>5</v>
      </c>
      <c r="AD3" s="358" t="str">
        <f>IF('INPUT (Quote)'!AD3="","",'INPUT (Quote)'!AD3)</f>
        <v/>
      </c>
      <c r="AE3" s="358"/>
      <c r="AF3" s="358"/>
      <c r="AG3" s="359"/>
    </row>
    <row r="4" spans="1:33" ht="15" customHeight="1" thickBot="1">
      <c r="A4" s="27" t="s">
        <v>6</v>
      </c>
      <c r="B4" s="47"/>
      <c r="C4" s="49"/>
      <c r="D4" s="47"/>
      <c r="E4" s="47"/>
      <c r="F4" s="47"/>
      <c r="G4" s="47"/>
      <c r="H4" s="47"/>
      <c r="I4" s="45"/>
      <c r="J4" s="45" t="s">
        <v>7</v>
      </c>
      <c r="K4" s="49"/>
      <c r="L4" s="47"/>
      <c r="M4" s="47"/>
      <c r="N4" s="47"/>
      <c r="O4" s="45"/>
      <c r="P4" s="45"/>
      <c r="Q4" s="47"/>
      <c r="R4" s="47"/>
      <c r="S4" s="47"/>
      <c r="T4" s="47"/>
      <c r="U4" s="47"/>
      <c r="V4" s="45"/>
      <c r="W4" s="45"/>
      <c r="X4" s="45"/>
      <c r="Y4" s="45"/>
      <c r="Z4" s="45"/>
      <c r="AA4" s="45"/>
      <c r="AB4" s="105"/>
      <c r="AC4" s="155" t="s">
        <v>8</v>
      </c>
      <c r="AD4" s="358" t="str">
        <f>IF('INPUT (Quote)'!AD4="","",'INPUT (Quote)'!AD4)</f>
        <v/>
      </c>
      <c r="AE4" s="358"/>
      <c r="AF4" s="358"/>
      <c r="AG4" s="359"/>
    </row>
    <row r="5" spans="1:33" ht="15" customHeight="1" thickBot="1">
      <c r="A5" s="51"/>
      <c r="B5" s="108" t="str">
        <f>IF(Quote_Color_Standard&lt;&gt;"",Quote_Color_Standard,"")</f>
        <v/>
      </c>
      <c r="C5" s="24" t="s">
        <v>9</v>
      </c>
      <c r="D5" s="26"/>
      <c r="E5" s="31"/>
      <c r="F5" s="109" t="str">
        <f>IF(Quote_Color_Premium&lt;&gt;"",Quote_Color_Premium,"")</f>
        <v/>
      </c>
      <c r="G5" s="24" t="s">
        <v>10</v>
      </c>
      <c r="H5" s="26"/>
      <c r="I5" s="31"/>
      <c r="J5" s="239" t="str">
        <f>IF(Quote_Color_Selection&lt;&gt;"",Quote_Color_Selection,"")</f>
        <v/>
      </c>
      <c r="K5" s="240"/>
      <c r="L5" s="240"/>
      <c r="M5" s="240"/>
      <c r="N5" s="240"/>
      <c r="O5" s="240"/>
      <c r="P5" s="241"/>
      <c r="Q5" s="43"/>
      <c r="R5" s="43"/>
      <c r="S5" s="43"/>
      <c r="T5" s="43"/>
      <c r="U5" s="43"/>
      <c r="V5" s="26"/>
      <c r="W5" s="26"/>
      <c r="X5" s="26"/>
      <c r="Y5" s="26"/>
      <c r="Z5" s="26"/>
      <c r="AA5" s="26"/>
      <c r="AB5" s="122" t="str">
        <f>'INPUT (Quote)'!AB5</f>
        <v>Select One</v>
      </c>
      <c r="AC5" s="360" t="s">
        <v>11</v>
      </c>
      <c r="AD5" s="358" t="str">
        <f>IF('INPUT (Quote)'!AD5="","",'INPUT (Quote)'!AD5)</f>
        <v/>
      </c>
      <c r="AE5" s="358"/>
      <c r="AF5" s="358"/>
      <c r="AG5" s="359"/>
    </row>
    <row r="6" spans="1:33" ht="15" customHeight="1" thickBot="1">
      <c r="A6" s="27" t="s">
        <v>12</v>
      </c>
      <c r="B6" s="45"/>
      <c r="C6" s="45"/>
      <c r="D6" s="45"/>
      <c r="E6" s="45"/>
      <c r="F6" s="45"/>
      <c r="G6" s="45"/>
      <c r="H6" s="45"/>
      <c r="I6" s="45"/>
      <c r="J6" s="45"/>
      <c r="K6" s="45"/>
      <c r="L6" s="45"/>
      <c r="M6" s="45"/>
      <c r="N6" s="45"/>
      <c r="O6" s="45"/>
      <c r="P6" s="45"/>
      <c r="Q6" s="45"/>
      <c r="R6" s="45"/>
      <c r="S6" s="45"/>
      <c r="T6" s="45"/>
      <c r="U6" s="45"/>
      <c r="V6" s="45"/>
      <c r="W6" s="45"/>
      <c r="X6" s="45"/>
      <c r="Y6" s="45"/>
      <c r="Z6" s="45"/>
      <c r="AA6" s="45"/>
      <c r="AB6" s="105"/>
      <c r="AC6" s="361"/>
      <c r="AD6" s="362" t="str">
        <f>IF('INPUT (Quote)'!AD6="","",'INPUT (Quote)'!AD6)</f>
        <v/>
      </c>
      <c r="AE6" s="362"/>
      <c r="AF6" s="156" t="s">
        <v>13</v>
      </c>
      <c r="AG6" s="157" t="str">
        <f>'INPUT (Quote)'!AG6</f>
        <v>CA</v>
      </c>
    </row>
    <row r="7" spans="1:33" ht="15" customHeight="1" thickBot="1">
      <c r="A7" s="32"/>
      <c r="B7" s="109" t="str">
        <f>IF(Quote_Front_DPlate="","",Quote_Front_DPlate)</f>
        <v/>
      </c>
      <c r="C7" s="45" t="s">
        <v>15</v>
      </c>
      <c r="D7" s="45"/>
      <c r="E7" s="45"/>
      <c r="F7" s="46" t="s">
        <v>16</v>
      </c>
      <c r="G7" s="239" t="str">
        <f>IF(Quote_Front_DPlate_Selection="","",Quote_Front_DPlate_Selection)</f>
        <v/>
      </c>
      <c r="H7" s="240"/>
      <c r="I7" s="240"/>
      <c r="J7" s="240"/>
      <c r="K7" s="240"/>
      <c r="L7" s="240"/>
      <c r="M7" s="241"/>
      <c r="N7" s="45"/>
      <c r="O7" s="45"/>
      <c r="P7" s="45" t="s">
        <v>6</v>
      </c>
      <c r="Q7" s="45"/>
      <c r="R7" s="45"/>
      <c r="S7" s="45"/>
      <c r="T7" s="45"/>
      <c r="U7" s="45"/>
      <c r="V7" s="45"/>
      <c r="W7" s="45"/>
      <c r="X7" s="45"/>
      <c r="Y7" s="45"/>
      <c r="Z7" s="45"/>
      <c r="AA7" s="45"/>
      <c r="AB7" s="110">
        <f>'INPUT (Quote)'!AB7</f>
        <v>0</v>
      </c>
      <c r="AC7" s="363" t="s">
        <v>153</v>
      </c>
      <c r="AD7" s="364"/>
      <c r="AE7" s="449"/>
      <c r="AF7" s="451" t="s">
        <v>154</v>
      </c>
      <c r="AG7" s="452"/>
    </row>
    <row r="8" spans="1:33" ht="15" customHeight="1" thickBot="1">
      <c r="A8" s="30"/>
      <c r="B8" s="109" t="str">
        <f>IF(Quote_Side_DPlate="","",Quote_Side_DPlate)</f>
        <v/>
      </c>
      <c r="C8" s="24" t="s">
        <v>18</v>
      </c>
      <c r="D8" s="26"/>
      <c r="E8" s="43"/>
      <c r="F8" s="33" t="s">
        <v>16</v>
      </c>
      <c r="G8" s="239" t="str">
        <f>IF(Quote_Side_DPlate_Selection="","",Quote_Side_DPlate_Selection)</f>
        <v/>
      </c>
      <c r="H8" s="240"/>
      <c r="I8" s="240"/>
      <c r="J8" s="240"/>
      <c r="K8" s="240"/>
      <c r="L8" s="240"/>
      <c r="M8" s="241"/>
      <c r="N8" s="52"/>
      <c r="O8" s="62"/>
      <c r="P8" s="239" t="str">
        <f>IF(Quote_DPlate_Color="","",Quote_DPlate_Color)</f>
        <v/>
      </c>
      <c r="Q8" s="240"/>
      <c r="R8" s="240"/>
      <c r="S8" s="241"/>
      <c r="T8" s="52"/>
      <c r="U8" s="43"/>
      <c r="V8" s="26"/>
      <c r="W8" s="26"/>
      <c r="X8" s="26"/>
      <c r="Y8" s="26"/>
      <c r="Z8" s="26"/>
      <c r="AA8" s="31"/>
      <c r="AB8" s="110">
        <f>'INPUT (Quote)'!AB8</f>
        <v>0</v>
      </c>
      <c r="AC8" s="374">
        <v>44562</v>
      </c>
      <c r="AD8" s="375"/>
      <c r="AE8" s="449"/>
      <c r="AF8" s="453">
        <f>AC8+14</f>
        <v>44576</v>
      </c>
      <c r="AG8" s="185"/>
    </row>
    <row r="9" spans="1:33" ht="15" customHeight="1" thickBot="1">
      <c r="A9" s="27" t="s">
        <v>20</v>
      </c>
      <c r="B9" s="45"/>
      <c r="C9" s="45"/>
      <c r="D9" s="45"/>
      <c r="E9" s="45"/>
      <c r="F9" s="45"/>
      <c r="G9" s="45"/>
      <c r="H9" s="45"/>
      <c r="I9" s="45"/>
      <c r="J9" s="45"/>
      <c r="K9" s="45"/>
      <c r="L9" s="45"/>
      <c r="M9" s="45"/>
      <c r="N9" s="45"/>
      <c r="O9" s="45"/>
      <c r="P9" s="45"/>
      <c r="Q9" s="45"/>
      <c r="R9" s="45"/>
      <c r="S9" s="45"/>
      <c r="T9" s="45"/>
      <c r="U9" s="45"/>
      <c r="V9" s="45"/>
      <c r="W9" s="45"/>
      <c r="X9" s="45"/>
      <c r="Y9" s="45"/>
      <c r="Z9" s="45"/>
      <c r="AA9" s="45"/>
      <c r="AB9" s="102"/>
      <c r="AC9" s="376"/>
      <c r="AD9" s="377"/>
      <c r="AE9" s="450"/>
      <c r="AF9" s="454"/>
      <c r="AG9" s="187"/>
    </row>
    <row r="10" spans="1:33" ht="15" customHeight="1" thickBot="1">
      <c r="A10" s="27"/>
      <c r="B10" s="45" t="s">
        <v>21</v>
      </c>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102"/>
      <c r="AC10" s="276" t="s">
        <v>155</v>
      </c>
      <c r="AD10" s="276"/>
      <c r="AE10" s="276"/>
      <c r="AF10" s="276"/>
      <c r="AG10" s="277"/>
    </row>
    <row r="11" spans="1:33" ht="15" customHeight="1" thickBot="1">
      <c r="A11" s="32"/>
      <c r="B11" s="109" t="str">
        <f>IF(Quote_Add_2nd_Door="","",Quote_Add_2nd_Door)</f>
        <v/>
      </c>
      <c r="C11" s="45" t="s">
        <v>23</v>
      </c>
      <c r="D11" s="45"/>
      <c r="E11" s="45"/>
      <c r="F11" s="45"/>
      <c r="G11" s="45"/>
      <c r="H11" s="45"/>
      <c r="I11" s="46"/>
      <c r="J11" s="46" t="s">
        <v>24</v>
      </c>
      <c r="K11" s="239">
        <f>Quote_Door_Type</f>
        <v>0</v>
      </c>
      <c r="L11" s="240"/>
      <c r="M11" s="240"/>
      <c r="N11" s="240"/>
      <c r="O11" s="240"/>
      <c r="P11" s="240"/>
      <c r="Q11" s="241"/>
      <c r="R11" s="45"/>
      <c r="S11" s="239">
        <f>Quote_Door_Color</f>
        <v>0</v>
      </c>
      <c r="T11" s="240"/>
      <c r="U11" s="241"/>
      <c r="V11" s="331" t="str">
        <f>'INPUT (Quote)'!V11</f>
        <v>*Choose a Color</v>
      </c>
      <c r="W11" s="332"/>
      <c r="X11" s="332"/>
      <c r="Y11" s="332"/>
      <c r="Z11" s="332"/>
      <c r="AA11" s="333"/>
      <c r="AB11" s="110" t="str">
        <f>'INPUT (Quote)'!AB11</f>
        <v>Error</v>
      </c>
      <c r="AC11" s="455">
        <v>23000</v>
      </c>
      <c r="AD11" s="456"/>
      <c r="AE11" s="456"/>
      <c r="AF11" s="456"/>
      <c r="AG11" s="457"/>
    </row>
    <row r="12" spans="1:33" ht="15" customHeight="1" thickBot="1">
      <c r="A12" s="30"/>
      <c r="B12" s="109" t="str">
        <f>IF(Quote_Add_Bungies="","",Quote_Add_Bungies)</f>
        <v/>
      </c>
      <c r="C12" s="24" t="s">
        <v>26</v>
      </c>
      <c r="D12" s="26"/>
      <c r="E12" s="26"/>
      <c r="F12" s="26"/>
      <c r="G12" s="26"/>
      <c r="H12" s="26"/>
      <c r="I12" s="26"/>
      <c r="J12" s="26"/>
      <c r="K12" s="249" t="str">
        <f>'INPUT (Quote)'!K12</f>
        <v/>
      </c>
      <c r="L12" s="249"/>
      <c r="M12" s="249"/>
      <c r="N12" s="249"/>
      <c r="O12" s="249"/>
      <c r="P12" s="249"/>
      <c r="Q12" s="249"/>
      <c r="R12" s="26"/>
      <c r="S12" s="26" t="s">
        <v>6</v>
      </c>
      <c r="T12" s="26"/>
      <c r="U12" s="26"/>
      <c r="V12" s="26"/>
      <c r="W12" s="26"/>
      <c r="X12" s="26"/>
      <c r="Y12" s="26"/>
      <c r="Z12" s="26"/>
      <c r="AA12" s="31"/>
      <c r="AB12" s="110"/>
      <c r="AC12" s="458"/>
      <c r="AD12" s="459"/>
      <c r="AE12" s="459"/>
      <c r="AF12" s="459"/>
      <c r="AG12" s="460"/>
    </row>
    <row r="13" spans="1:33" ht="15" customHeight="1" thickBot="1">
      <c r="A13" s="27" t="s">
        <v>28</v>
      </c>
      <c r="B13" s="45"/>
      <c r="C13" s="45"/>
      <c r="D13" s="45"/>
      <c r="E13" s="63"/>
      <c r="F13" s="63"/>
      <c r="G13" s="63"/>
      <c r="H13" s="63"/>
      <c r="I13" s="63"/>
      <c r="J13" s="63"/>
      <c r="K13" s="63"/>
      <c r="L13" s="63"/>
      <c r="M13" s="63"/>
      <c r="N13" s="63"/>
      <c r="O13" s="63"/>
      <c r="P13" s="63"/>
      <c r="Q13" s="63"/>
      <c r="R13" s="63"/>
      <c r="S13" s="63"/>
      <c r="T13" s="63"/>
      <c r="U13" s="63"/>
      <c r="V13" s="63"/>
      <c r="W13" s="63"/>
      <c r="X13" s="63"/>
      <c r="Y13" s="63"/>
      <c r="Z13" s="63"/>
      <c r="AA13" s="63"/>
      <c r="AB13" s="103"/>
      <c r="AC13" s="461"/>
      <c r="AD13" s="462"/>
      <c r="AE13" s="462"/>
      <c r="AF13" s="462"/>
      <c r="AG13" s="463"/>
    </row>
    <row r="14" spans="1:33" ht="15" customHeight="1">
      <c r="A14" s="27"/>
      <c r="B14" s="329" t="s">
        <v>30</v>
      </c>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330"/>
      <c r="AC14" s="69" t="s">
        <v>31</v>
      </c>
      <c r="AD14" s="346" t="str">
        <f>IF('INPUT (Quote)'!AD14="","",'INPUT (Quote)'!AD14)</f>
        <v/>
      </c>
      <c r="AE14" s="347"/>
      <c r="AF14" s="370" t="str">
        <f>IF('INPUT (Quote)'!AF14="","",'INPUT (Quote)'!AF14)</f>
        <v/>
      </c>
      <c r="AG14" s="371"/>
    </row>
    <row r="15" spans="1:33" ht="15" customHeight="1" thickBot="1">
      <c r="A15" s="27"/>
      <c r="B15" s="329"/>
      <c r="C15" s="329"/>
      <c r="D15" s="329"/>
      <c r="E15" s="329"/>
      <c r="F15" s="329"/>
      <c r="G15" s="329"/>
      <c r="H15" s="329"/>
      <c r="I15" s="329"/>
      <c r="J15" s="329"/>
      <c r="K15" s="329"/>
      <c r="L15" s="329"/>
      <c r="M15" s="329"/>
      <c r="N15" s="329"/>
      <c r="O15" s="329"/>
      <c r="P15" s="329"/>
      <c r="Q15" s="329"/>
      <c r="R15" s="329"/>
      <c r="S15" s="329"/>
      <c r="T15" s="329"/>
      <c r="U15" s="329"/>
      <c r="V15" s="329"/>
      <c r="W15" s="329"/>
      <c r="X15" s="329"/>
      <c r="Y15" s="329"/>
      <c r="Z15" s="329"/>
      <c r="AA15" s="329"/>
      <c r="AB15" s="330"/>
      <c r="AC15" s="137" t="s">
        <v>32</v>
      </c>
      <c r="AD15" s="340"/>
      <c r="AE15" s="335"/>
      <c r="AF15" s="372"/>
      <c r="AG15" s="373"/>
    </row>
    <row r="16" spans="1:33" ht="15" customHeight="1" thickBot="1">
      <c r="A16" s="32"/>
      <c r="B16" s="45" t="s">
        <v>33</v>
      </c>
      <c r="C16" s="45"/>
      <c r="D16" s="45"/>
      <c r="E16" s="317" t="str">
        <f>Quote_Galley_Depth</f>
        <v>17"</v>
      </c>
      <c r="F16" s="319"/>
      <c r="G16" s="327" t="str">
        <f>'INPUT (Quote)'!G16</f>
        <v/>
      </c>
      <c r="H16" s="328"/>
      <c r="I16" s="328"/>
      <c r="J16" s="328"/>
      <c r="K16" s="328"/>
      <c r="L16" s="328"/>
      <c r="M16" s="328"/>
      <c r="N16" s="45"/>
      <c r="O16" s="109" t="str">
        <f>IF('INPUT (Quote)'!O16="x","x","")</f>
        <v/>
      </c>
      <c r="P16" s="45" t="str">
        <f>'INPUT (Quote)'!P16</f>
        <v>Bunk Beds Require 10' Trailer</v>
      </c>
      <c r="Q16" s="45"/>
      <c r="R16" s="45"/>
      <c r="S16" s="45"/>
      <c r="T16" s="45"/>
      <c r="U16" s="45"/>
      <c r="V16" s="45"/>
      <c r="W16" s="45"/>
      <c r="X16" s="45"/>
      <c r="Y16" s="45"/>
      <c r="Z16" s="45"/>
      <c r="AA16" s="45"/>
      <c r="AB16" s="138" t="str">
        <f>'INPUT (Quote)'!AB16</f>
        <v>Standard</v>
      </c>
      <c r="AC16" s="380" t="s">
        <v>35</v>
      </c>
      <c r="AD16" s="381"/>
      <c r="AE16" s="381"/>
      <c r="AF16" s="381"/>
      <c r="AG16" s="382"/>
    </row>
    <row r="17" spans="1:33" ht="15" customHeight="1" thickBot="1">
      <c r="A17" s="32"/>
      <c r="B17" s="64" t="s">
        <v>36</v>
      </c>
      <c r="C17" s="53"/>
      <c r="D17" s="53"/>
      <c r="E17" s="53"/>
      <c r="F17" s="53"/>
      <c r="G17" s="242" t="str">
        <f>'INPUT (Quote)'!G17</f>
        <v>Open</v>
      </c>
      <c r="H17" s="243"/>
      <c r="I17" s="243"/>
      <c r="J17" s="243"/>
      <c r="K17" s="243"/>
      <c r="L17" s="243"/>
      <c r="M17" s="244"/>
      <c r="N17" s="45" t="str">
        <f>'INPUT (Quote)'!N17</f>
        <v/>
      </c>
      <c r="O17" s="45"/>
      <c r="P17" s="45"/>
      <c r="Q17" s="45"/>
      <c r="R17" s="45"/>
      <c r="S17" s="45"/>
      <c r="T17" s="45"/>
      <c r="U17" s="45"/>
      <c r="V17" s="45"/>
      <c r="W17" s="45"/>
      <c r="X17" s="45"/>
      <c r="Y17" s="45"/>
      <c r="Z17" s="45"/>
      <c r="AA17" s="45"/>
      <c r="AB17" s="138" t="str">
        <f>'INPUT (Quote)'!AB17</f>
        <v>Standard</v>
      </c>
      <c r="AC17" s="383"/>
      <c r="AD17" s="384"/>
      <c r="AE17" s="384"/>
      <c r="AF17" s="384"/>
      <c r="AG17" s="385"/>
    </row>
    <row r="18" spans="1:33" ht="15" customHeight="1" thickBot="1">
      <c r="A18" s="32"/>
      <c r="B18" s="109" t="str">
        <f>IF('INPUT (Quote)'!B18="x","x","")</f>
        <v/>
      </c>
      <c r="C18" s="45" t="s">
        <v>38</v>
      </c>
      <c r="D18" s="45"/>
      <c r="E18" s="45"/>
      <c r="F18" s="45"/>
      <c r="G18" s="46" t="s">
        <v>16</v>
      </c>
      <c r="H18" s="239" t="str">
        <f>IF(Quote_Drawer_Type="","",Quote_Drawer_Type)</f>
        <v/>
      </c>
      <c r="I18" s="240"/>
      <c r="J18" s="240"/>
      <c r="K18" s="240"/>
      <c r="L18" s="240"/>
      <c r="M18" s="241"/>
      <c r="N18" s="45"/>
      <c r="O18" s="45"/>
      <c r="P18" s="45"/>
      <c r="Q18" s="45"/>
      <c r="R18" s="45"/>
      <c r="S18" s="45"/>
      <c r="T18" s="45"/>
      <c r="U18" s="45"/>
      <c r="V18" s="45"/>
      <c r="W18" s="45"/>
      <c r="X18" s="45"/>
      <c r="Y18" s="45"/>
      <c r="Z18" s="45"/>
      <c r="AA18" s="45"/>
      <c r="AB18" s="138">
        <f>'INPUT (Quote)'!AB18</f>
        <v>0</v>
      </c>
      <c r="AC18" s="378" t="str">
        <f>IF('INPUT (Quote)'!AC18="","",'INPUT (Quote)'!AC18)</f>
        <v/>
      </c>
      <c r="AD18" s="379"/>
      <c r="AE18" s="379"/>
      <c r="AF18" s="379"/>
      <c r="AG18" s="139">
        <f>'INPUT (Quote)'!AG18</f>
        <v>0</v>
      </c>
    </row>
    <row r="19" spans="1:33" ht="15" customHeight="1" thickBot="1">
      <c r="A19" s="32"/>
      <c r="B19" s="109" t="str">
        <f>IF('INPUT (Quote)'!B19="x","x","")</f>
        <v/>
      </c>
      <c r="C19" s="45" t="s">
        <v>39</v>
      </c>
      <c r="D19" s="45"/>
      <c r="E19" s="45"/>
      <c r="F19" s="45"/>
      <c r="G19" s="46" t="s">
        <v>16</v>
      </c>
      <c r="H19" s="239" t="str">
        <f>IF('INPUT (Quote)'!H19="","",'INPUT (Quote)'!H19)</f>
        <v/>
      </c>
      <c r="I19" s="240"/>
      <c r="J19" s="240"/>
      <c r="K19" s="240"/>
      <c r="L19" s="240"/>
      <c r="M19" s="241"/>
      <c r="N19" s="45" t="str">
        <f>'INPUT (Quote)'!N19</f>
        <v/>
      </c>
      <c r="O19" s="45"/>
      <c r="P19" s="45"/>
      <c r="Q19" s="45"/>
      <c r="R19" s="45"/>
      <c r="S19" s="45"/>
      <c r="T19" s="45"/>
      <c r="U19" s="45"/>
      <c r="V19" s="45"/>
      <c r="W19" s="45"/>
      <c r="X19" s="45"/>
      <c r="Y19" s="45"/>
      <c r="Z19" s="45"/>
      <c r="AA19" s="45"/>
      <c r="AB19" s="138">
        <f>'INPUT (Quote)'!AB19</f>
        <v>0</v>
      </c>
      <c r="AC19" s="378" t="str">
        <f>IF('INPUT (Quote)'!AC19="","",'INPUT (Quote)'!AC19)</f>
        <v/>
      </c>
      <c r="AD19" s="379"/>
      <c r="AE19" s="379"/>
      <c r="AF19" s="379"/>
      <c r="AG19" s="140">
        <f>'INPUT (Quote)'!AG19</f>
        <v>0</v>
      </c>
    </row>
    <row r="20" spans="1:33" ht="15" customHeight="1" thickBot="1">
      <c r="A20" s="32"/>
      <c r="B20" s="109" t="str">
        <f>IF('INPUT (Quote)'!B20="x","x","")</f>
        <v/>
      </c>
      <c r="C20" s="331" t="s">
        <v>40</v>
      </c>
      <c r="D20" s="332"/>
      <c r="E20" s="332"/>
      <c r="F20" s="332"/>
      <c r="G20" s="332"/>
      <c r="H20" s="45"/>
      <c r="I20" s="46" t="s">
        <v>41</v>
      </c>
      <c r="J20" s="239" t="str">
        <f>IF('INPUT (Quote)'!J20="","",'INPUT (Quote)'!J20)</f>
        <v/>
      </c>
      <c r="K20" s="240"/>
      <c r="L20" s="240"/>
      <c r="M20" s="241"/>
      <c r="N20" s="45"/>
      <c r="O20" s="45"/>
      <c r="P20" s="45"/>
      <c r="Q20" s="45"/>
      <c r="R20" s="45"/>
      <c r="S20" s="45"/>
      <c r="T20" s="45"/>
      <c r="U20" s="45"/>
      <c r="V20" s="45"/>
      <c r="W20" s="45"/>
      <c r="X20" s="45"/>
      <c r="Y20" s="45"/>
      <c r="Z20" s="45"/>
      <c r="AA20" s="45"/>
      <c r="AB20" s="138">
        <f>'INPUT (Quote)'!AB20</f>
        <v>0</v>
      </c>
      <c r="AC20" s="378" t="str">
        <f>IF('INPUT (Quote)'!AC20="","",'INPUT (Quote)'!AC20)</f>
        <v/>
      </c>
      <c r="AD20" s="379"/>
      <c r="AE20" s="379"/>
      <c r="AF20" s="379"/>
      <c r="AG20" s="140">
        <f>'INPUT (Quote)'!AG20</f>
        <v>0</v>
      </c>
    </row>
    <row r="21" spans="1:33" ht="15" customHeight="1" thickBot="1">
      <c r="A21" s="32"/>
      <c r="B21" s="109" t="str">
        <f>IF('INPUT (Quote)'!B21="x","x","")</f>
        <v/>
      </c>
      <c r="C21" s="45" t="s">
        <v>42</v>
      </c>
      <c r="D21" s="45"/>
      <c r="E21" s="45"/>
      <c r="F21" s="45"/>
      <c r="G21" s="45"/>
      <c r="H21" s="45"/>
      <c r="I21" s="46" t="s">
        <v>41</v>
      </c>
      <c r="J21" s="239" t="str">
        <f>IF('INPUT (Quote)'!J21="","",'INPUT (Quote)'!J21)</f>
        <v/>
      </c>
      <c r="K21" s="240"/>
      <c r="L21" s="240"/>
      <c r="M21" s="241"/>
      <c r="N21" s="45"/>
      <c r="O21" s="45"/>
      <c r="P21" s="45"/>
      <c r="Q21" s="45"/>
      <c r="R21" s="45"/>
      <c r="S21" s="45"/>
      <c r="T21" s="45"/>
      <c r="U21" s="45"/>
      <c r="V21" s="45"/>
      <c r="W21" s="45"/>
      <c r="X21" s="45"/>
      <c r="Y21" s="45"/>
      <c r="Z21" s="45"/>
      <c r="AA21" s="45"/>
      <c r="AB21" s="138">
        <f>'INPUT (Quote)'!AB21</f>
        <v>0</v>
      </c>
      <c r="AC21" s="378" t="str">
        <f>IF('INPUT (Quote)'!AC21="","",'INPUT (Quote)'!AC21)</f>
        <v/>
      </c>
      <c r="AD21" s="379"/>
      <c r="AE21" s="379"/>
      <c r="AF21" s="379"/>
      <c r="AG21" s="140">
        <f>'INPUT (Quote)'!AG21</f>
        <v>0</v>
      </c>
    </row>
    <row r="22" spans="1:33" ht="15" customHeight="1" thickBot="1">
      <c r="A22" s="32"/>
      <c r="B22" s="109" t="str">
        <f>IF('INPUT (Quote)'!B22="x","x","")</f>
        <v/>
      </c>
      <c r="C22" s="45" t="s">
        <v>43</v>
      </c>
      <c r="D22" s="45"/>
      <c r="E22" s="45"/>
      <c r="F22" s="45"/>
      <c r="G22" s="45"/>
      <c r="H22" s="45"/>
      <c r="I22" s="45"/>
      <c r="J22" s="45"/>
      <c r="K22" s="45"/>
      <c r="L22" s="45"/>
      <c r="M22" s="45"/>
      <c r="N22" s="45"/>
      <c r="O22" s="45"/>
      <c r="P22" s="45"/>
      <c r="Q22" s="45"/>
      <c r="S22" s="45"/>
      <c r="T22" s="45"/>
      <c r="U22" s="45"/>
      <c r="V22" s="45"/>
      <c r="W22" s="45"/>
      <c r="X22" s="45"/>
      <c r="Y22" s="45"/>
      <c r="Z22" s="45"/>
      <c r="AA22" s="45"/>
      <c r="AB22" s="138">
        <f>'INPUT (Quote)'!AB22</f>
        <v>0</v>
      </c>
      <c r="AC22" s="378" t="str">
        <f>IF('INPUT (Quote)'!AC22="","",'INPUT (Quote)'!AC22)</f>
        <v/>
      </c>
      <c r="AD22" s="379"/>
      <c r="AE22" s="379"/>
      <c r="AF22" s="379"/>
      <c r="AG22" s="140">
        <f>'INPUT (Quote)'!AG22</f>
        <v>0</v>
      </c>
    </row>
    <row r="23" spans="1:33" ht="15" customHeight="1" thickBot="1">
      <c r="A23" s="32"/>
      <c r="B23" s="109" t="str">
        <f>IF('INPUT (Quote)'!B23="x","x","")</f>
        <v/>
      </c>
      <c r="C23" s="45" t="s">
        <v>44</v>
      </c>
      <c r="D23" s="45"/>
      <c r="E23" s="45"/>
      <c r="F23" s="45"/>
      <c r="G23" s="45"/>
      <c r="H23" s="45"/>
      <c r="I23" s="46" t="s">
        <v>16</v>
      </c>
      <c r="J23" s="239" t="str">
        <f>IF('INPUT (Quote)'!J23="","",'INPUT (Quote)'!J23)</f>
        <v/>
      </c>
      <c r="K23" s="240"/>
      <c r="L23" s="240"/>
      <c r="M23" s="241"/>
      <c r="N23" s="45" t="str">
        <f>'INPUT (Quote)'!N23</f>
        <v/>
      </c>
      <c r="O23" s="45"/>
      <c r="P23" s="45"/>
      <c r="Q23" s="45"/>
      <c r="R23" s="45"/>
      <c r="S23" s="45"/>
      <c r="U23" s="45"/>
      <c r="V23" s="45"/>
      <c r="W23" s="45"/>
      <c r="X23" s="45"/>
      <c r="Y23" s="45"/>
      <c r="Z23" s="45"/>
      <c r="AA23" s="45"/>
      <c r="AB23" s="138">
        <f>'INPUT (Quote)'!AB23</f>
        <v>0</v>
      </c>
      <c r="AC23" s="378" t="str">
        <f>IF('INPUT (Quote)'!AC23="","",'INPUT (Quote)'!AC23)</f>
        <v/>
      </c>
      <c r="AD23" s="379"/>
      <c r="AE23" s="379"/>
      <c r="AF23" s="379"/>
      <c r="AG23" s="141">
        <f>'INPUT (Quote)'!AG23</f>
        <v>0</v>
      </c>
    </row>
    <row r="24" spans="1:33" ht="15" customHeight="1" thickBot="1">
      <c r="A24" s="30"/>
      <c r="B24" s="109" t="str">
        <f>IF('INPUT (Quote)'!B24="x","x","")</f>
        <v/>
      </c>
      <c r="C24" s="24" t="str">
        <f>'INPUT (Quote)'!C24</f>
        <v>EOR Exclusive Option</v>
      </c>
      <c r="D24" s="26"/>
      <c r="E24" s="26"/>
      <c r="F24" s="26"/>
      <c r="G24" s="26"/>
      <c r="H24" s="26"/>
      <c r="I24" s="26"/>
      <c r="J24" s="26"/>
      <c r="K24" s="26"/>
      <c r="L24" s="26"/>
      <c r="M24" s="26"/>
      <c r="N24" s="26" t="str">
        <f>'INPUT (Quote)'!N24</f>
        <v/>
      </c>
      <c r="O24" s="26"/>
      <c r="P24" s="26"/>
      <c r="Q24" s="26"/>
      <c r="R24" s="26"/>
      <c r="S24" s="26"/>
      <c r="T24" s="26"/>
      <c r="U24" s="26"/>
      <c r="V24" s="26"/>
      <c r="W24" s="26"/>
      <c r="X24" s="26"/>
      <c r="Y24" s="26"/>
      <c r="Z24" s="26"/>
      <c r="AA24" s="31"/>
      <c r="AB24" s="110" t="str">
        <f>'INPUT (Quote)'!AB24</f>
        <v>N/A</v>
      </c>
      <c r="AC24" s="399" t="s">
        <v>45</v>
      </c>
      <c r="AD24" s="400"/>
      <c r="AE24" s="400"/>
      <c r="AF24" s="400"/>
      <c r="AG24" s="401"/>
    </row>
    <row r="25" spans="1:33" ht="15" customHeight="1" thickBot="1">
      <c r="A25" s="27" t="s">
        <v>46</v>
      </c>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102"/>
      <c r="AC25" s="402"/>
      <c r="AD25" s="403"/>
      <c r="AE25" s="403"/>
      <c r="AF25" s="403"/>
      <c r="AG25" s="404"/>
    </row>
    <row r="26" spans="1:33" ht="15" customHeight="1" thickBot="1">
      <c r="A26" s="32"/>
      <c r="B26" s="109" t="str">
        <f>IF('INPUT (Quote)'!B26="x","x","")</f>
        <v/>
      </c>
      <c r="C26" s="45" t="s">
        <v>47</v>
      </c>
      <c r="D26" s="45"/>
      <c r="E26" s="45"/>
      <c r="F26" s="45"/>
      <c r="G26" s="45"/>
      <c r="H26" s="45"/>
      <c r="I26" s="46" t="s">
        <v>48</v>
      </c>
      <c r="J26" s="320" t="str">
        <f>IF('INPUT (Quote)'!J26="","",'INPUT (Quote)'!J26)</f>
        <v/>
      </c>
      <c r="K26" s="321"/>
      <c r="L26" s="321"/>
      <c r="M26" s="321"/>
      <c r="N26" s="321"/>
      <c r="O26" s="322"/>
      <c r="P26" s="45"/>
      <c r="Q26" s="45"/>
      <c r="R26" s="45"/>
      <c r="S26" s="45"/>
      <c r="T26" s="45"/>
      <c r="U26" s="45"/>
      <c r="V26" s="45"/>
      <c r="W26" s="45"/>
      <c r="X26" s="45"/>
      <c r="Y26" s="45"/>
      <c r="Z26" s="45"/>
      <c r="AA26" s="45"/>
      <c r="AB26" s="110">
        <f>'INPUT (Quote)'!AB26</f>
        <v>0</v>
      </c>
      <c r="AC26" s="390" t="str">
        <f>'INPUT (Quote)'!AC26</f>
        <v>Select Size/Model</v>
      </c>
      <c r="AD26" s="390"/>
      <c r="AE26" s="390"/>
      <c r="AF26" s="390"/>
      <c r="AG26" s="405"/>
    </row>
    <row r="27" spans="1:33" ht="15" customHeight="1" thickBot="1">
      <c r="A27" s="32"/>
      <c r="B27" s="109" t="str">
        <f>IF('INPUT (Quote)'!B27="x","x","")</f>
        <v/>
      </c>
      <c r="C27" s="45" t="s">
        <v>49</v>
      </c>
      <c r="D27" s="45"/>
      <c r="E27" s="45"/>
      <c r="F27" s="45"/>
      <c r="G27" s="45"/>
      <c r="H27" s="45"/>
      <c r="I27" s="45"/>
      <c r="J27" s="46" t="s">
        <v>16</v>
      </c>
      <c r="K27" s="320" t="str">
        <f>IF('INPUT (Quote)'!K27="","",'INPUT (Quote)'!K27)</f>
        <v/>
      </c>
      <c r="L27" s="323"/>
      <c r="M27" s="323"/>
      <c r="N27" s="323"/>
      <c r="O27" s="323"/>
      <c r="P27" s="323"/>
      <c r="Q27" s="324"/>
      <c r="R27" s="45"/>
      <c r="S27" s="45"/>
      <c r="T27" s="45"/>
      <c r="U27" s="45"/>
      <c r="V27" s="45"/>
      <c r="W27" s="45"/>
      <c r="X27" s="45"/>
      <c r="Y27" s="45"/>
      <c r="Z27" s="45"/>
      <c r="AA27" s="45"/>
      <c r="AB27" s="110">
        <f>'INPUT (Quote)'!AB27</f>
        <v>0</v>
      </c>
      <c r="AC27" s="406"/>
      <c r="AD27" s="406"/>
      <c r="AE27" s="406"/>
      <c r="AF27" s="406"/>
      <c r="AG27" s="407"/>
    </row>
    <row r="28" spans="1:33" ht="15" customHeight="1" thickBot="1">
      <c r="A28" s="32"/>
      <c r="B28" s="109" t="str">
        <f>IF('INPUT (Quote)'!B28="x","x","")</f>
        <v/>
      </c>
      <c r="C28" s="45" t="s">
        <v>50</v>
      </c>
      <c r="D28" s="45"/>
      <c r="E28" s="45"/>
      <c r="F28" s="45"/>
      <c r="G28" s="45"/>
      <c r="H28" s="45"/>
      <c r="I28" s="45"/>
      <c r="J28" s="46" t="s">
        <v>16</v>
      </c>
      <c r="K28" s="320" t="str">
        <f>IF('INPUT (Quote)'!K28="","",'INPUT (Quote)'!K28)</f>
        <v/>
      </c>
      <c r="L28" s="323"/>
      <c r="M28" s="323"/>
      <c r="N28" s="323"/>
      <c r="O28" s="323"/>
      <c r="P28" s="323"/>
      <c r="Q28" s="324"/>
      <c r="R28" s="45" t="str">
        <f>'INPUT (Quote)'!R28</f>
        <v/>
      </c>
      <c r="S28" s="45"/>
      <c r="T28" s="45"/>
      <c r="U28" s="45"/>
      <c r="V28" s="45"/>
      <c r="W28" s="45"/>
      <c r="X28" s="45"/>
      <c r="Y28" s="45"/>
      <c r="Z28" s="45"/>
      <c r="AA28" s="45"/>
      <c r="AB28" s="110">
        <f>'INPUT (Quote)'!AB28</f>
        <v>0</v>
      </c>
      <c r="AC28" s="408"/>
      <c r="AD28" s="408"/>
      <c r="AE28" s="408"/>
      <c r="AF28" s="408"/>
      <c r="AG28" s="409"/>
    </row>
    <row r="29" spans="1:33" ht="15" customHeight="1" thickBot="1">
      <c r="A29" s="32"/>
      <c r="B29" s="109" t="str">
        <f>IF('INPUT (Quote)'!B29="x","x","")</f>
        <v/>
      </c>
      <c r="C29" s="45" t="s">
        <v>51</v>
      </c>
      <c r="D29" s="45"/>
      <c r="E29" s="45"/>
      <c r="F29" s="45"/>
      <c r="G29" s="45"/>
      <c r="H29" s="45"/>
      <c r="I29" s="45"/>
      <c r="J29" s="46" t="s">
        <v>16</v>
      </c>
      <c r="K29" s="320" t="str">
        <f>IF('INPUT (Quote)'!K29="","",'INPUT (Quote)'!K29)</f>
        <v/>
      </c>
      <c r="L29" s="323"/>
      <c r="M29" s="323"/>
      <c r="N29" s="323"/>
      <c r="O29" s="323"/>
      <c r="P29" s="323"/>
      <c r="Q29" s="324"/>
      <c r="R29" s="45" t="str">
        <f>'INPUT (Quote)'!R29</f>
        <v/>
      </c>
      <c r="S29" s="45"/>
      <c r="T29" s="45"/>
      <c r="U29" s="45"/>
      <c r="V29" s="45"/>
      <c r="W29" s="45"/>
      <c r="X29" s="45"/>
      <c r="Y29" s="45"/>
      <c r="Z29" s="45"/>
      <c r="AA29" s="45"/>
      <c r="AB29" s="110">
        <f>'INPUT (Quote)'!AB29</f>
        <v>0</v>
      </c>
      <c r="AC29" s="386" t="s">
        <v>52</v>
      </c>
      <c r="AD29" s="386"/>
      <c r="AE29" s="386"/>
      <c r="AF29" s="386"/>
      <c r="AG29" s="387"/>
    </row>
    <row r="30" spans="1:33" ht="15" customHeight="1" thickBot="1">
      <c r="A30" s="32"/>
      <c r="B30" s="109" t="str">
        <f>IF('INPUT (Quote)'!B30="x","x","")</f>
        <v/>
      </c>
      <c r="C30" s="45" t="s">
        <v>53</v>
      </c>
      <c r="D30" s="45"/>
      <c r="E30" s="45"/>
      <c r="F30" s="45"/>
      <c r="G30" s="45"/>
      <c r="H30" s="45"/>
      <c r="I30" s="45"/>
      <c r="J30" s="46" t="s">
        <v>16</v>
      </c>
      <c r="K30" s="320" t="str">
        <f>IF('INPUT (Quote)'!K30="","",'INPUT (Quote)'!K30)</f>
        <v/>
      </c>
      <c r="L30" s="323"/>
      <c r="M30" s="323"/>
      <c r="N30" s="323"/>
      <c r="O30" s="323"/>
      <c r="P30" s="323"/>
      <c r="Q30" s="324"/>
      <c r="R30" s="45" t="str">
        <f>'INPUT (Quote)'!R30</f>
        <v/>
      </c>
      <c r="S30" s="45"/>
      <c r="T30" s="45"/>
      <c r="U30" s="45"/>
      <c r="V30" s="45"/>
      <c r="W30" s="45"/>
      <c r="X30" s="45"/>
      <c r="Y30" s="45"/>
      <c r="Z30" s="45"/>
      <c r="AA30" s="45"/>
      <c r="AB30" s="110">
        <f>'INPUT (Quote)'!AB30</f>
        <v>0</v>
      </c>
      <c r="AC30" s="388"/>
      <c r="AD30" s="388"/>
      <c r="AE30" s="388"/>
      <c r="AF30" s="388"/>
      <c r="AG30" s="389"/>
    </row>
    <row r="31" spans="1:33" ht="15" customHeight="1" thickBot="1">
      <c r="A31" s="30"/>
      <c r="B31" s="109" t="str">
        <f>IF('INPUT (Quote)'!B31="x","x","")</f>
        <v/>
      </c>
      <c r="C31" s="24" t="s">
        <v>54</v>
      </c>
      <c r="D31" s="26"/>
      <c r="E31" s="26"/>
      <c r="F31" s="26"/>
      <c r="G31" s="26"/>
      <c r="H31" s="26"/>
      <c r="I31" s="26"/>
      <c r="J31" s="33" t="s">
        <v>16</v>
      </c>
      <c r="K31" s="320" t="str">
        <f>IF('INPUT (Quote)'!K31="","",'INPUT (Quote)'!K31)</f>
        <v/>
      </c>
      <c r="L31" s="323"/>
      <c r="M31" s="323"/>
      <c r="N31" s="323"/>
      <c r="O31" s="323"/>
      <c r="P31" s="323"/>
      <c r="Q31" s="324"/>
      <c r="R31" s="24" t="str">
        <f>'INPUT (Quote)'!R31</f>
        <v/>
      </c>
      <c r="S31" s="26"/>
      <c r="T31" s="26"/>
      <c r="U31" s="26"/>
      <c r="V31" s="26"/>
      <c r="W31" s="26"/>
      <c r="X31" s="26"/>
      <c r="Y31" s="26"/>
      <c r="Z31" s="26"/>
      <c r="AA31" s="31"/>
      <c r="AB31" s="110">
        <f>'INPUT (Quote)'!AB31</f>
        <v>0</v>
      </c>
      <c r="AC31" s="390">
        <f>'INPUT (Quote)'!AC31</f>
        <v>0</v>
      </c>
      <c r="AD31" s="391"/>
      <c r="AE31" s="391"/>
      <c r="AF31" s="391"/>
      <c r="AG31" s="392"/>
    </row>
    <row r="32" spans="1:33" ht="15" customHeight="1">
      <c r="A32" s="27" t="s">
        <v>55</v>
      </c>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102"/>
      <c r="AC32" s="393"/>
      <c r="AD32" s="393"/>
      <c r="AE32" s="393"/>
      <c r="AF32" s="393"/>
      <c r="AG32" s="394"/>
    </row>
    <row r="33" spans="1:33" ht="15" customHeight="1" thickBot="1">
      <c r="A33" s="27"/>
      <c r="B33" s="329" t="str">
        <f>'INPUT (Quote)'!B33</f>
        <v>Choose a Model for suspension description</v>
      </c>
      <c r="C33" s="329"/>
      <c r="D33" s="329"/>
      <c r="E33" s="329"/>
      <c r="F33" s="329"/>
      <c r="G33" s="329"/>
      <c r="H33" s="329"/>
      <c r="I33" s="329"/>
      <c r="J33" s="329"/>
      <c r="K33" s="329"/>
      <c r="L33" s="329"/>
      <c r="M33" s="329"/>
      <c r="N33" s="329"/>
      <c r="O33" s="329"/>
      <c r="P33" s="329"/>
      <c r="Q33" s="329"/>
      <c r="R33" s="329"/>
      <c r="S33" s="329"/>
      <c r="T33" s="329"/>
      <c r="U33" s="329"/>
      <c r="V33" s="329"/>
      <c r="W33" s="329"/>
      <c r="X33" s="329"/>
      <c r="Y33" s="329"/>
      <c r="Z33" s="329"/>
      <c r="AA33" s="329"/>
      <c r="AB33" s="330"/>
      <c r="AC33" s="395"/>
      <c r="AD33" s="395"/>
      <c r="AE33" s="395"/>
      <c r="AF33" s="395"/>
      <c r="AG33" s="396"/>
    </row>
    <row r="34" spans="1:33" ht="15" customHeight="1" thickBot="1">
      <c r="A34" s="27"/>
      <c r="B34" s="329"/>
      <c r="C34" s="329"/>
      <c r="D34" s="329"/>
      <c r="E34" s="329"/>
      <c r="F34" s="329"/>
      <c r="G34" s="329"/>
      <c r="H34" s="329"/>
      <c r="I34" s="329"/>
      <c r="J34" s="329"/>
      <c r="K34" s="329"/>
      <c r="L34" s="329"/>
      <c r="M34" s="329"/>
      <c r="N34" s="329"/>
      <c r="O34" s="329"/>
      <c r="P34" s="329"/>
      <c r="Q34" s="329"/>
      <c r="R34" s="329"/>
      <c r="S34" s="329"/>
      <c r="T34" s="329"/>
      <c r="U34" s="329"/>
      <c r="V34" s="329"/>
      <c r="W34" s="329"/>
      <c r="X34" s="329"/>
      <c r="Y34" s="329"/>
      <c r="Z34" s="329"/>
      <c r="AA34" s="329"/>
      <c r="AB34" s="330"/>
      <c r="AC34" s="386" t="s">
        <v>56</v>
      </c>
      <c r="AD34" s="386"/>
      <c r="AE34" s="386"/>
      <c r="AF34" s="386"/>
      <c r="AG34" s="387"/>
    </row>
    <row r="35" spans="1:33" ht="15" customHeight="1" thickBot="1">
      <c r="A35" s="32"/>
      <c r="B35" s="109" t="str">
        <f>IF('INPUT (Quote)'!B35="x","x","")</f>
        <v/>
      </c>
      <c r="C35" s="45" t="s">
        <v>57</v>
      </c>
      <c r="D35" s="45"/>
      <c r="E35" s="45"/>
      <c r="F35" s="45"/>
      <c r="G35" s="45"/>
      <c r="H35" s="45"/>
      <c r="I35" s="46" t="s">
        <v>58</v>
      </c>
      <c r="J35" s="239" t="str">
        <f>IF('INPUT (Quote)'!J35="","",'INPUT (Quote)'!J35)</f>
        <v/>
      </c>
      <c r="K35" s="240"/>
      <c r="L35" s="240"/>
      <c r="M35" s="240"/>
      <c r="N35" s="247"/>
      <c r="O35" s="247"/>
      <c r="P35" s="247"/>
      <c r="Q35" s="248"/>
      <c r="R35" s="45" t="str">
        <f>'INPUT (Quote)'!R35</f>
        <v/>
      </c>
      <c r="S35" s="45"/>
      <c r="T35" s="45"/>
      <c r="U35" s="45"/>
      <c r="V35" s="45"/>
      <c r="W35" s="45"/>
      <c r="X35" s="45"/>
      <c r="Y35" s="45"/>
      <c r="Z35" s="45"/>
      <c r="AA35" s="45"/>
      <c r="AB35" s="110">
        <f>'INPUT (Quote)'!AB35</f>
        <v>0</v>
      </c>
      <c r="AC35" s="397"/>
      <c r="AD35" s="397"/>
      <c r="AE35" s="397"/>
      <c r="AF35" s="397"/>
      <c r="AG35" s="398"/>
    </row>
    <row r="36" spans="1:33" ht="15" customHeight="1" thickBot="1">
      <c r="A36" s="32"/>
      <c r="B36" s="45" t="s">
        <v>59</v>
      </c>
      <c r="C36" s="45"/>
      <c r="D36" s="45"/>
      <c r="E36" s="239">
        <f>'INPUT (Quote)'!E36</f>
        <v>0</v>
      </c>
      <c r="F36" s="240"/>
      <c r="G36" s="240"/>
      <c r="H36" s="240"/>
      <c r="I36" s="241"/>
      <c r="J36" s="45"/>
      <c r="K36" s="64" t="s">
        <v>60</v>
      </c>
      <c r="L36" s="45"/>
      <c r="M36" s="45"/>
      <c r="N36" s="239">
        <f>'INPUT (Quote)'!N36</f>
        <v>0</v>
      </c>
      <c r="O36" s="240"/>
      <c r="P36" s="240"/>
      <c r="Q36" s="240"/>
      <c r="R36" s="240"/>
      <c r="S36" s="241"/>
      <c r="T36" s="45" t="str">
        <f>'INPUT (Quote)'!T36</f>
        <v>*Required</v>
      </c>
      <c r="U36" s="45"/>
      <c r="V36" s="45"/>
      <c r="W36" s="45"/>
      <c r="X36" s="45"/>
      <c r="Y36" s="45"/>
      <c r="Z36" s="45"/>
      <c r="AA36" s="45"/>
      <c r="AB36" s="110" t="str">
        <f>'INPUT (Quote)'!AB36</f>
        <v>Error</v>
      </c>
      <c r="AC36" s="421">
        <f>'INPUT (Quote)'!AC36</f>
        <v>0</v>
      </c>
      <c r="AD36" s="421"/>
      <c r="AE36" s="421"/>
      <c r="AF36" s="421"/>
      <c r="AG36" s="422"/>
    </row>
    <row r="37" spans="1:33" ht="15" customHeight="1" thickBot="1">
      <c r="A37" s="32"/>
      <c r="B37" s="109" t="str">
        <f>IF('INPUT (Quote)'!B37="x","x","")</f>
        <v/>
      </c>
      <c r="C37" s="45" t="s">
        <v>61</v>
      </c>
      <c r="D37" s="45"/>
      <c r="E37" s="45"/>
      <c r="F37" s="45"/>
      <c r="G37" s="45"/>
      <c r="H37" s="45"/>
      <c r="I37" s="45" t="str">
        <f>'INPUT (Quote)'!I37</f>
        <v>*Brakes required based on your State's Regulations</v>
      </c>
      <c r="J37" s="45"/>
      <c r="K37" s="45"/>
      <c r="L37" s="45"/>
      <c r="M37" s="45"/>
      <c r="N37" s="45"/>
      <c r="O37" s="45"/>
      <c r="P37" s="45"/>
      <c r="Q37" s="45"/>
      <c r="R37" s="45"/>
      <c r="S37" s="45"/>
      <c r="T37" s="45"/>
      <c r="U37" s="45"/>
      <c r="V37" s="45"/>
      <c r="W37" s="45"/>
      <c r="X37" s="45"/>
      <c r="Y37" s="45"/>
      <c r="Z37" s="45"/>
      <c r="AA37" s="45"/>
      <c r="AB37" s="110">
        <f>'INPUT (Quote)'!AB37</f>
        <v>0</v>
      </c>
      <c r="AC37" s="423"/>
      <c r="AD37" s="423"/>
      <c r="AE37" s="423"/>
      <c r="AF37" s="423"/>
      <c r="AG37" s="424"/>
    </row>
    <row r="38" spans="1:33" ht="15" customHeight="1" thickBot="1">
      <c r="A38" s="32"/>
      <c r="B38" s="109" t="str">
        <f>IF('INPUT (Quote)'!B38="x","x","")</f>
        <v/>
      </c>
      <c r="C38" s="45" t="s">
        <v>62</v>
      </c>
      <c r="D38" s="45"/>
      <c r="E38" s="45"/>
      <c r="F38" s="45"/>
      <c r="G38" s="45"/>
      <c r="H38" s="45"/>
      <c r="I38" s="45"/>
      <c r="J38" s="45"/>
      <c r="K38" s="45"/>
      <c r="L38" s="45" t="str">
        <f>'INPUT (Quote)'!L38</f>
        <v/>
      </c>
      <c r="M38" s="45"/>
      <c r="N38" s="45"/>
      <c r="O38" s="45"/>
      <c r="P38" s="45"/>
      <c r="Q38" s="45"/>
      <c r="R38" s="45"/>
      <c r="S38" s="45"/>
      <c r="T38" s="45"/>
      <c r="U38" s="45"/>
      <c r="V38" s="45"/>
      <c r="W38" s="45"/>
      <c r="X38" s="45"/>
      <c r="Y38" s="45"/>
      <c r="Z38" s="45"/>
      <c r="AA38" s="45"/>
      <c r="AB38" s="110">
        <f>'INPUT (Quote)'!AB38</f>
        <v>0</v>
      </c>
      <c r="AC38" s="425"/>
      <c r="AD38" s="425"/>
      <c r="AE38" s="425"/>
      <c r="AF38" s="425"/>
      <c r="AG38" s="426"/>
    </row>
    <row r="39" spans="1:33" ht="15" customHeight="1" thickBot="1">
      <c r="A39" s="32"/>
      <c r="B39" s="109" t="str">
        <f>IF('INPUT (Quote)'!B39="x","x","")</f>
        <v/>
      </c>
      <c r="C39" s="45" t="str">
        <f>'INPUT (Quote)'!C39</f>
        <v>EOR Exclusive Option</v>
      </c>
      <c r="D39" s="45"/>
      <c r="E39" s="45"/>
      <c r="F39" s="45"/>
      <c r="G39" s="45"/>
      <c r="H39" s="45"/>
      <c r="I39" s="46"/>
      <c r="J39" s="45"/>
      <c r="K39" s="45"/>
      <c r="L39" s="45"/>
      <c r="M39" s="45"/>
      <c r="N39" s="45"/>
      <c r="O39" s="45"/>
      <c r="P39" s="45"/>
      <c r="Q39" s="45"/>
      <c r="R39" s="45"/>
      <c r="S39" s="45"/>
      <c r="T39" s="45"/>
      <c r="U39" s="45"/>
      <c r="V39" s="45"/>
      <c r="W39" s="45" t="s">
        <v>63</v>
      </c>
      <c r="X39" s="45"/>
      <c r="Y39" s="45"/>
      <c r="Z39" s="45"/>
      <c r="AA39" s="45"/>
      <c r="AB39" s="110" t="str">
        <f>'INPUT (Quote)'!AB39</f>
        <v>N/A</v>
      </c>
      <c r="AC39" s="427" t="s">
        <v>64</v>
      </c>
      <c r="AD39" s="427"/>
      <c r="AE39" s="427"/>
      <c r="AF39" s="427"/>
      <c r="AG39" s="428"/>
    </row>
    <row r="40" spans="1:33" ht="15" customHeight="1" thickBot="1">
      <c r="A40" s="32"/>
      <c r="B40" s="109" t="str">
        <f>IF('INPUT (Quote)'!B40="x","x","")</f>
        <v/>
      </c>
      <c r="C40" s="45" t="s">
        <v>65</v>
      </c>
      <c r="D40" s="45"/>
      <c r="E40" s="47"/>
      <c r="F40" s="47"/>
      <c r="G40" s="47"/>
      <c r="H40" s="47"/>
      <c r="I40" s="45"/>
      <c r="J40" s="45"/>
      <c r="K40" s="45"/>
      <c r="L40" s="45"/>
      <c r="M40" s="45"/>
      <c r="N40" s="45"/>
      <c r="O40" s="45"/>
      <c r="P40" s="45"/>
      <c r="Q40" s="45"/>
      <c r="R40" s="45"/>
      <c r="S40" s="45"/>
      <c r="T40" s="45"/>
      <c r="U40" s="45"/>
      <c r="V40" s="45"/>
      <c r="W40" s="45"/>
      <c r="X40" s="45"/>
      <c r="Y40" s="45"/>
      <c r="Z40" s="45"/>
      <c r="AA40" s="45"/>
      <c r="AB40" s="110">
        <f>'INPUT (Quote)'!AB40</f>
        <v>0</v>
      </c>
      <c r="AC40" s="427"/>
      <c r="AD40" s="427"/>
      <c r="AE40" s="427"/>
      <c r="AF40" s="427"/>
      <c r="AG40" s="428"/>
    </row>
    <row r="41" spans="1:33" ht="15" customHeight="1" thickBot="1">
      <c r="A41" s="30"/>
      <c r="B41" s="109" t="str">
        <f>IF('INPUT (Quote)'!B41="x","x","")</f>
        <v/>
      </c>
      <c r="C41" s="24" t="str">
        <f>'INPUT (Quote)'!C41</f>
        <v>This Option is Exclusive to a Different Model</v>
      </c>
      <c r="D41" s="26"/>
      <c r="E41" s="43"/>
      <c r="F41" s="43"/>
      <c r="G41" s="43"/>
      <c r="H41" s="43"/>
      <c r="I41" s="26"/>
      <c r="J41" s="26"/>
      <c r="K41" s="26"/>
      <c r="L41" s="26"/>
      <c r="M41" s="26"/>
      <c r="N41" s="26"/>
      <c r="O41" s="26"/>
      <c r="P41" s="26"/>
      <c r="Q41" s="26"/>
      <c r="R41" s="26"/>
      <c r="S41" s="26"/>
      <c r="T41" s="26"/>
      <c r="U41" s="26"/>
      <c r="V41" s="26"/>
      <c r="W41" s="26"/>
      <c r="X41" s="26"/>
      <c r="Y41" s="26"/>
      <c r="Z41" s="26"/>
      <c r="AA41" s="26"/>
      <c r="AB41" s="110">
        <f>'INPUT (Quote)'!AB41</f>
        <v>0</v>
      </c>
      <c r="AC41" s="429">
        <f>'INPUT (Quote)'!AC41</f>
        <v>0</v>
      </c>
      <c r="AD41" s="430"/>
      <c r="AE41" s="430"/>
      <c r="AF41" s="430"/>
      <c r="AG41" s="431"/>
    </row>
    <row r="42" spans="1:33" ht="15" customHeight="1" thickBot="1">
      <c r="A42" s="27" t="s">
        <v>66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102"/>
      <c r="AC42" s="432"/>
      <c r="AD42" s="432"/>
      <c r="AE42" s="432"/>
      <c r="AF42" s="432"/>
      <c r="AG42" s="433"/>
    </row>
    <row r="43" spans="1:33" ht="15" customHeight="1" thickBot="1">
      <c r="A43" s="32"/>
      <c r="B43" s="109" t="str">
        <f>IF('INPUT (Quote)'!B43="x","x","")</f>
        <v/>
      </c>
      <c r="C43" s="45" t="str">
        <f>IF(Quote_Trailer_Model=Extreme_OffRoad,"Included Toolbox","Add Toolbox")</f>
        <v>Add Toolbox</v>
      </c>
      <c r="D43" s="45"/>
      <c r="E43" s="45"/>
      <c r="F43" s="45"/>
      <c r="G43" s="46" t="s">
        <v>16</v>
      </c>
      <c r="H43" s="239" t="str">
        <f>IF('INPUT (Quote)'!H43="","",'INPUT (Quote)'!H43)</f>
        <v/>
      </c>
      <c r="I43" s="240"/>
      <c r="J43" s="240"/>
      <c r="K43" s="240"/>
      <c r="L43" s="240"/>
      <c r="M43" s="240"/>
      <c r="N43" s="240"/>
      <c r="O43" s="241"/>
      <c r="P43" s="45" t="str">
        <f>'INPUT (Quote)'!P43</f>
        <v/>
      </c>
      <c r="Q43" s="45"/>
      <c r="R43" s="45"/>
      <c r="S43" s="45"/>
      <c r="T43" s="45"/>
      <c r="U43" s="45"/>
      <c r="V43" s="45"/>
      <c r="W43" s="45"/>
      <c r="X43" s="45"/>
      <c r="Y43" s="45"/>
      <c r="Z43" s="45"/>
      <c r="AA43" s="45"/>
      <c r="AB43" s="110">
        <f>'INPUT (Quote)'!AB43</f>
        <v>0</v>
      </c>
      <c r="AC43" s="434"/>
      <c r="AD43" s="434"/>
      <c r="AE43" s="434"/>
      <c r="AF43" s="434"/>
      <c r="AG43" s="435"/>
    </row>
    <row r="44" spans="1:33" ht="15" customHeight="1" thickBot="1">
      <c r="A44" s="30"/>
      <c r="B44" s="109" t="str">
        <f>IF('INPUT (Quote)'!B44="x","x","")</f>
        <v/>
      </c>
      <c r="C44" s="26" t="str">
        <f>IF(Quote_Trailer_Model=Highway_Deluxe,"N/A on this Model","Add Fridge Box")</f>
        <v>Add Fridge Box</v>
      </c>
      <c r="D44" s="26"/>
      <c r="E44" s="26"/>
      <c r="F44" s="26"/>
      <c r="G44" s="33"/>
      <c r="H44" s="109" t="str">
        <f>IF('INPUT (Quote)'!H44="x","x","")</f>
        <v/>
      </c>
      <c r="I44" s="50" t="str">
        <f>IF(Quote_Trailer_Model=Highway_Deluxe,"N/A on this Model","Add Fridge Box Storage Rack")</f>
        <v>Add Fridge Box Storage Rack</v>
      </c>
      <c r="J44" s="43"/>
      <c r="K44" s="43"/>
      <c r="L44" s="43"/>
      <c r="M44" s="43"/>
      <c r="N44" s="43"/>
      <c r="O44" s="43"/>
      <c r="P44" s="26"/>
      <c r="Q44" s="26"/>
      <c r="R44" s="26"/>
      <c r="S44" s="26"/>
      <c r="T44" s="26"/>
      <c r="U44" s="26"/>
      <c r="V44" s="26"/>
      <c r="W44" s="26"/>
      <c r="X44" s="26"/>
      <c r="Y44" s="26"/>
      <c r="Z44" s="26"/>
      <c r="AA44" s="31"/>
      <c r="AB44" s="110">
        <f>'INPUT (Quote)'!AB44</f>
        <v>0</v>
      </c>
      <c r="AC44" s="410" t="s">
        <v>67</v>
      </c>
      <c r="AD44" s="410"/>
      <c r="AE44" s="410"/>
      <c r="AF44" s="410"/>
      <c r="AG44" s="411"/>
    </row>
    <row r="45" spans="1:33" ht="15" customHeight="1" thickBot="1">
      <c r="A45" s="27" t="s">
        <v>68</v>
      </c>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102"/>
      <c r="AC45" s="412"/>
      <c r="AD45" s="412"/>
      <c r="AE45" s="412"/>
      <c r="AF45" s="412"/>
      <c r="AG45" s="413"/>
    </row>
    <row r="46" spans="1:33" ht="15" customHeight="1" thickBot="1">
      <c r="A46" s="32"/>
      <c r="B46" s="109" t="str">
        <f>IF('INPUT (Quote)'!B46="x","x","")</f>
        <v/>
      </c>
      <c r="C46" s="45" t="s">
        <v>69</v>
      </c>
      <c r="D46" s="45"/>
      <c r="E46" s="45"/>
      <c r="F46" s="45"/>
      <c r="G46" s="45"/>
      <c r="H46" s="45"/>
      <c r="I46" s="45"/>
      <c r="J46" s="45"/>
      <c r="K46" s="46" t="s">
        <v>70</v>
      </c>
      <c r="L46" s="317" t="str">
        <f>IF('INPUT (Quote)'!L46="","",'INPUT (Quote)'!L46)</f>
        <v/>
      </c>
      <c r="M46" s="319"/>
      <c r="N46" s="45"/>
      <c r="O46" s="109" t="str">
        <f>IF('INPUT (Quote)'!O46="x","x","")</f>
        <v/>
      </c>
      <c r="P46" s="45" t="s">
        <v>71</v>
      </c>
      <c r="Q46" s="45"/>
      <c r="R46" s="45"/>
      <c r="S46" s="1" t="str">
        <f>'INPUT (Quote)'!S46</f>
        <v/>
      </c>
      <c r="T46" s="45"/>
      <c r="U46" s="45"/>
      <c r="V46" s="45"/>
      <c r="W46" s="45"/>
      <c r="Y46" s="45"/>
      <c r="Z46" s="45"/>
      <c r="AA46" s="45"/>
      <c r="AB46" s="110">
        <f>'INPUT (Quote)'!AB46</f>
        <v>0</v>
      </c>
      <c r="AC46" s="414">
        <f>'INPUT (Quote)'!AC46</f>
        <v>500</v>
      </c>
      <c r="AD46" s="415"/>
      <c r="AE46" s="415"/>
      <c r="AF46" s="415"/>
      <c r="AG46" s="416"/>
    </row>
    <row r="47" spans="1:33" ht="15" customHeight="1" thickBot="1">
      <c r="A47" s="30"/>
      <c r="B47" s="109" t="str">
        <f>IF('INPUT (Quote)'!B47="x","x","")</f>
        <v/>
      </c>
      <c r="C47" s="24" t="s">
        <v>72</v>
      </c>
      <c r="D47" s="26"/>
      <c r="E47" s="26"/>
      <c r="F47" s="26"/>
      <c r="G47" s="26"/>
      <c r="H47" s="26"/>
      <c r="I47" s="26"/>
      <c r="J47" s="26"/>
      <c r="K47" s="33" t="s">
        <v>70</v>
      </c>
      <c r="L47" s="317" t="str">
        <f>IF('INPUT (Quote)'!L47="","",'INPUT (Quote)'!L47)</f>
        <v/>
      </c>
      <c r="M47" s="319"/>
      <c r="N47" s="30"/>
      <c r="O47" s="109" t="str">
        <f>IF('INPUT (Quote)'!O47="x","x","")</f>
        <v/>
      </c>
      <c r="P47" s="24" t="s">
        <v>71</v>
      </c>
      <c r="Q47" s="26"/>
      <c r="R47" s="26"/>
      <c r="S47" s="26" t="str">
        <f>'INPUT (Quote)'!S47</f>
        <v/>
      </c>
      <c r="T47" s="26"/>
      <c r="U47" s="26"/>
      <c r="V47" s="26"/>
      <c r="W47" s="26"/>
      <c r="X47" s="26"/>
      <c r="Y47" s="26"/>
      <c r="Z47" s="26"/>
      <c r="AA47" s="31"/>
      <c r="AB47" s="110">
        <f>'INPUT (Quote)'!AB47</f>
        <v>0</v>
      </c>
      <c r="AC47" s="417"/>
      <c r="AD47" s="417"/>
      <c r="AE47" s="417"/>
      <c r="AF47" s="417"/>
      <c r="AG47" s="418"/>
    </row>
    <row r="48" spans="1:33" ht="15" customHeight="1" thickBot="1">
      <c r="A48" s="27" t="s">
        <v>73</v>
      </c>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102"/>
      <c r="AC48" s="419"/>
      <c r="AD48" s="419"/>
      <c r="AE48" s="419"/>
      <c r="AF48" s="419"/>
      <c r="AG48" s="420"/>
    </row>
    <row r="49" spans="1:33" ht="15" customHeight="1" thickBot="1">
      <c r="A49" s="27"/>
      <c r="B49" s="45" t="s">
        <v>74</v>
      </c>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102"/>
      <c r="AC49" s="386" t="s">
        <v>75</v>
      </c>
      <c r="AD49" s="386"/>
      <c r="AE49" s="386"/>
      <c r="AF49" s="386"/>
      <c r="AG49" s="387"/>
    </row>
    <row r="50" spans="1:33" ht="15" customHeight="1" thickBot="1">
      <c r="A50" s="32"/>
      <c r="B50" s="45" t="s">
        <v>76</v>
      </c>
      <c r="C50" s="45"/>
      <c r="D50" s="53"/>
      <c r="E50" s="53"/>
      <c r="F50" s="53"/>
      <c r="G50" s="242">
        <f>'INPUT (Quote)'!G50</f>
        <v>0</v>
      </c>
      <c r="H50" s="243"/>
      <c r="I50" s="243"/>
      <c r="J50" s="243"/>
      <c r="K50" s="243"/>
      <c r="L50" s="244"/>
      <c r="M50" s="45"/>
      <c r="N50" s="45"/>
      <c r="O50" s="45"/>
      <c r="P50" s="45"/>
      <c r="Q50" s="45"/>
      <c r="R50" s="45"/>
      <c r="S50" s="45"/>
      <c r="T50" s="45"/>
      <c r="U50" s="45"/>
      <c r="V50" s="45"/>
      <c r="W50" s="45"/>
      <c r="X50" s="45"/>
      <c r="Y50" s="45"/>
      <c r="Z50" s="45"/>
      <c r="AA50" s="45"/>
      <c r="AB50" s="110" t="str">
        <f>'INPUT (Quote)'!AB50</f>
        <v>Required</v>
      </c>
      <c r="AC50" s="397"/>
      <c r="AD50" s="397"/>
      <c r="AE50" s="397"/>
      <c r="AF50" s="397"/>
      <c r="AG50" s="398"/>
    </row>
    <row r="51" spans="1:33" ht="15" customHeight="1" thickBot="1">
      <c r="A51" s="32"/>
      <c r="B51" s="109" t="str">
        <f>IF('INPUT (Quote)'!B51="x","x","")</f>
        <v/>
      </c>
      <c r="C51" s="45" t="s">
        <v>77</v>
      </c>
      <c r="D51" s="45"/>
      <c r="E51" s="45"/>
      <c r="F51" s="45"/>
      <c r="G51" s="45"/>
      <c r="H51" s="45"/>
      <c r="I51" s="45"/>
      <c r="J51" s="45"/>
      <c r="K51" s="45"/>
      <c r="L51" s="45"/>
      <c r="M51" s="45"/>
      <c r="N51" s="45"/>
      <c r="O51" s="45"/>
      <c r="P51" s="45"/>
      <c r="Q51" s="45"/>
      <c r="R51" s="45"/>
      <c r="S51" s="45"/>
      <c r="T51" s="45"/>
      <c r="U51" s="45"/>
      <c r="V51" s="45"/>
      <c r="W51" s="45"/>
      <c r="X51" s="45"/>
      <c r="Y51" s="45"/>
      <c r="Z51" s="45"/>
      <c r="AA51" s="45"/>
      <c r="AB51" s="110">
        <f>'INPUT (Quote)'!AB51</f>
        <v>0</v>
      </c>
      <c r="AC51" s="440">
        <f>'INPUT (Quote)'!AC51</f>
        <v>-500</v>
      </c>
      <c r="AD51" s="415"/>
      <c r="AE51" s="415"/>
      <c r="AF51" s="415"/>
      <c r="AG51" s="416"/>
    </row>
    <row r="52" spans="1:33" ht="15" customHeight="1" thickBot="1">
      <c r="A52" s="32"/>
      <c r="B52" s="109" t="str">
        <f>IF('INPUT (Quote)'!B52="x","x","")</f>
        <v/>
      </c>
      <c r="C52" s="45" t="s">
        <v>78</v>
      </c>
      <c r="D52" s="45"/>
      <c r="E52" s="45"/>
      <c r="F52" s="45"/>
      <c r="G52" s="45"/>
      <c r="H52" s="46" t="s">
        <v>16</v>
      </c>
      <c r="I52" s="239" t="str">
        <f>IF('INPUT (Quote)'!I52="","",'INPUT (Quote)'!I52)</f>
        <v/>
      </c>
      <c r="J52" s="240"/>
      <c r="K52" s="240"/>
      <c r="L52" s="240"/>
      <c r="M52" s="240"/>
      <c r="N52" s="240"/>
      <c r="O52" s="241"/>
      <c r="P52" s="45" t="str">
        <f>'INPUT (Quote)'!P52</f>
        <v/>
      </c>
      <c r="Q52" s="45"/>
      <c r="R52" s="45"/>
      <c r="S52" s="45"/>
      <c r="T52" s="45"/>
      <c r="U52" s="45"/>
      <c r="V52" s="45"/>
      <c r="W52" s="45"/>
      <c r="X52" s="45"/>
      <c r="Y52" s="45"/>
      <c r="Z52" s="45"/>
      <c r="AA52" s="45"/>
      <c r="AB52" s="110">
        <f>'INPUT (Quote)'!AB52</f>
        <v>0</v>
      </c>
      <c r="AC52" s="417"/>
      <c r="AD52" s="417"/>
      <c r="AE52" s="417"/>
      <c r="AF52" s="417"/>
      <c r="AG52" s="418"/>
    </row>
    <row r="53" spans="1:33" ht="15" customHeight="1" thickBot="1">
      <c r="A53" s="30"/>
      <c r="B53" s="109" t="str">
        <f>IF('INPUT (Quote)'!B53="x","x","")</f>
        <v/>
      </c>
      <c r="C53" s="24" t="s">
        <v>79</v>
      </c>
      <c r="D53" s="26"/>
      <c r="E53" s="26"/>
      <c r="F53" s="26"/>
      <c r="G53" s="26"/>
      <c r="H53" s="33" t="s">
        <v>16</v>
      </c>
      <c r="I53" s="239" t="str">
        <f>IF('INPUT (Quote)'!I53="","",'INPUT (Quote)'!I53)</f>
        <v/>
      </c>
      <c r="J53" s="240"/>
      <c r="K53" s="240"/>
      <c r="L53" s="240"/>
      <c r="M53" s="240"/>
      <c r="N53" s="240"/>
      <c r="O53" s="241"/>
      <c r="P53" s="24" t="str">
        <f>'INPUT (Quote)'!P53</f>
        <v/>
      </c>
      <c r="Q53" s="26"/>
      <c r="R53" s="26"/>
      <c r="S53" s="26"/>
      <c r="T53" s="26"/>
      <c r="U53" s="26"/>
      <c r="V53" s="26"/>
      <c r="W53" s="26"/>
      <c r="X53" s="26"/>
      <c r="Y53" s="26"/>
      <c r="Z53" s="26"/>
      <c r="AA53" s="31"/>
      <c r="AB53" s="110">
        <f>'INPUT (Quote)'!AB53</f>
        <v>0</v>
      </c>
      <c r="AC53" s="419"/>
      <c r="AD53" s="419"/>
      <c r="AE53" s="419"/>
      <c r="AF53" s="419"/>
      <c r="AG53" s="420"/>
    </row>
    <row r="54" spans="1:33" ht="15" customHeight="1">
      <c r="A54" s="27" t="s">
        <v>80</v>
      </c>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102"/>
      <c r="AC54" s="441" t="s">
        <v>81</v>
      </c>
      <c r="AD54" s="441"/>
      <c r="AE54" s="441"/>
      <c r="AF54" s="441"/>
      <c r="AG54" s="442"/>
    </row>
    <row r="55" spans="1:33" ht="15" customHeight="1">
      <c r="A55" s="27"/>
      <c r="B55" s="245" t="s">
        <v>82</v>
      </c>
      <c r="C55" s="245"/>
      <c r="D55" s="245"/>
      <c r="E55" s="245"/>
      <c r="F55" s="245"/>
      <c r="G55" s="245"/>
      <c r="H55" s="245"/>
      <c r="I55" s="245"/>
      <c r="J55" s="245"/>
      <c r="K55" s="245"/>
      <c r="L55" s="245"/>
      <c r="M55" s="245"/>
      <c r="N55" s="245"/>
      <c r="O55" s="245"/>
      <c r="P55" s="245"/>
      <c r="Q55" s="245"/>
      <c r="R55" s="245"/>
      <c r="S55" s="245"/>
      <c r="T55" s="245"/>
      <c r="U55" s="245"/>
      <c r="V55" s="245"/>
      <c r="W55" s="245"/>
      <c r="X55" s="245"/>
      <c r="Y55" s="245"/>
      <c r="Z55" s="245"/>
      <c r="AA55" s="245"/>
      <c r="AB55" s="246"/>
      <c r="AC55" s="342"/>
      <c r="AD55" s="342"/>
      <c r="AE55" s="342"/>
      <c r="AF55" s="342"/>
      <c r="AG55" s="343"/>
    </row>
    <row r="56" spans="1:33" ht="15" customHeight="1" thickBot="1">
      <c r="A56" s="32"/>
      <c r="B56" s="245"/>
      <c r="C56" s="245"/>
      <c r="D56" s="245"/>
      <c r="E56" s="245"/>
      <c r="F56" s="245"/>
      <c r="G56" s="245"/>
      <c r="H56" s="245"/>
      <c r="I56" s="245"/>
      <c r="J56" s="245"/>
      <c r="K56" s="245"/>
      <c r="L56" s="245"/>
      <c r="M56" s="245"/>
      <c r="N56" s="245"/>
      <c r="O56" s="245"/>
      <c r="P56" s="245"/>
      <c r="Q56" s="245"/>
      <c r="R56" s="245"/>
      <c r="S56" s="245"/>
      <c r="T56" s="245"/>
      <c r="U56" s="245"/>
      <c r="V56" s="245"/>
      <c r="W56" s="245"/>
      <c r="X56" s="245"/>
      <c r="Y56" s="245"/>
      <c r="Z56" s="245"/>
      <c r="AA56" s="245"/>
      <c r="AB56" s="246"/>
      <c r="AC56" s="443"/>
      <c r="AD56" s="443"/>
      <c r="AE56" s="443"/>
      <c r="AF56" s="443"/>
      <c r="AG56" s="444"/>
    </row>
    <row r="57" spans="1:33" ht="15" customHeight="1" thickBot="1">
      <c r="A57" s="32"/>
      <c r="B57" s="109" t="str">
        <f>IF('INPUT (Quote)'!B57="x","x","")</f>
        <v/>
      </c>
      <c r="C57" s="45" t="s">
        <v>83</v>
      </c>
      <c r="D57" s="45"/>
      <c r="E57" s="45"/>
      <c r="F57" s="45"/>
      <c r="G57" s="45"/>
      <c r="H57" s="45"/>
      <c r="I57" s="46" t="s">
        <v>16</v>
      </c>
      <c r="J57" s="239" t="str">
        <f>IF('INPUT (Quote)'!J57="","",'INPUT (Quote)'!J57)</f>
        <v/>
      </c>
      <c r="K57" s="240"/>
      <c r="L57" s="240"/>
      <c r="M57" s="240"/>
      <c r="N57" s="240"/>
      <c r="O57" s="241"/>
      <c r="P57" s="45"/>
      <c r="Q57" s="45"/>
      <c r="R57" s="45"/>
      <c r="S57" s="45"/>
      <c r="T57" s="45"/>
      <c r="U57" s="45"/>
      <c r="V57" s="45"/>
      <c r="W57" s="45"/>
      <c r="X57" s="45"/>
      <c r="Y57" s="45"/>
      <c r="Z57" s="45"/>
      <c r="AA57" s="45"/>
      <c r="AB57" s="110" t="str">
        <f>'INPUT (Quote)'!AB57</f>
        <v>Select One</v>
      </c>
      <c r="AC57" s="445" t="s">
        <v>84</v>
      </c>
      <c r="AD57" s="445"/>
      <c r="AE57" s="445"/>
      <c r="AF57" s="445"/>
      <c r="AG57" s="446"/>
    </row>
    <row r="58" spans="1:33" ht="15" customHeight="1" thickBot="1">
      <c r="A58" s="32"/>
      <c r="B58" s="45"/>
      <c r="C58" s="109" t="str">
        <f>IF('INPUT (Quote)'!C58="x","x","")</f>
        <v/>
      </c>
      <c r="D58" s="45" t="str">
        <f>'INPUT (Quote)'!D58</f>
        <v>Larger Battery Required</v>
      </c>
      <c r="E58" s="45"/>
      <c r="F58" s="45"/>
      <c r="G58" s="45"/>
      <c r="H58" s="45"/>
      <c r="I58" s="45"/>
      <c r="J58" s="45"/>
      <c r="K58" s="45"/>
      <c r="L58" s="45"/>
      <c r="M58" s="45"/>
      <c r="N58" s="45"/>
      <c r="O58" s="45"/>
      <c r="P58" s="45"/>
      <c r="Q58" s="45"/>
      <c r="R58" s="45"/>
      <c r="S58" s="45"/>
      <c r="T58" s="45"/>
      <c r="U58" s="45"/>
      <c r="V58" s="45"/>
      <c r="W58" s="45"/>
      <c r="X58" s="45"/>
      <c r="Y58" s="45"/>
      <c r="Z58" s="45"/>
      <c r="AA58" s="45"/>
      <c r="AB58" s="110">
        <f>'INPUT (Quote)'!AB58</f>
        <v>0</v>
      </c>
      <c r="AC58" s="447"/>
      <c r="AD58" s="447"/>
      <c r="AE58" s="447"/>
      <c r="AF58" s="447"/>
      <c r="AG58" s="448"/>
    </row>
    <row r="59" spans="1:33" ht="15" customHeight="1" thickBot="1">
      <c r="A59" s="32"/>
      <c r="B59" s="45"/>
      <c r="C59" s="45" t="s">
        <v>85</v>
      </c>
      <c r="D59" s="45"/>
      <c r="E59" s="45"/>
      <c r="F59" s="45"/>
      <c r="G59" s="239" t="str">
        <f>IF('INPUT (Quote)'!G59="","",'INPUT (Quote)'!G59)</f>
        <v>Rear Galley</v>
      </c>
      <c r="H59" s="240"/>
      <c r="I59" s="240"/>
      <c r="J59" s="240"/>
      <c r="K59" s="241"/>
      <c r="L59" s="45"/>
      <c r="M59" s="45"/>
      <c r="N59" s="45"/>
      <c r="O59" s="45"/>
      <c r="P59" s="45"/>
      <c r="Q59" s="45"/>
      <c r="R59" s="45"/>
      <c r="S59" s="45"/>
      <c r="T59" s="45"/>
      <c r="U59" s="45"/>
      <c r="V59" s="45"/>
      <c r="W59" s="45"/>
      <c r="X59" s="45"/>
      <c r="Y59" s="45"/>
      <c r="Z59" s="45"/>
      <c r="AA59" s="45"/>
      <c r="AB59" s="110" t="str">
        <f>'INPUT (Quote)'!AB59</f>
        <v>Standard</v>
      </c>
      <c r="AC59" s="436" t="str">
        <f>'INPUT (Quote)'!AC59</f>
        <v>March</v>
      </c>
      <c r="AD59" s="436"/>
      <c r="AE59" s="436"/>
      <c r="AF59" s="436"/>
      <c r="AG59" s="437"/>
    </row>
    <row r="60" spans="1:33" ht="15" customHeight="1" thickBot="1">
      <c r="A60" s="32"/>
      <c r="B60" s="109" t="str">
        <f>IF('INPUT (Quote)'!B60="x","x","")</f>
        <v/>
      </c>
      <c r="C60" s="45" t="s">
        <v>88</v>
      </c>
      <c r="D60" s="45"/>
      <c r="E60" s="45"/>
      <c r="F60" s="45"/>
      <c r="G60" s="45"/>
      <c r="H60" s="45"/>
      <c r="I60" s="45"/>
      <c r="J60" s="46" t="s">
        <v>16</v>
      </c>
      <c r="K60" s="239" t="str">
        <f>IF('INPUT (Quote)'!K60="","",'INPUT (Quote)'!K60)</f>
        <v/>
      </c>
      <c r="L60" s="240"/>
      <c r="M60" s="240"/>
      <c r="N60" s="240"/>
      <c r="O60" s="240"/>
      <c r="P60" s="240"/>
      <c r="Q60" s="241"/>
      <c r="R60" s="45" t="str">
        <f>'INPUT (Quote)'!R60</f>
        <v/>
      </c>
      <c r="S60" s="45"/>
      <c r="T60" s="45"/>
      <c r="U60" s="45"/>
      <c r="V60" s="45"/>
      <c r="W60" s="45"/>
      <c r="X60" s="45"/>
      <c r="Y60" s="45"/>
      <c r="Z60" s="45"/>
      <c r="AA60" s="45"/>
      <c r="AB60" s="110">
        <f>'INPUT (Quote)'!AB60</f>
        <v>0</v>
      </c>
      <c r="AC60" s="438"/>
      <c r="AD60" s="438"/>
      <c r="AE60" s="438"/>
      <c r="AF60" s="438"/>
      <c r="AG60" s="439"/>
    </row>
    <row r="61" spans="1:33" ht="15" customHeight="1" thickBot="1">
      <c r="A61" s="32"/>
      <c r="B61" s="45"/>
      <c r="C61" s="109" t="str">
        <f>IF('INPUT (Quote)'!C61="x","x","")</f>
        <v/>
      </c>
      <c r="D61" s="45" t="s">
        <v>89</v>
      </c>
      <c r="E61" s="45"/>
      <c r="F61" s="45"/>
      <c r="G61" s="45"/>
      <c r="H61" s="45"/>
      <c r="I61" s="45"/>
      <c r="J61" s="45"/>
      <c r="K61" s="45"/>
      <c r="L61" s="45"/>
      <c r="M61" s="45"/>
      <c r="N61" s="45"/>
      <c r="O61" s="45"/>
      <c r="P61" s="45"/>
      <c r="Q61" s="45"/>
      <c r="R61" s="45"/>
      <c r="S61" s="45"/>
      <c r="T61" s="45"/>
      <c r="U61" s="45"/>
      <c r="V61" s="45"/>
      <c r="W61" s="45"/>
      <c r="X61" s="45"/>
      <c r="Y61" s="45"/>
      <c r="Z61" s="45"/>
      <c r="AA61" s="45"/>
      <c r="AB61" s="110">
        <f>'INPUT (Quote)'!AB61</f>
        <v>0</v>
      </c>
      <c r="AC61" s="438"/>
      <c r="AD61" s="438"/>
      <c r="AE61" s="438"/>
      <c r="AF61" s="438"/>
      <c r="AG61" s="439"/>
    </row>
    <row r="62" spans="1:33" ht="15" customHeight="1" thickBot="1">
      <c r="A62" s="32"/>
      <c r="B62" s="45"/>
      <c r="C62" s="109" t="str">
        <f>IF('INPUT (Quote)'!C62="x","x","")</f>
        <v/>
      </c>
      <c r="D62" s="45" t="s">
        <v>90</v>
      </c>
      <c r="E62" s="45"/>
      <c r="F62" s="45"/>
      <c r="G62" s="45"/>
      <c r="H62" s="45"/>
      <c r="I62" s="45"/>
      <c r="J62" s="45"/>
      <c r="K62" s="45"/>
      <c r="L62" s="45"/>
      <c r="M62" s="45"/>
      <c r="N62" s="45"/>
      <c r="O62" s="46" t="s">
        <v>70</v>
      </c>
      <c r="P62" s="239" t="str">
        <f>IF('INPUT (Quote)'!P62="","",'INPUT (Quote)'!P62)</f>
        <v/>
      </c>
      <c r="Q62" s="240"/>
      <c r="R62" s="240"/>
      <c r="S62" s="240"/>
      <c r="T62" s="241"/>
      <c r="U62" s="45"/>
      <c r="V62" s="45"/>
      <c r="W62" s="45"/>
      <c r="X62" s="45"/>
      <c r="Y62" s="45"/>
      <c r="Z62" s="45"/>
      <c r="AA62" s="45"/>
      <c r="AB62" s="110">
        <f>'INPUT (Quote)'!AB62</f>
        <v>0</v>
      </c>
      <c r="AC62" s="288" t="s">
        <v>91</v>
      </c>
      <c r="AD62" s="288"/>
      <c r="AE62" s="288"/>
      <c r="AF62" s="288"/>
      <c r="AG62" s="289"/>
    </row>
    <row r="63" spans="1:33" ht="15" customHeight="1" thickBot="1">
      <c r="A63" s="32"/>
      <c r="B63" s="45"/>
      <c r="C63" s="109" t="str">
        <f>IF('INPUT (Quote)'!C63="x","x","")</f>
        <v/>
      </c>
      <c r="D63" s="45" t="s">
        <v>92</v>
      </c>
      <c r="E63" s="45"/>
      <c r="F63" s="45"/>
      <c r="G63" s="45"/>
      <c r="H63" s="45"/>
      <c r="I63" s="45"/>
      <c r="J63" s="45"/>
      <c r="K63" s="45"/>
      <c r="L63" s="45"/>
      <c r="M63" s="45"/>
      <c r="N63" s="45"/>
      <c r="O63" s="45"/>
      <c r="P63" s="45"/>
      <c r="Q63" s="45"/>
      <c r="R63" s="45"/>
      <c r="S63" s="45"/>
      <c r="T63" s="45"/>
      <c r="U63" s="45"/>
      <c r="V63" s="45"/>
      <c r="W63" s="45"/>
      <c r="X63" s="45"/>
      <c r="Y63" s="45"/>
      <c r="Z63" s="45"/>
      <c r="AA63" s="45"/>
      <c r="AB63" s="110">
        <f>'INPUT (Quote)'!AB63</f>
        <v>0</v>
      </c>
      <c r="AC63" s="290"/>
      <c r="AD63" s="290"/>
      <c r="AE63" s="290"/>
      <c r="AF63" s="290"/>
      <c r="AG63" s="291"/>
    </row>
    <row r="64" spans="1:33" ht="15" customHeight="1" thickBot="1">
      <c r="A64" s="54"/>
      <c r="B64" s="109" t="str">
        <f>IF('INPUT (Quote)'!B64="x","x","")</f>
        <v/>
      </c>
      <c r="C64" s="45" t="s">
        <v>93</v>
      </c>
      <c r="D64" s="45"/>
      <c r="E64" s="45"/>
      <c r="F64" s="45"/>
      <c r="G64" s="45"/>
      <c r="H64" s="45"/>
      <c r="I64" s="45"/>
      <c r="J64" s="45"/>
      <c r="K64" s="45"/>
      <c r="L64" s="45"/>
      <c r="M64" s="45"/>
      <c r="N64" s="45"/>
      <c r="O64" s="45"/>
      <c r="P64" s="45"/>
      <c r="Q64" s="45"/>
      <c r="R64" s="45"/>
      <c r="S64" s="45" t="s">
        <v>63</v>
      </c>
      <c r="T64" s="45"/>
      <c r="U64" s="45"/>
      <c r="V64" s="45"/>
      <c r="W64" s="45"/>
      <c r="X64" s="45"/>
      <c r="Y64" s="45"/>
      <c r="Z64" s="45"/>
      <c r="AA64" s="45"/>
      <c r="AB64" s="110">
        <f>'INPUT (Quote)'!AB64</f>
        <v>0</v>
      </c>
      <c r="AC64" s="290"/>
      <c r="AD64" s="290"/>
      <c r="AE64" s="290"/>
      <c r="AF64" s="290"/>
      <c r="AG64" s="291"/>
    </row>
    <row r="65" spans="1:33" ht="15" customHeight="1" thickBot="1">
      <c r="A65" s="24"/>
      <c r="B65" s="109" t="str">
        <f>IF('INPUT (Quote)'!B65="x","x","")</f>
        <v/>
      </c>
      <c r="C65" s="24" t="s">
        <v>94</v>
      </c>
      <c r="D65" s="26"/>
      <c r="E65" s="26"/>
      <c r="F65" s="26"/>
      <c r="G65" s="26"/>
      <c r="H65" s="109" t="str">
        <f>IF('INPUT (Quote)'!H65="x","x","")</f>
        <v/>
      </c>
      <c r="I65" s="163" t="str">
        <f>'INPUT (Quote)'!I65</f>
        <v>N/A</v>
      </c>
      <c r="J65" s="26"/>
      <c r="K65" s="26"/>
      <c r="L65" s="26"/>
      <c r="M65" s="26"/>
      <c r="N65" s="26"/>
      <c r="O65" s="109" t="str">
        <f>IF('INPUT (Quote)'!O65="x","x","")</f>
        <v/>
      </c>
      <c r="P65" s="163" t="str">
        <f>'INPUT (Quote)'!P65</f>
        <v>N/A</v>
      </c>
      <c r="Q65" s="26"/>
      <c r="R65" s="26"/>
      <c r="S65" s="26"/>
      <c r="T65" s="26"/>
      <c r="U65" s="26"/>
      <c r="V65" s="26"/>
      <c r="W65" s="26"/>
      <c r="X65" s="26"/>
      <c r="Y65" s="26"/>
      <c r="Z65" s="26"/>
      <c r="AA65" s="31"/>
      <c r="AB65" s="110">
        <f>'INPUT (Quote)'!AB65</f>
        <v>0</v>
      </c>
      <c r="AC65" s="290"/>
      <c r="AD65" s="290"/>
      <c r="AE65" s="290"/>
      <c r="AF65" s="290"/>
      <c r="AG65" s="291"/>
    </row>
    <row r="66" spans="1:33" ht="15" customHeight="1">
      <c r="A66" s="27" t="s">
        <v>95</v>
      </c>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102"/>
      <c r="AC66" s="290"/>
      <c r="AD66" s="290"/>
      <c r="AE66" s="290"/>
      <c r="AF66" s="290"/>
      <c r="AG66" s="291"/>
    </row>
    <row r="67" spans="1:33" ht="15" customHeight="1" thickBot="1">
      <c r="A67" s="27"/>
      <c r="B67" s="45" t="s">
        <v>96</v>
      </c>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102"/>
      <c r="AC67" s="290"/>
      <c r="AD67" s="290"/>
      <c r="AE67" s="290"/>
      <c r="AF67" s="290"/>
      <c r="AG67" s="291"/>
    </row>
    <row r="68" spans="1:33" ht="15" customHeight="1" thickBot="1">
      <c r="A68" s="32"/>
      <c r="B68" s="45" t="s">
        <v>97</v>
      </c>
      <c r="C68" s="45"/>
      <c r="D68" s="45"/>
      <c r="E68" s="45"/>
      <c r="F68" s="239">
        <f>'INPUT (Quote)'!F68</f>
        <v>0</v>
      </c>
      <c r="G68" s="240"/>
      <c r="H68" s="241"/>
      <c r="I68" s="45"/>
      <c r="J68" s="45"/>
      <c r="K68" s="45"/>
      <c r="L68" s="45"/>
      <c r="M68" s="45"/>
      <c r="N68" s="45"/>
      <c r="O68" s="45"/>
      <c r="P68" s="45"/>
      <c r="Q68" s="45"/>
      <c r="R68" s="45"/>
      <c r="S68" s="45"/>
      <c r="T68" s="45"/>
      <c r="U68" s="45"/>
      <c r="V68" s="45"/>
      <c r="W68" s="45"/>
      <c r="X68" s="45"/>
      <c r="Y68" s="45"/>
      <c r="Z68" s="45"/>
      <c r="AA68" s="45"/>
      <c r="AB68" s="110" t="str">
        <f>'INPUT (Quote)'!AB68</f>
        <v>Error</v>
      </c>
      <c r="AC68" s="292"/>
      <c r="AD68" s="292"/>
      <c r="AE68" s="292"/>
      <c r="AF68" s="292"/>
      <c r="AG68" s="293"/>
    </row>
    <row r="69" spans="1:33" ht="15" customHeight="1" thickBot="1">
      <c r="A69" s="32"/>
      <c r="B69" s="109" t="str">
        <f>IF('INPUT (Quote)'!B69="x","x","")</f>
        <v/>
      </c>
      <c r="C69" s="45" t="s">
        <v>98</v>
      </c>
      <c r="D69" s="45"/>
      <c r="E69" s="45"/>
      <c r="F69" s="45"/>
      <c r="G69" s="45"/>
      <c r="H69" s="46" t="s">
        <v>16</v>
      </c>
      <c r="I69" s="239" t="str">
        <f>IF('INPUT (Quote)'!I69="","",'INPUT (Quote)'!I69)</f>
        <v/>
      </c>
      <c r="J69" s="240"/>
      <c r="K69" s="247"/>
      <c r="L69" s="247"/>
      <c r="M69" s="248"/>
      <c r="N69" s="45"/>
      <c r="O69" s="45"/>
      <c r="P69" s="45"/>
      <c r="Q69" s="45"/>
      <c r="R69" s="45"/>
      <c r="S69" s="45"/>
      <c r="T69" s="45"/>
      <c r="U69" s="45"/>
      <c r="V69" s="45"/>
      <c r="W69" s="45"/>
      <c r="X69" s="45"/>
      <c r="Y69" s="45"/>
      <c r="Z69" s="45"/>
      <c r="AA69" s="45"/>
      <c r="AB69" s="110">
        <f>'INPUT (Quote)'!AB69</f>
        <v>0</v>
      </c>
      <c r="AC69" s="253" t="s">
        <v>99</v>
      </c>
      <c r="AD69" s="254"/>
      <c r="AE69" s="254"/>
      <c r="AF69" s="254"/>
      <c r="AG69" s="255"/>
    </row>
    <row r="70" spans="1:33" ht="15" customHeight="1" thickBot="1">
      <c r="A70" s="32"/>
      <c r="B70" s="109" t="str">
        <f>IF('INPUT (Quote)'!B70="x","x","")</f>
        <v/>
      </c>
      <c r="C70" s="45" t="s">
        <v>100</v>
      </c>
      <c r="D70" s="45"/>
      <c r="E70" s="45"/>
      <c r="F70" s="45"/>
      <c r="G70" s="45"/>
      <c r="H70" s="45"/>
      <c r="I70" s="45"/>
      <c r="J70" s="46" t="s">
        <v>16</v>
      </c>
      <c r="K70" s="239" t="str">
        <f>IF('INPUT (Quote)'!K70="","",'INPUT (Quote)'!K70)</f>
        <v/>
      </c>
      <c r="L70" s="240"/>
      <c r="M70" s="240"/>
      <c r="N70" s="241"/>
      <c r="O70" s="45" t="str">
        <f>'INPUT (Quote)'!O70</f>
        <v/>
      </c>
      <c r="P70" s="45"/>
      <c r="Q70" s="45"/>
      <c r="R70" s="45"/>
      <c r="S70" s="45"/>
      <c r="T70" s="45"/>
      <c r="U70" s="45"/>
      <c r="V70" s="45"/>
      <c r="W70" s="45"/>
      <c r="X70" s="45"/>
      <c r="Y70" s="45"/>
      <c r="Z70" s="45"/>
      <c r="AA70" s="45"/>
      <c r="AB70" s="110">
        <f>'INPUT (Quote)'!AB70</f>
        <v>0</v>
      </c>
      <c r="AC70" s="256"/>
      <c r="AD70" s="257"/>
      <c r="AE70" s="257"/>
      <c r="AF70" s="257"/>
      <c r="AG70" s="258"/>
    </row>
    <row r="71" spans="1:33" ht="15" customHeight="1" thickBot="1">
      <c r="A71" s="32"/>
      <c r="B71" s="109" t="str">
        <f>IF('INPUT (Quote)'!B71="x","x","")</f>
        <v/>
      </c>
      <c r="C71" s="45" t="s">
        <v>101</v>
      </c>
      <c r="D71" s="45"/>
      <c r="E71" s="45"/>
      <c r="F71" s="45"/>
      <c r="G71" s="45"/>
      <c r="H71" s="45"/>
      <c r="I71" s="45"/>
      <c r="J71" s="46" t="s">
        <v>16</v>
      </c>
      <c r="K71" s="239" t="str">
        <f>IF('INPUT (Quote)'!K71="","",'INPUT (Quote)'!K71)</f>
        <v/>
      </c>
      <c r="L71" s="240"/>
      <c r="M71" s="240"/>
      <c r="N71" s="241"/>
      <c r="O71" s="45" t="str">
        <f>'INPUT (Quote)'!O71</f>
        <v/>
      </c>
      <c r="P71" s="45"/>
      <c r="Q71" s="45"/>
      <c r="R71" s="45"/>
      <c r="S71" s="45"/>
      <c r="T71" s="45"/>
      <c r="U71" s="45"/>
      <c r="V71" s="45"/>
      <c r="W71" s="45"/>
      <c r="X71" s="45"/>
      <c r="Y71" s="45"/>
      <c r="Z71" s="45"/>
      <c r="AA71" s="45"/>
      <c r="AB71" s="110">
        <f>'INPUT (Quote)'!AB71</f>
        <v>0</v>
      </c>
      <c r="AC71" s="128" t="s">
        <v>102</v>
      </c>
      <c r="AD71" s="4" t="e">
        <f>'INPUT (Quote)'!AD71</f>
        <v>#N/A</v>
      </c>
      <c r="AE71" s="4" t="s">
        <v>103</v>
      </c>
      <c r="AF71" s="259" t="s">
        <v>104</v>
      </c>
      <c r="AG71" s="325" t="s">
        <v>105</v>
      </c>
    </row>
    <row r="72" spans="1:33" ht="15" customHeight="1" thickBot="1">
      <c r="A72" s="30"/>
      <c r="B72" s="109" t="str">
        <f>IF('INPUT (Quote)'!B72="x","x","")</f>
        <v/>
      </c>
      <c r="C72" s="24" t="s">
        <v>106</v>
      </c>
      <c r="D72" s="26"/>
      <c r="E72" s="26"/>
      <c r="F72" s="26"/>
      <c r="G72" s="26"/>
      <c r="H72" s="26"/>
      <c r="I72" s="26"/>
      <c r="J72" s="33" t="s">
        <v>16</v>
      </c>
      <c r="K72" s="239" t="str">
        <f>IF('INPUT (Quote)'!K72="","",'INPUT (Quote)'!K72)</f>
        <v/>
      </c>
      <c r="L72" s="240"/>
      <c r="M72" s="240"/>
      <c r="N72" s="241"/>
      <c r="O72" s="24" t="str">
        <f>'INPUT (Quote)'!O72</f>
        <v/>
      </c>
      <c r="P72" s="26"/>
      <c r="Q72" s="26"/>
      <c r="R72" s="26"/>
      <c r="S72" s="26"/>
      <c r="T72" s="26"/>
      <c r="U72" s="26"/>
      <c r="V72" s="26"/>
      <c r="W72" s="26"/>
      <c r="X72" s="26"/>
      <c r="Y72" s="26"/>
      <c r="Z72" s="26"/>
      <c r="AA72" s="26"/>
      <c r="AB72" s="110">
        <f>'INPUT (Quote)'!AB72</f>
        <v>0</v>
      </c>
      <c r="AC72" s="129" t="s">
        <v>107</v>
      </c>
      <c r="AD72" s="3" t="e">
        <f>'INPUT (Quote)'!AD72</f>
        <v>#N/A</v>
      </c>
      <c r="AE72" s="3" t="s">
        <v>103</v>
      </c>
      <c r="AF72" s="260"/>
      <c r="AG72" s="326"/>
    </row>
    <row r="73" spans="1:33" ht="15" customHeight="1" thickBot="1">
      <c r="A73" s="27" t="s">
        <v>108</v>
      </c>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102"/>
      <c r="AC73" s="130" t="s">
        <v>109</v>
      </c>
      <c r="AD73" s="59"/>
      <c r="AE73" s="60"/>
      <c r="AF73" s="61"/>
      <c r="AG73" s="44" t="str">
        <f>'INPUT (Quote)'!AG73</f>
        <v>No</v>
      </c>
    </row>
    <row r="74" spans="1:33" ht="15" customHeight="1" thickBot="1">
      <c r="A74" s="32"/>
      <c r="B74" s="109" t="str">
        <f>IF('INPUT (Quote)'!B74="x","x","")</f>
        <v/>
      </c>
      <c r="C74" s="45" t="s">
        <v>110</v>
      </c>
      <c r="D74" s="45"/>
      <c r="E74" s="45"/>
      <c r="F74" s="45"/>
      <c r="G74" s="45"/>
      <c r="H74" s="45"/>
      <c r="I74" s="46" t="s">
        <v>16</v>
      </c>
      <c r="J74" s="239" t="str">
        <f>IF('INPUT (Quote)'!J74="","",'INPUT (Quote)'!J74)</f>
        <v/>
      </c>
      <c r="K74" s="240"/>
      <c r="L74" s="240"/>
      <c r="M74" s="240"/>
      <c r="N74" s="240"/>
      <c r="O74" s="240"/>
      <c r="P74" s="241"/>
      <c r="Q74" s="45" t="str">
        <f>'INPUT (Quote)'!Q74</f>
        <v/>
      </c>
      <c r="R74" s="45"/>
      <c r="S74" s="45"/>
      <c r="T74" s="45"/>
      <c r="U74" s="45" t="str">
        <f>'INPUT (Quote)'!U74</f>
        <v/>
      </c>
      <c r="V74" s="45"/>
      <c r="W74" s="45"/>
      <c r="X74" s="45"/>
      <c r="Y74" s="45"/>
      <c r="Z74" s="45"/>
      <c r="AA74" s="45"/>
      <c r="AB74" s="110">
        <f>'INPUT (Quote)'!AB74</f>
        <v>0</v>
      </c>
      <c r="AC74" s="131" t="s">
        <v>111</v>
      </c>
      <c r="AD74" s="56"/>
      <c r="AE74" s="55"/>
      <c r="AF74" s="56"/>
      <c r="AG74" s="126" t="e">
        <f>'INPUT (Quote)'!AG74</f>
        <v>#N/A</v>
      </c>
    </row>
    <row r="75" spans="1:33" ht="15" customHeight="1" thickBot="1">
      <c r="A75" s="119"/>
      <c r="B75" s="109" t="str">
        <f>IF('INPUT (Quote)'!B75="x","x","")</f>
        <v/>
      </c>
      <c r="C75" s="45" t="s">
        <v>112</v>
      </c>
      <c r="D75" s="45"/>
      <c r="E75" s="45"/>
      <c r="F75" s="45"/>
      <c r="G75" s="45"/>
      <c r="H75" s="45"/>
      <c r="I75" s="46" t="s">
        <v>16</v>
      </c>
      <c r="J75" s="239" t="str">
        <f>IF('INPUT (Quote)'!J75="","",'INPUT (Quote)'!J75)</f>
        <v/>
      </c>
      <c r="K75" s="240"/>
      <c r="L75" s="240"/>
      <c r="M75" s="240"/>
      <c r="N75" s="240"/>
      <c r="O75" s="240"/>
      <c r="P75" s="241"/>
      <c r="Q75" s="45"/>
      <c r="R75" s="45"/>
      <c r="S75" s="120" t="s">
        <v>113</v>
      </c>
      <c r="T75" s="239" t="str">
        <f>IF('INPUT (Quote)'!T75="","",'INPUT (Quote)'!T75)</f>
        <v/>
      </c>
      <c r="U75" s="240"/>
      <c r="V75" s="240"/>
      <c r="W75" s="240"/>
      <c r="X75" s="241"/>
      <c r="Y75" s="45" t="str">
        <f>IF(AND(B75="x",J75&lt;&gt;"",T75=""),"Required","")</f>
        <v/>
      </c>
      <c r="Z75" s="45"/>
      <c r="AA75" s="45"/>
      <c r="AB75" s="110">
        <f>'INPUT (Quote)'!AB75</f>
        <v>0</v>
      </c>
      <c r="AC75" s="132" t="s">
        <v>114</v>
      </c>
      <c r="AD75" s="58"/>
      <c r="AE75" s="57"/>
      <c r="AF75" s="58"/>
      <c r="AG75" s="127" t="e">
        <f>'INPUT (Quote)'!AG75</f>
        <v>#N/A</v>
      </c>
    </row>
    <row r="76" spans="1:33" ht="15" customHeight="1" thickBot="1">
      <c r="A76" s="30"/>
      <c r="B76" s="109" t="str">
        <f>IF('INPUT (Quote)'!B76="x","x","")</f>
        <v/>
      </c>
      <c r="C76" s="24" t="s">
        <v>115</v>
      </c>
      <c r="D76" s="26"/>
      <c r="E76" s="26"/>
      <c r="F76" s="26"/>
      <c r="G76" s="26"/>
      <c r="H76" s="26"/>
      <c r="I76" s="33" t="s">
        <v>16</v>
      </c>
      <c r="J76" s="239" t="str">
        <f>IF('INPUT (Quote)'!J76="","",'INPUT (Quote)'!J76)</f>
        <v/>
      </c>
      <c r="K76" s="240"/>
      <c r="L76" s="240"/>
      <c r="M76" s="240"/>
      <c r="N76" s="240"/>
      <c r="O76" s="240"/>
      <c r="P76" s="241"/>
      <c r="Q76" s="24"/>
      <c r="R76" s="26"/>
      <c r="S76" s="26"/>
      <c r="T76" s="26"/>
      <c r="U76" s="26"/>
      <c r="V76" s="26"/>
      <c r="W76" s="26"/>
      <c r="X76" s="26"/>
      <c r="Y76" s="26"/>
      <c r="Z76" s="26"/>
      <c r="AA76" s="31"/>
      <c r="AB76" s="110">
        <f>'INPUT (Quote)'!AB76</f>
        <v>0</v>
      </c>
      <c r="AC76" s="133" t="s">
        <v>116</v>
      </c>
      <c r="AD76" s="134"/>
      <c r="AE76" s="135"/>
      <c r="AF76" s="344" t="str">
        <f>'INPUT (Quote)'!AF76</f>
        <v>13/16th or 19mm</v>
      </c>
      <c r="AG76" s="345"/>
    </row>
    <row r="77" spans="1:33" ht="15" customHeight="1" thickBot="1">
      <c r="A77" s="27" t="s">
        <v>117</v>
      </c>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102"/>
      <c r="AC77" s="346" t="s">
        <v>118</v>
      </c>
      <c r="AD77" s="347"/>
      <c r="AE77" s="347"/>
      <c r="AF77" s="347"/>
      <c r="AG77" s="348"/>
    </row>
    <row r="78" spans="1:33" ht="15" customHeight="1" thickBot="1">
      <c r="A78" s="27"/>
      <c r="B78" s="109" t="str">
        <f>IF('INPUT (Quote)'!B78="x","x","")</f>
        <v/>
      </c>
      <c r="C78" s="45" t="s">
        <v>119</v>
      </c>
      <c r="D78" s="45"/>
      <c r="E78" s="45"/>
      <c r="F78" s="45"/>
      <c r="G78" s="45"/>
      <c r="H78" s="45"/>
      <c r="I78" s="45"/>
      <c r="J78" s="45"/>
      <c r="K78" s="45"/>
      <c r="L78" s="45"/>
      <c r="M78" s="45"/>
      <c r="N78" s="45"/>
      <c r="O78" s="45"/>
      <c r="P78" s="45"/>
      <c r="Q78" s="45"/>
      <c r="R78" s="45"/>
      <c r="S78" s="45"/>
      <c r="T78" s="45"/>
      <c r="U78" s="45"/>
      <c r="V78" s="45"/>
      <c r="W78" s="45"/>
      <c r="X78" s="45"/>
      <c r="Y78" s="45"/>
      <c r="Z78" s="45"/>
      <c r="AA78" s="45"/>
      <c r="AB78" s="110">
        <f>'INPUT (Quote)'!AB78</f>
        <v>0</v>
      </c>
      <c r="AC78" s="340"/>
      <c r="AD78" s="335"/>
      <c r="AE78" s="335"/>
      <c r="AF78" s="335"/>
      <c r="AG78" s="336"/>
    </row>
    <row r="79" spans="1:33" ht="15" customHeight="1" thickBot="1">
      <c r="A79" s="119"/>
      <c r="B79" s="109" t="str">
        <f>IF('INPUT (Quote)'!B79="x","x","")</f>
        <v/>
      </c>
      <c r="C79" s="45" t="str">
        <f>'INPUT (Quote)'!C79</f>
        <v>Undermount Water Not Available on This Model or Size</v>
      </c>
      <c r="D79" s="45"/>
      <c r="E79" s="45"/>
      <c r="F79" s="45"/>
      <c r="G79" s="45"/>
      <c r="H79" s="45"/>
      <c r="I79" s="45"/>
      <c r="J79" s="45"/>
      <c r="K79" s="45"/>
      <c r="L79" s="45"/>
      <c r="M79" s="45"/>
      <c r="N79" s="45"/>
      <c r="O79" s="45"/>
      <c r="P79" s="45"/>
      <c r="Q79" s="45"/>
      <c r="R79" s="45"/>
      <c r="S79" s="45"/>
      <c r="T79" s="45"/>
      <c r="U79" s="45"/>
      <c r="V79" s="45"/>
      <c r="W79" s="45"/>
      <c r="X79" s="45"/>
      <c r="Y79" s="45"/>
      <c r="Z79" s="45"/>
      <c r="AA79" s="45"/>
      <c r="AB79" s="110" t="str">
        <f>'INPUT (Quote)'!AB79</f>
        <v>N/A</v>
      </c>
      <c r="AC79" s="340"/>
      <c r="AD79" s="335"/>
      <c r="AE79" s="335"/>
      <c r="AF79" s="335"/>
      <c r="AG79" s="336"/>
    </row>
    <row r="80" spans="1:33" ht="15" customHeight="1" thickBot="1">
      <c r="A80" s="24"/>
      <c r="B80" s="109" t="str">
        <f>IF('INPUT (Quote)'!B80="x","x","")</f>
        <v/>
      </c>
      <c r="C80" s="24" t="s">
        <v>120</v>
      </c>
      <c r="D80" s="26"/>
      <c r="E80" s="26"/>
      <c r="F80" s="26"/>
      <c r="G80" s="26"/>
      <c r="H80" s="26"/>
      <c r="I80" s="26"/>
      <c r="J80" s="26" t="str">
        <f>'INPUT (Quote)'!J80</f>
        <v/>
      </c>
      <c r="K80" s="26"/>
      <c r="L80" s="26"/>
      <c r="M80" s="26"/>
      <c r="N80" s="26"/>
      <c r="O80" s="26"/>
      <c r="P80" s="26"/>
      <c r="Q80" s="26"/>
      <c r="R80" s="26"/>
      <c r="S80" s="26"/>
      <c r="T80" s="26"/>
      <c r="U80" s="26"/>
      <c r="V80" s="26"/>
      <c r="W80" s="26"/>
      <c r="X80" s="26"/>
      <c r="Y80" s="26"/>
      <c r="Z80" s="26"/>
      <c r="AA80" s="26"/>
      <c r="AB80" s="110">
        <f>'INPUT (Quote)'!AB80</f>
        <v>0</v>
      </c>
      <c r="AC80" s="340"/>
      <c r="AD80" s="335"/>
      <c r="AE80" s="335"/>
      <c r="AF80" s="335"/>
      <c r="AG80" s="336"/>
    </row>
    <row r="81" spans="1:33" ht="15" customHeight="1" thickBot="1">
      <c r="A81" s="27" t="s">
        <v>121</v>
      </c>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102"/>
      <c r="AC81" s="340"/>
      <c r="AD81" s="335"/>
      <c r="AE81" s="335"/>
      <c r="AF81" s="335"/>
      <c r="AG81" s="336"/>
    </row>
    <row r="82" spans="1:33" ht="15" customHeight="1" thickBot="1">
      <c r="A82" s="32"/>
      <c r="B82" s="109" t="str">
        <f>IF('INPUT (Quote)'!B82="x","x","")</f>
        <v/>
      </c>
      <c r="C82" s="45" t="s">
        <v>122</v>
      </c>
      <c r="D82" s="45"/>
      <c r="E82" s="45"/>
      <c r="F82" s="45"/>
      <c r="G82" s="45"/>
      <c r="H82" s="45"/>
      <c r="I82" s="46" t="s">
        <v>16</v>
      </c>
      <c r="J82" s="239" t="str">
        <f>IF('INPUT (Quote)'!J82="","",'INPUT (Quote)'!J82)</f>
        <v/>
      </c>
      <c r="K82" s="240"/>
      <c r="L82" s="240"/>
      <c r="M82" s="240"/>
      <c r="N82" s="240"/>
      <c r="O82" s="240"/>
      <c r="P82" s="240"/>
      <c r="Q82" s="240"/>
      <c r="R82" s="241"/>
      <c r="S82" s="45" t="str">
        <f>'INPUT (Quote)'!S82</f>
        <v/>
      </c>
      <c r="T82" s="45"/>
      <c r="U82" s="45"/>
      <c r="V82" s="45"/>
      <c r="W82" s="45"/>
      <c r="X82" s="45"/>
      <c r="Y82" s="45"/>
      <c r="Z82" s="45"/>
      <c r="AA82" s="45"/>
      <c r="AB82" s="110">
        <f>'INPUT (Quote)'!AB82</f>
        <v>0</v>
      </c>
      <c r="AC82" s="337"/>
      <c r="AD82" s="338"/>
      <c r="AE82" s="338"/>
      <c r="AF82" s="338"/>
      <c r="AG82" s="339"/>
    </row>
    <row r="83" spans="1:33" ht="15" customHeight="1" thickBot="1">
      <c r="A83" s="30"/>
      <c r="B83" s="109" t="str">
        <f>IF('INPUT (Quote)'!B83="x","x","")</f>
        <v/>
      </c>
      <c r="C83" s="24" t="str">
        <f>'INPUT (Quote)'!C83</f>
        <v>Fridge Box Required for Slide Add On</v>
      </c>
      <c r="D83" s="26"/>
      <c r="E83" s="26"/>
      <c r="F83" s="26"/>
      <c r="G83" s="26"/>
      <c r="H83" s="26"/>
      <c r="I83" s="26"/>
      <c r="J83" s="26"/>
      <c r="K83" s="26"/>
      <c r="L83" s="26"/>
      <c r="M83" s="26"/>
      <c r="N83" s="26"/>
      <c r="O83" s="26"/>
      <c r="P83" s="26"/>
      <c r="Q83" s="26"/>
      <c r="R83" s="26"/>
      <c r="S83" s="26"/>
      <c r="T83" s="26"/>
      <c r="U83" s="26"/>
      <c r="V83" s="26"/>
      <c r="W83" s="26"/>
      <c r="X83" s="26"/>
      <c r="Y83" s="26"/>
      <c r="Z83" s="26"/>
      <c r="AA83" s="31"/>
      <c r="AB83" s="110" t="str">
        <f>'INPUT (Quote)'!AB83</f>
        <v>N/A</v>
      </c>
      <c r="AC83" s="349" t="s">
        <v>123</v>
      </c>
      <c r="AD83" s="350"/>
      <c r="AE83" s="350"/>
      <c r="AF83" s="350"/>
      <c r="AG83" s="351"/>
    </row>
    <row r="84" spans="1:33" ht="15" customHeight="1" thickBot="1">
      <c r="A84" s="27" t="s">
        <v>124</v>
      </c>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102"/>
      <c r="AC84" s="352"/>
      <c r="AD84" s="353"/>
      <c r="AE84" s="353"/>
      <c r="AF84" s="353"/>
      <c r="AG84" s="354"/>
    </row>
    <row r="85" spans="1:33" ht="15" customHeight="1" thickBot="1">
      <c r="A85" s="32"/>
      <c r="B85" s="109" t="str">
        <f>IF('INPUT (Quote)'!B85="x","x","")</f>
        <v/>
      </c>
      <c r="C85" s="45" t="s">
        <v>125</v>
      </c>
      <c r="D85" s="45"/>
      <c r="E85" s="45"/>
      <c r="F85" s="45"/>
      <c r="G85" s="45"/>
      <c r="H85" s="45"/>
      <c r="I85" s="45"/>
      <c r="J85" s="46"/>
      <c r="K85" s="45"/>
      <c r="L85" s="45"/>
      <c r="M85" s="45"/>
      <c r="N85" s="45"/>
      <c r="O85" s="45"/>
      <c r="P85" s="45"/>
      <c r="Q85" s="45"/>
      <c r="R85" s="45"/>
      <c r="S85" s="45"/>
      <c r="T85" s="45"/>
      <c r="U85" s="45"/>
      <c r="V85" s="45"/>
      <c r="W85" s="45"/>
      <c r="X85" s="45"/>
      <c r="Y85" s="45"/>
      <c r="Z85" s="45"/>
      <c r="AA85" s="45"/>
      <c r="AB85" s="122">
        <f>'INPUT (Quote)'!AB85</f>
        <v>0</v>
      </c>
      <c r="AC85" s="355"/>
      <c r="AD85" s="356"/>
      <c r="AE85" s="356"/>
      <c r="AF85" s="356"/>
      <c r="AG85" s="357"/>
    </row>
    <row r="86" spans="1:33" ht="15" customHeight="1" thickBot="1">
      <c r="A86" s="32"/>
      <c r="B86" s="109" t="str">
        <f>IF('INPUT (Quote)'!B86="x","x","")</f>
        <v/>
      </c>
      <c r="C86" s="45" t="s">
        <v>126</v>
      </c>
      <c r="D86" s="45"/>
      <c r="E86" s="45"/>
      <c r="F86" s="45"/>
      <c r="G86" s="45"/>
      <c r="H86" s="45"/>
      <c r="I86" s="45"/>
      <c r="J86" s="45"/>
      <c r="K86" s="45"/>
      <c r="L86" s="45"/>
      <c r="M86" s="45"/>
      <c r="N86" s="45"/>
      <c r="O86" s="45"/>
      <c r="P86" s="45"/>
      <c r="Q86" s="45"/>
      <c r="R86" s="45"/>
      <c r="S86" s="45"/>
      <c r="T86" s="45"/>
      <c r="U86" s="45"/>
      <c r="V86" s="45"/>
      <c r="W86" s="45"/>
      <c r="X86" s="45"/>
      <c r="Y86" s="45"/>
      <c r="Z86" s="45"/>
      <c r="AA86" s="45"/>
      <c r="AB86" s="122">
        <f>'INPUT (Quote)'!AB86</f>
        <v>0</v>
      </c>
      <c r="AC86" s="346" t="s">
        <v>156</v>
      </c>
      <c r="AD86" s="347"/>
      <c r="AE86" s="347"/>
      <c r="AF86" s="347"/>
      <c r="AG86" s="348"/>
    </row>
    <row r="87" spans="1:33" ht="15" customHeight="1" thickBot="1">
      <c r="A87" s="32"/>
      <c r="B87" s="109" t="str">
        <f>IF('INPUT (Quote)'!B87="x","x","")</f>
        <v/>
      </c>
      <c r="C87" s="45" t="s">
        <v>128</v>
      </c>
      <c r="D87" s="45"/>
      <c r="E87" s="45"/>
      <c r="F87" s="45"/>
      <c r="G87" s="45"/>
      <c r="H87" s="45"/>
      <c r="I87" s="45"/>
      <c r="J87" s="45"/>
      <c r="K87" s="45"/>
      <c r="L87" s="45"/>
      <c r="M87" s="45"/>
      <c r="N87" s="45"/>
      <c r="O87" s="45"/>
      <c r="P87" s="45"/>
      <c r="Q87" s="45"/>
      <c r="R87" s="45"/>
      <c r="S87" s="45"/>
      <c r="T87" s="45"/>
      <c r="U87" s="45"/>
      <c r="V87" s="45"/>
      <c r="W87" s="45"/>
      <c r="X87" s="45"/>
      <c r="Y87" s="45"/>
      <c r="Z87" s="45"/>
      <c r="AA87" s="45"/>
      <c r="AB87" s="122">
        <f>'INPUT (Quote)'!AB87</f>
        <v>0</v>
      </c>
      <c r="AC87" s="340"/>
      <c r="AD87" s="335"/>
      <c r="AE87" s="335"/>
      <c r="AF87" s="335"/>
      <c r="AG87" s="336"/>
    </row>
    <row r="88" spans="1:33" ht="15" customHeight="1" thickBot="1">
      <c r="A88" s="32"/>
      <c r="B88" s="109" t="str">
        <f>IF('INPUT (Quote)'!B88="x","x","")</f>
        <v/>
      </c>
      <c r="C88" s="45" t="s">
        <v>129</v>
      </c>
      <c r="D88" s="45"/>
      <c r="E88" s="45"/>
      <c r="F88" s="45"/>
      <c r="G88" s="45"/>
      <c r="H88" s="45" t="str">
        <f>IF(AND(B88="x",B37="x"),"*Brakes will not function with this adapter","")</f>
        <v/>
      </c>
      <c r="I88" s="45"/>
      <c r="J88" s="46"/>
      <c r="K88" s="45"/>
      <c r="L88" s="45"/>
      <c r="M88" s="45"/>
      <c r="N88" s="45"/>
      <c r="O88" s="45"/>
      <c r="P88" s="45"/>
      <c r="Q88" s="45"/>
      <c r="R88" s="45"/>
      <c r="S88" s="45"/>
      <c r="T88" s="45"/>
      <c r="U88" s="45"/>
      <c r="V88" s="45"/>
      <c r="W88" s="45"/>
      <c r="X88" s="45"/>
      <c r="Y88" s="45"/>
      <c r="Z88" s="45"/>
      <c r="AA88" s="45"/>
      <c r="AB88" s="122">
        <f>'INPUT (Quote)'!AB88</f>
        <v>0</v>
      </c>
      <c r="AC88" s="340"/>
      <c r="AD88" s="335"/>
      <c r="AE88" s="335"/>
      <c r="AF88" s="335"/>
      <c r="AG88" s="336"/>
    </row>
    <row r="89" spans="1:33" ht="15" customHeight="1" thickBot="1">
      <c r="A89" s="32"/>
      <c r="B89" s="109" t="str">
        <f>IF('INPUT (Quote)'!B89="x","x","")</f>
        <v/>
      </c>
      <c r="C89" s="45" t="s">
        <v>130</v>
      </c>
      <c r="D89" s="45"/>
      <c r="E89" s="45"/>
      <c r="F89" s="45"/>
      <c r="G89" s="45"/>
      <c r="H89" s="45"/>
      <c r="I89" s="45"/>
      <c r="J89" s="46"/>
      <c r="K89" s="47"/>
      <c r="L89" s="47"/>
      <c r="M89" s="47"/>
      <c r="N89" s="47"/>
      <c r="O89" s="47"/>
      <c r="P89" s="47"/>
      <c r="Q89" s="45"/>
      <c r="R89" s="45"/>
      <c r="S89" s="45"/>
      <c r="T89" s="45"/>
      <c r="U89" s="45"/>
      <c r="V89" s="45"/>
      <c r="W89" s="45"/>
      <c r="X89" s="45"/>
      <c r="Y89" s="45"/>
      <c r="Z89" s="45"/>
      <c r="AA89" s="45"/>
      <c r="AB89" s="122">
        <f>'INPUT (Quote)'!AB89</f>
        <v>0</v>
      </c>
      <c r="AC89" s="340"/>
      <c r="AD89" s="335"/>
      <c r="AE89" s="335"/>
      <c r="AF89" s="335"/>
      <c r="AG89" s="336"/>
    </row>
    <row r="90" spans="1:33" ht="15" customHeight="1" thickBot="1">
      <c r="A90" s="30"/>
      <c r="B90" s="109" t="str">
        <f>IF('INPUT (Quote)'!B90="x","x","")</f>
        <v/>
      </c>
      <c r="C90" s="24" t="s">
        <v>131</v>
      </c>
      <c r="D90" s="26"/>
      <c r="E90" s="26"/>
      <c r="F90" s="26"/>
      <c r="G90" s="26"/>
      <c r="H90" s="26"/>
      <c r="I90" s="26"/>
      <c r="J90" s="65"/>
      <c r="K90" s="43"/>
      <c r="L90" s="43"/>
      <c r="M90" s="43"/>
      <c r="N90" s="43"/>
      <c r="O90" s="43"/>
      <c r="P90" s="43"/>
      <c r="Q90" s="26"/>
      <c r="R90" s="26"/>
      <c r="S90" s="26"/>
      <c r="T90" s="26"/>
      <c r="U90" s="26"/>
      <c r="V90" s="26"/>
      <c r="W90" s="26"/>
      <c r="X90" s="26"/>
      <c r="Y90" s="26"/>
      <c r="Z90" s="26"/>
      <c r="AA90" s="31"/>
      <c r="AB90" s="122">
        <f>'INPUT (Quote)'!AB90</f>
        <v>0</v>
      </c>
      <c r="AC90" s="340"/>
      <c r="AD90" s="335"/>
      <c r="AE90" s="335"/>
      <c r="AF90" s="335"/>
      <c r="AG90" s="336"/>
    </row>
    <row r="91" spans="1:33" ht="15" customHeight="1">
      <c r="A91" s="27" t="s">
        <v>133</v>
      </c>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105"/>
      <c r="AC91" s="340"/>
      <c r="AD91" s="335"/>
      <c r="AE91" s="335"/>
      <c r="AF91" s="335"/>
      <c r="AG91" s="336"/>
    </row>
    <row r="92" spans="1:33" ht="15" customHeight="1">
      <c r="A92" s="27"/>
      <c r="B92" s="45" t="s">
        <v>135</v>
      </c>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105"/>
      <c r="AC92" s="340" t="s">
        <v>157</v>
      </c>
      <c r="AD92" s="335"/>
      <c r="AE92" s="335"/>
      <c r="AF92" s="335"/>
      <c r="AG92" s="336"/>
    </row>
    <row r="93" spans="1:33" ht="15" customHeight="1">
      <c r="A93" s="32"/>
      <c r="B93" s="45"/>
      <c r="C93" s="66" t="s">
        <v>136</v>
      </c>
      <c r="D93" s="45"/>
      <c r="E93" s="45"/>
      <c r="F93" s="45"/>
      <c r="G93" s="45"/>
      <c r="H93" s="45"/>
      <c r="I93" s="66" t="s">
        <v>137</v>
      </c>
      <c r="J93" s="45"/>
      <c r="K93" s="45"/>
      <c r="L93" s="45"/>
      <c r="M93" s="45"/>
      <c r="N93" s="45"/>
      <c r="O93" s="45"/>
      <c r="P93" s="45"/>
      <c r="Q93" s="45"/>
      <c r="R93" s="45"/>
      <c r="S93" s="66" t="s">
        <v>138</v>
      </c>
      <c r="T93" s="45"/>
      <c r="U93" s="45"/>
      <c r="V93" s="45"/>
      <c r="W93" s="45"/>
      <c r="X93" s="45"/>
      <c r="Y93" s="45"/>
      <c r="Z93" s="45"/>
      <c r="AA93" s="45"/>
      <c r="AB93" s="105"/>
      <c r="AC93" s="340"/>
      <c r="AD93" s="335"/>
      <c r="AE93" s="335"/>
      <c r="AF93" s="335"/>
      <c r="AG93" s="336"/>
    </row>
    <row r="94" spans="1:33" ht="15" customHeight="1" thickBot="1">
      <c r="A94" s="48"/>
      <c r="B94" s="45"/>
      <c r="C94" s="66" t="s">
        <v>140</v>
      </c>
      <c r="D94" s="45"/>
      <c r="E94" s="45"/>
      <c r="F94" s="45"/>
      <c r="G94" s="45"/>
      <c r="H94" s="45"/>
      <c r="I94" s="66" t="s">
        <v>141</v>
      </c>
      <c r="J94" s="45"/>
      <c r="K94" s="45"/>
      <c r="L94" s="45"/>
      <c r="M94" s="45"/>
      <c r="N94" s="45"/>
      <c r="O94" s="45"/>
      <c r="P94" s="45"/>
      <c r="Q94" s="45"/>
      <c r="R94" s="45"/>
      <c r="S94" s="66" t="s">
        <v>142</v>
      </c>
      <c r="T94" s="45"/>
      <c r="U94" s="45"/>
      <c r="V94" s="45"/>
      <c r="W94" s="45"/>
      <c r="X94" s="45"/>
      <c r="Y94" s="45"/>
      <c r="Z94" s="45"/>
      <c r="AA94" s="45"/>
      <c r="AB94" s="105"/>
      <c r="AC94" s="340"/>
      <c r="AD94" s="335"/>
      <c r="AE94" s="335"/>
      <c r="AF94" s="335"/>
      <c r="AG94" s="336"/>
    </row>
    <row r="95" spans="1:33" ht="15" customHeight="1" thickBot="1">
      <c r="A95" s="24"/>
      <c r="B95" s="109" t="str">
        <f>IF('INPUT (Quote)'!B95="x","x","")</f>
        <v/>
      </c>
      <c r="C95" s="24" t="s">
        <v>143</v>
      </c>
      <c r="D95" s="26"/>
      <c r="E95" s="26"/>
      <c r="F95" s="26"/>
      <c r="G95" s="26"/>
      <c r="H95" s="26"/>
      <c r="I95" s="65" t="s">
        <v>144</v>
      </c>
      <c r="J95" s="239" t="str">
        <f>IF('INPUT (Quote)'!J95="","",'INPUT (Quote)'!J95)</f>
        <v/>
      </c>
      <c r="K95" s="241"/>
      <c r="L95" s="26"/>
      <c r="M95" s="26"/>
      <c r="N95" s="65" t="s">
        <v>145</v>
      </c>
      <c r="O95" s="239" t="str">
        <f>IF('INPUT (Quote)'!O95="","",'INPUT (Quote)'!O95)</f>
        <v/>
      </c>
      <c r="P95" s="241"/>
      <c r="Q95" s="26"/>
      <c r="R95" s="26"/>
      <c r="S95" s="26"/>
      <c r="T95" s="26"/>
      <c r="U95" s="26"/>
      <c r="V95" s="26"/>
      <c r="W95" s="26"/>
      <c r="X95" s="26"/>
      <c r="Y95" s="26"/>
      <c r="Z95" s="26"/>
      <c r="AA95" s="26"/>
      <c r="AB95" s="122" t="str">
        <f>'INPUT (Quote)'!AB95</f>
        <v>Coming Soon</v>
      </c>
      <c r="AC95" s="340"/>
      <c r="AD95" s="335"/>
      <c r="AE95" s="335"/>
      <c r="AF95" s="335"/>
      <c r="AG95" s="336"/>
    </row>
    <row r="96" spans="1:33" ht="15" customHeight="1">
      <c r="A96" s="27" t="s">
        <v>146</v>
      </c>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105"/>
      <c r="AC96" s="340"/>
      <c r="AD96" s="335"/>
      <c r="AE96" s="335"/>
      <c r="AF96" s="335"/>
      <c r="AG96" s="336"/>
    </row>
    <row r="97" spans="1:33" ht="15" customHeight="1" thickBot="1">
      <c r="A97" s="27"/>
      <c r="B97" s="124" t="s">
        <v>147</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105"/>
      <c r="AC97" s="340" t="s">
        <v>158</v>
      </c>
      <c r="AD97" s="335"/>
      <c r="AE97" s="335"/>
      <c r="AF97" s="335"/>
      <c r="AG97" s="336"/>
    </row>
    <row r="98" spans="1:33" ht="15" customHeight="1" thickBot="1">
      <c r="A98" s="30"/>
      <c r="B98" s="317" t="str">
        <f>'INPUT (Quote)'!B98</f>
        <v>Columbus, IN</v>
      </c>
      <c r="C98" s="318"/>
      <c r="D98" s="318"/>
      <c r="E98" s="318"/>
      <c r="F98" s="319"/>
      <c r="G98" s="24"/>
      <c r="H98" s="26"/>
      <c r="I98" s="26"/>
      <c r="J98" s="26"/>
      <c r="K98" s="26"/>
      <c r="L98" s="26"/>
      <c r="M98" s="26"/>
      <c r="N98" s="26"/>
      <c r="O98" s="26"/>
      <c r="P98" s="26"/>
      <c r="Q98" s="26"/>
      <c r="R98" s="26"/>
      <c r="S98" s="26"/>
      <c r="T98" s="26"/>
      <c r="U98" s="26"/>
      <c r="V98" s="26"/>
      <c r="W98" s="26"/>
      <c r="X98" s="26"/>
      <c r="Y98" s="26"/>
      <c r="Z98" s="26"/>
      <c r="AA98" s="31"/>
      <c r="AB98" s="122" t="str">
        <f>'INPUT (Quote)'!AB98</f>
        <v>Free</v>
      </c>
      <c r="AC98" s="340"/>
      <c r="AD98" s="335"/>
      <c r="AE98" s="335"/>
      <c r="AF98" s="335"/>
      <c r="AG98" s="336"/>
    </row>
    <row r="99" spans="1:33" ht="15" customHeight="1" thickBot="1">
      <c r="A99" s="27" t="s">
        <v>150</v>
      </c>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105"/>
      <c r="AC99" s="340"/>
      <c r="AD99" s="335"/>
      <c r="AE99" s="335"/>
      <c r="AF99" s="335"/>
      <c r="AG99" s="336"/>
    </row>
    <row r="100" spans="1:33" ht="15" customHeight="1" thickBot="1">
      <c r="A100" s="34"/>
      <c r="B100" s="123" t="s">
        <v>151</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6"/>
      <c r="AB100" s="104" t="str">
        <f>'INPUT (Quote)'!AB100</f>
        <v>Included</v>
      </c>
      <c r="AC100" s="337"/>
      <c r="AD100" s="338"/>
      <c r="AE100" s="338"/>
      <c r="AF100" s="338"/>
      <c r="AG100" s="339"/>
    </row>
    <row r="101" spans="1:33">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105"/>
    </row>
    <row r="102" spans="1:33">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105"/>
    </row>
    <row r="103" spans="1:3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105"/>
    </row>
    <row r="104" spans="1:33">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105"/>
    </row>
    <row r="105" spans="1:33">
      <c r="A105" s="70" t="s">
        <v>159</v>
      </c>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1" t="s">
        <v>160</v>
      </c>
    </row>
    <row r="106" spans="1:33">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105"/>
    </row>
    <row r="107" spans="1:33">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105"/>
    </row>
    <row r="108" spans="1:33">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105"/>
    </row>
    <row r="109" spans="1:33">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105"/>
    </row>
    <row r="110" spans="1:33">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105"/>
    </row>
    <row r="111" spans="1:33">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105"/>
    </row>
    <row r="112" spans="1:33">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105"/>
    </row>
    <row r="113" spans="1:28">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105"/>
    </row>
    <row r="114" spans="1:28" ht="1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06"/>
    </row>
    <row r="115" spans="1:28" ht="1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106"/>
    </row>
    <row r="116" spans="1:28" ht="1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106"/>
    </row>
    <row r="117" spans="1:28" ht="18">
      <c r="AB117" s="106"/>
    </row>
    <row r="118" spans="1:28">
      <c r="AB118" s="107"/>
    </row>
    <row r="119" spans="1:28">
      <c r="AB119" s="107"/>
    </row>
  </sheetData>
  <sheetProtection selectLockedCells="1"/>
  <mergeCells count="103">
    <mergeCell ref="B98:F98"/>
    <mergeCell ref="AE7:AE9"/>
    <mergeCell ref="AF7:AG7"/>
    <mergeCell ref="AF8:AG9"/>
    <mergeCell ref="AC11:AG13"/>
    <mergeCell ref="AC86:AG91"/>
    <mergeCell ref="AC92:AG96"/>
    <mergeCell ref="AC97:AG100"/>
    <mergeCell ref="AC83:AG85"/>
    <mergeCell ref="J95:K95"/>
    <mergeCell ref="O95:P95"/>
    <mergeCell ref="J74:P74"/>
    <mergeCell ref="J75:P75"/>
    <mergeCell ref="T75:X75"/>
    <mergeCell ref="J76:P76"/>
    <mergeCell ref="AF76:AG76"/>
    <mergeCell ref="AC77:AG82"/>
    <mergeCell ref="J82:R82"/>
    <mergeCell ref="I69:M69"/>
    <mergeCell ref="AC69:AG70"/>
    <mergeCell ref="K70:N70"/>
    <mergeCell ref="K71:N71"/>
    <mergeCell ref="AF71:AF72"/>
    <mergeCell ref="AG71:AG72"/>
    <mergeCell ref="K72:N72"/>
    <mergeCell ref="G59:K59"/>
    <mergeCell ref="AC59:AG61"/>
    <mergeCell ref="K60:Q60"/>
    <mergeCell ref="P62:T62"/>
    <mergeCell ref="AC62:AG68"/>
    <mergeCell ref="F68:H68"/>
    <mergeCell ref="AC51:AG53"/>
    <mergeCell ref="I52:O52"/>
    <mergeCell ref="I53:O53"/>
    <mergeCell ref="AC54:AG56"/>
    <mergeCell ref="B55:AB56"/>
    <mergeCell ref="J57:O57"/>
    <mergeCell ref="AC57:AG58"/>
    <mergeCell ref="AC44:AG45"/>
    <mergeCell ref="L46:M46"/>
    <mergeCell ref="AC46:AG48"/>
    <mergeCell ref="L47:M47"/>
    <mergeCell ref="AC49:AG50"/>
    <mergeCell ref="G50:L50"/>
    <mergeCell ref="E36:I36"/>
    <mergeCell ref="N36:S36"/>
    <mergeCell ref="AC36:AG38"/>
    <mergeCell ref="AC39:AG40"/>
    <mergeCell ref="AC41:AG43"/>
    <mergeCell ref="H43:O43"/>
    <mergeCell ref="K29:Q29"/>
    <mergeCell ref="AC29:AG30"/>
    <mergeCell ref="K30:Q30"/>
    <mergeCell ref="K31:Q31"/>
    <mergeCell ref="AC31:AG33"/>
    <mergeCell ref="B33:AB34"/>
    <mergeCell ref="AC34:AG35"/>
    <mergeCell ref="J35:Q35"/>
    <mergeCell ref="AC22:AF22"/>
    <mergeCell ref="J23:M23"/>
    <mergeCell ref="AC23:AF23"/>
    <mergeCell ref="AC24:AG25"/>
    <mergeCell ref="J26:O26"/>
    <mergeCell ref="AC26:AG28"/>
    <mergeCell ref="K27:Q27"/>
    <mergeCell ref="K28:Q28"/>
    <mergeCell ref="H19:M19"/>
    <mergeCell ref="AC19:AF19"/>
    <mergeCell ref="C20:G20"/>
    <mergeCell ref="J20:M20"/>
    <mergeCell ref="AC20:AF20"/>
    <mergeCell ref="J21:M21"/>
    <mergeCell ref="AC21:AF21"/>
    <mergeCell ref="E16:F16"/>
    <mergeCell ref="G16:M16"/>
    <mergeCell ref="AC16:AG17"/>
    <mergeCell ref="G17:M17"/>
    <mergeCell ref="H18:M18"/>
    <mergeCell ref="AC18:AF18"/>
    <mergeCell ref="K12:Q12"/>
    <mergeCell ref="B14:AB15"/>
    <mergeCell ref="AD14:AE15"/>
    <mergeCell ref="AF14:AG15"/>
    <mergeCell ref="G8:M8"/>
    <mergeCell ref="P8:S8"/>
    <mergeCell ref="AC8:AD9"/>
    <mergeCell ref="AC10:AG10"/>
    <mergeCell ref="K11:Q11"/>
    <mergeCell ref="S11:U11"/>
    <mergeCell ref="V11:AA11"/>
    <mergeCell ref="AD4:AG4"/>
    <mergeCell ref="J5:P5"/>
    <mergeCell ref="AC5:AC6"/>
    <mergeCell ref="AD5:AG5"/>
    <mergeCell ref="AD6:AE6"/>
    <mergeCell ref="G7:M7"/>
    <mergeCell ref="AC7:AD7"/>
    <mergeCell ref="A1:AB1"/>
    <mergeCell ref="AC1:AG1"/>
    <mergeCell ref="AD2:AG2"/>
    <mergeCell ref="B3:G3"/>
    <mergeCell ref="J3:M3"/>
    <mergeCell ref="AD3:AG3"/>
  </mergeCells>
  <conditionalFormatting sqref="C39">
    <cfRule type="expression" dxfId="1" priority="1">
      <formula>"EOR Exclusive Option"</formula>
    </cfRule>
  </conditionalFormatting>
  <dataValidations count="1">
    <dataValidation type="list" allowBlank="1" showInputMessage="1" showErrorMessage="1" sqref="AG6" xr:uid="{5975F54E-4FD0-4CD9-9DB3-EF9827FD0AA6}">
      <formula1>States_List</formula1>
    </dataValidation>
  </dataValidations>
  <pageMargins left="0.75" right="0.75" top="1" bottom="0.25" header="0" footer="0"/>
  <pageSetup scale="38" orientation="portrait" horizontalDpi="300" verticalDpi="300" r:id="rId1"/>
  <headerFooter alignWithMargins="0">
    <oddHeader xml:space="preserve">&amp;L&amp;"Roboto,Regular"&amp;11Hiker Trailers
2860 N National Rd.  Suite B
Columbus, IN 47201&amp;C&amp;"Roboto,Bold"&amp;36Hiker Trailer Custom Build
&amp;24- Build Contract -&amp;R&amp;"Roboto,Regular"&amp;11hikertrailers@numagroupinc.com
812-975-5300
M-F 9a-4p (est)
Sat. by Appt. 
</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7B74B-7EE6-4095-A812-C1246C6D2F4E}">
  <sheetPr>
    <pageSetUpPr fitToPage="1"/>
  </sheetPr>
  <dimension ref="A1:AG119"/>
  <sheetViews>
    <sheetView view="pageLayout" topLeftCell="A27" zoomScaleNormal="100" workbookViewId="0">
      <selection activeCell="I60" sqref="I60"/>
    </sheetView>
  </sheetViews>
  <sheetFormatPr defaultColWidth="8.625" defaultRowHeight="15"/>
  <cols>
    <col min="1" max="27" width="4" style="1" customWidth="1"/>
    <col min="28" max="28" width="19.875" style="56" customWidth="1"/>
    <col min="29" max="33" width="14.125" style="1" customWidth="1"/>
    <col min="34" max="16384" width="8.625" style="1"/>
  </cols>
  <sheetData>
    <row r="1" spans="1:33" ht="15" customHeight="1" thickBot="1">
      <c r="A1" s="469" t="s">
        <v>0</v>
      </c>
      <c r="B1" s="470"/>
      <c r="C1" s="470"/>
      <c r="D1" s="470"/>
      <c r="E1" s="470"/>
      <c r="F1" s="470"/>
      <c r="G1" s="470"/>
      <c r="H1" s="470"/>
      <c r="I1" s="470"/>
      <c r="J1" s="470"/>
      <c r="K1" s="470"/>
      <c r="L1" s="470"/>
      <c r="M1" s="470"/>
      <c r="N1" s="470"/>
      <c r="O1" s="470"/>
      <c r="P1" s="470"/>
      <c r="Q1" s="470"/>
      <c r="R1" s="470"/>
      <c r="S1" s="470"/>
      <c r="T1" s="470"/>
      <c r="U1" s="470"/>
      <c r="V1" s="470"/>
      <c r="W1" s="470"/>
      <c r="X1" s="470"/>
      <c r="Y1" s="470"/>
      <c r="Z1" s="470"/>
      <c r="AA1" s="470"/>
      <c r="AB1" s="471"/>
      <c r="AC1" s="472" t="s">
        <v>1</v>
      </c>
      <c r="AD1" s="472"/>
      <c r="AE1" s="472"/>
      <c r="AF1" s="472"/>
      <c r="AG1" s="473"/>
    </row>
    <row r="2" spans="1:33" ht="15" customHeight="1" thickBot="1">
      <c r="A2" s="28" t="s">
        <v>2</v>
      </c>
      <c r="B2" s="25"/>
      <c r="C2" s="25"/>
      <c r="D2" s="25"/>
      <c r="E2" s="25"/>
      <c r="F2" s="25"/>
      <c r="G2" s="25"/>
      <c r="H2" s="25"/>
      <c r="I2" s="29" t="s">
        <v>3</v>
      </c>
      <c r="J2" s="25"/>
      <c r="K2" s="25"/>
      <c r="L2" s="25"/>
      <c r="M2" s="25"/>
      <c r="N2" s="25"/>
      <c r="O2" s="29"/>
      <c r="P2" s="25"/>
      <c r="Q2" s="25"/>
      <c r="R2" s="25"/>
      <c r="S2" s="25"/>
      <c r="T2" s="25"/>
      <c r="U2" s="25"/>
      <c r="V2" s="25"/>
      <c r="W2" s="25"/>
      <c r="X2" s="25"/>
      <c r="Y2" s="25"/>
      <c r="Z2" s="25"/>
      <c r="AA2" s="25"/>
      <c r="AB2" s="101"/>
      <c r="AC2" s="37" t="s">
        <v>4</v>
      </c>
      <c r="AD2" s="261">
        <f>Customer_Name</f>
        <v>0</v>
      </c>
      <c r="AE2" s="261"/>
      <c r="AF2" s="261"/>
      <c r="AG2" s="262"/>
    </row>
    <row r="3" spans="1:33" ht="15" customHeight="1" thickBot="1">
      <c r="A3" s="30"/>
      <c r="B3" s="239">
        <f>Contract!B3</f>
        <v>0</v>
      </c>
      <c r="C3" s="240"/>
      <c r="D3" s="240"/>
      <c r="E3" s="240"/>
      <c r="F3" s="240"/>
      <c r="G3" s="241"/>
      <c r="H3" s="24"/>
      <c r="I3" s="31"/>
      <c r="J3" s="239">
        <f>Contract!J3</f>
        <v>0</v>
      </c>
      <c r="K3" s="240"/>
      <c r="L3" s="240"/>
      <c r="M3" s="241"/>
      <c r="N3" s="24"/>
      <c r="O3" s="26"/>
      <c r="P3" s="26"/>
      <c r="Q3" s="26"/>
      <c r="R3" s="26"/>
      <c r="S3" s="26"/>
      <c r="T3" s="26"/>
      <c r="U3" s="26"/>
      <c r="V3" s="26"/>
      <c r="W3" s="26"/>
      <c r="X3" s="26"/>
      <c r="Y3" s="26"/>
      <c r="Z3" s="26"/>
      <c r="AA3" s="31"/>
      <c r="AB3" s="110" t="str">
        <f>Contract!AB3</f>
        <v>Select Size/Model</v>
      </c>
      <c r="AC3" s="38" t="s">
        <v>5</v>
      </c>
      <c r="AD3" s="263">
        <f>Customer_Phone</f>
        <v>0</v>
      </c>
      <c r="AE3" s="264"/>
      <c r="AF3" s="264"/>
      <c r="AG3" s="265"/>
    </row>
    <row r="4" spans="1:33" ht="15" customHeight="1" thickBot="1">
      <c r="A4" s="27" t="s">
        <v>6</v>
      </c>
      <c r="B4" s="47"/>
      <c r="C4" s="49"/>
      <c r="D4" s="47"/>
      <c r="E4" s="47"/>
      <c r="F4" s="47"/>
      <c r="G4" s="47"/>
      <c r="H4" s="47"/>
      <c r="I4" s="45"/>
      <c r="J4" s="45" t="s">
        <v>7</v>
      </c>
      <c r="K4" s="49"/>
      <c r="L4" s="47"/>
      <c r="M4" s="47"/>
      <c r="N4" s="47"/>
      <c r="O4" s="45"/>
      <c r="P4" s="45"/>
      <c r="Q4" s="47"/>
      <c r="R4" s="47"/>
      <c r="S4" s="47"/>
      <c r="T4" s="47"/>
      <c r="U4" s="47"/>
      <c r="V4" s="45"/>
      <c r="W4" s="45"/>
      <c r="X4" s="45"/>
      <c r="Y4" s="45"/>
      <c r="Z4" s="45"/>
      <c r="AA4" s="45"/>
      <c r="AB4" s="102"/>
      <c r="AC4" s="39" t="s">
        <v>8</v>
      </c>
      <c r="AD4" s="464">
        <f>Customer_Email</f>
        <v>0</v>
      </c>
      <c r="AE4" s="465"/>
      <c r="AF4" s="465"/>
      <c r="AG4" s="466"/>
    </row>
    <row r="5" spans="1:33" ht="15" customHeight="1" thickBot="1">
      <c r="A5" s="51"/>
      <c r="B5" s="108" t="str">
        <f>Contract!B5</f>
        <v/>
      </c>
      <c r="C5" s="24" t="s">
        <v>9</v>
      </c>
      <c r="D5" s="26"/>
      <c r="E5" s="31"/>
      <c r="F5" s="109" t="str">
        <f>Contract!F5</f>
        <v/>
      </c>
      <c r="G5" s="24" t="s">
        <v>10</v>
      </c>
      <c r="H5" s="26"/>
      <c r="I5" s="31"/>
      <c r="J5" s="239" t="str">
        <f>Contract!J5</f>
        <v/>
      </c>
      <c r="K5" s="240"/>
      <c r="L5" s="240"/>
      <c r="M5" s="240"/>
      <c r="N5" s="240"/>
      <c r="O5" s="240"/>
      <c r="P5" s="241"/>
      <c r="Q5" s="43"/>
      <c r="R5" s="43"/>
      <c r="S5" s="43"/>
      <c r="T5" s="43"/>
      <c r="U5" s="43"/>
      <c r="V5" s="26"/>
      <c r="W5" s="26"/>
      <c r="X5" s="26"/>
      <c r="Y5" s="26"/>
      <c r="Z5" s="26"/>
      <c r="AA5" s="26"/>
      <c r="AB5" s="110" t="str">
        <f>Contract!AB5</f>
        <v>Select One</v>
      </c>
      <c r="AC5" s="269" t="s">
        <v>11</v>
      </c>
      <c r="AD5" s="271">
        <f>Customer_Address_1</f>
        <v>0</v>
      </c>
      <c r="AE5" s="272"/>
      <c r="AF5" s="272"/>
      <c r="AG5" s="273"/>
    </row>
    <row r="6" spans="1:33" ht="15" customHeight="1" thickBot="1">
      <c r="A6" s="27" t="s">
        <v>12</v>
      </c>
      <c r="B6" s="45"/>
      <c r="C6" s="45"/>
      <c r="D6" s="45"/>
      <c r="E6" s="45"/>
      <c r="F6" s="45"/>
      <c r="G6" s="45"/>
      <c r="H6" s="45"/>
      <c r="I6" s="45"/>
      <c r="J6" s="45"/>
      <c r="K6" s="45"/>
      <c r="L6" s="45"/>
      <c r="M6" s="45"/>
      <c r="N6" s="45"/>
      <c r="O6" s="45"/>
      <c r="P6" s="45"/>
      <c r="Q6" s="45"/>
      <c r="R6" s="45"/>
      <c r="S6" s="45"/>
      <c r="T6" s="45"/>
      <c r="U6" s="45"/>
      <c r="V6" s="45"/>
      <c r="W6" s="45"/>
      <c r="X6" s="45"/>
      <c r="Y6" s="45"/>
      <c r="Z6" s="45"/>
      <c r="AA6" s="45"/>
      <c r="AB6" s="102"/>
      <c r="AC6" s="270"/>
      <c r="AD6" s="274">
        <f>Customer_Address_2</f>
        <v>0</v>
      </c>
      <c r="AE6" s="275"/>
      <c r="AF6" s="10" t="s">
        <v>13</v>
      </c>
      <c r="AG6" s="73" t="str">
        <f>Contract!AG6</f>
        <v>CA</v>
      </c>
    </row>
    <row r="7" spans="1:33" ht="15" customHeight="1" thickBot="1">
      <c r="A7" s="32"/>
      <c r="B7" s="109" t="str">
        <f>Contract!B7</f>
        <v/>
      </c>
      <c r="C7" s="45" t="s">
        <v>15</v>
      </c>
      <c r="D7" s="45"/>
      <c r="E7" s="45"/>
      <c r="F7" s="46" t="s">
        <v>16</v>
      </c>
      <c r="G7" s="239" t="str">
        <f>Contract!G7</f>
        <v/>
      </c>
      <c r="H7" s="240"/>
      <c r="I7" s="240"/>
      <c r="J7" s="240"/>
      <c r="K7" s="240"/>
      <c r="L7" s="240"/>
      <c r="M7" s="241"/>
      <c r="N7" s="45"/>
      <c r="O7" s="45"/>
      <c r="P7" s="45" t="s">
        <v>6</v>
      </c>
      <c r="Q7" s="45"/>
      <c r="R7" s="45"/>
      <c r="S7" s="45"/>
      <c r="T7" s="45"/>
      <c r="U7" s="45"/>
      <c r="V7" s="45"/>
      <c r="W7" s="45"/>
      <c r="X7" s="45"/>
      <c r="Y7" s="45"/>
      <c r="Z7" s="45"/>
      <c r="AA7" s="45"/>
      <c r="AB7" s="110">
        <f>Contract!AB7</f>
        <v>0</v>
      </c>
      <c r="AC7" s="467" t="s">
        <v>153</v>
      </c>
      <c r="AD7" s="468"/>
      <c r="AE7" s="492"/>
      <c r="AF7" s="495" t="s">
        <v>154</v>
      </c>
      <c r="AG7" s="468"/>
    </row>
    <row r="8" spans="1:33" ht="15" customHeight="1" thickBot="1">
      <c r="A8" s="30"/>
      <c r="B8" s="109" t="str">
        <f>Contract!B8</f>
        <v/>
      </c>
      <c r="C8" s="24" t="s">
        <v>18</v>
      </c>
      <c r="D8" s="26"/>
      <c r="E8" s="43"/>
      <c r="F8" s="33" t="s">
        <v>16</v>
      </c>
      <c r="G8" s="239" t="str">
        <f>Contract!G8</f>
        <v/>
      </c>
      <c r="H8" s="240"/>
      <c r="I8" s="240"/>
      <c r="J8" s="240"/>
      <c r="K8" s="240"/>
      <c r="L8" s="240"/>
      <c r="M8" s="241"/>
      <c r="N8" s="52"/>
      <c r="O8" s="62"/>
      <c r="P8" s="239" t="str">
        <f>Contract!P8</f>
        <v/>
      </c>
      <c r="Q8" s="240"/>
      <c r="R8" s="240"/>
      <c r="S8" s="241"/>
      <c r="T8" s="52"/>
      <c r="U8" s="43"/>
      <c r="V8" s="26"/>
      <c r="W8" s="26"/>
      <c r="X8" s="26"/>
      <c r="Y8" s="26"/>
      <c r="Z8" s="26"/>
      <c r="AA8" s="31"/>
      <c r="AB8" s="110">
        <f>Contract!AB8</f>
        <v>0</v>
      </c>
      <c r="AC8" s="184">
        <f>Contract_Date</f>
        <v>44562</v>
      </c>
      <c r="AD8" s="185"/>
      <c r="AE8" s="493"/>
      <c r="AF8" s="453">
        <f>AC8+14</f>
        <v>44576</v>
      </c>
      <c r="AG8" s="185"/>
    </row>
    <row r="9" spans="1:33" ht="15" customHeight="1" thickBot="1">
      <c r="A9" s="27" t="s">
        <v>20</v>
      </c>
      <c r="B9" s="45"/>
      <c r="C9" s="45"/>
      <c r="D9" s="45"/>
      <c r="E9" s="45"/>
      <c r="F9" s="45"/>
      <c r="G9" s="45"/>
      <c r="H9" s="45"/>
      <c r="I9" s="45"/>
      <c r="J9" s="45"/>
      <c r="K9" s="45"/>
      <c r="L9" s="45"/>
      <c r="M9" s="45"/>
      <c r="N9" s="45"/>
      <c r="O9" s="45"/>
      <c r="P9" s="45"/>
      <c r="Q9" s="45"/>
      <c r="R9" s="45"/>
      <c r="S9" s="45"/>
      <c r="T9" s="45"/>
      <c r="U9" s="45"/>
      <c r="V9" s="45"/>
      <c r="W9" s="45"/>
      <c r="X9" s="45"/>
      <c r="Y9" s="45"/>
      <c r="Z9" s="45"/>
      <c r="AA9" s="45"/>
      <c r="AB9" s="102"/>
      <c r="AC9" s="186"/>
      <c r="AD9" s="187"/>
      <c r="AE9" s="494"/>
      <c r="AF9" s="454"/>
      <c r="AG9" s="187"/>
    </row>
    <row r="10" spans="1:33" ht="15" customHeight="1" thickBot="1">
      <c r="A10" s="27"/>
      <c r="B10" s="45" t="s">
        <v>21</v>
      </c>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102"/>
      <c r="AC10" s="276" t="s">
        <v>161</v>
      </c>
      <c r="AD10" s="276"/>
      <c r="AE10" s="276"/>
      <c r="AF10" s="276"/>
      <c r="AG10" s="277"/>
    </row>
    <row r="11" spans="1:33" ht="15" customHeight="1" thickBot="1">
      <c r="A11" s="32"/>
      <c r="B11" s="109" t="str">
        <f>Contract!B11</f>
        <v/>
      </c>
      <c r="C11" s="45" t="s">
        <v>23</v>
      </c>
      <c r="D11" s="45"/>
      <c r="E11" s="45"/>
      <c r="F11" s="45"/>
      <c r="G11" s="45"/>
      <c r="H11" s="45"/>
      <c r="I11" s="46"/>
      <c r="J11" s="46" t="s">
        <v>24</v>
      </c>
      <c r="K11" s="239">
        <f>Contract!K11</f>
        <v>0</v>
      </c>
      <c r="L11" s="240"/>
      <c r="M11" s="240"/>
      <c r="N11" s="240"/>
      <c r="O11" s="240"/>
      <c r="P11" s="240"/>
      <c r="Q11" s="241"/>
      <c r="R11" s="45"/>
      <c r="S11" s="239">
        <f>Contract!S11</f>
        <v>0</v>
      </c>
      <c r="T11" s="240"/>
      <c r="U11" s="241"/>
      <c r="V11" s="331" t="str">
        <f>Contract!V11</f>
        <v>*Choose a Color</v>
      </c>
      <c r="W11" s="332"/>
      <c r="X11" s="332"/>
      <c r="Y11" s="332"/>
      <c r="Z11" s="332"/>
      <c r="AA11" s="333"/>
      <c r="AB11" s="110" t="str">
        <f>Contract!AB11</f>
        <v>Error</v>
      </c>
      <c r="AC11" s="496">
        <f>Build_Number</f>
        <v>23000</v>
      </c>
      <c r="AD11" s="497"/>
      <c r="AE11" s="497"/>
      <c r="AF11" s="497"/>
      <c r="AG11" s="498"/>
    </row>
    <row r="12" spans="1:33" ht="15" customHeight="1" thickBot="1">
      <c r="A12" s="30"/>
      <c r="B12" s="109" t="str">
        <f>Contract!B12</f>
        <v/>
      </c>
      <c r="C12" s="24" t="s">
        <v>26</v>
      </c>
      <c r="D12" s="26"/>
      <c r="E12" s="26"/>
      <c r="F12" s="26"/>
      <c r="G12" s="26"/>
      <c r="H12" s="26"/>
      <c r="I12" s="26"/>
      <c r="J12" s="26"/>
      <c r="K12" s="249" t="str">
        <f>Contract!K12</f>
        <v/>
      </c>
      <c r="L12" s="249"/>
      <c r="M12" s="249"/>
      <c r="N12" s="249"/>
      <c r="O12" s="249"/>
      <c r="P12" s="249"/>
      <c r="Q12" s="249"/>
      <c r="R12" s="26"/>
      <c r="S12" s="26" t="s">
        <v>6</v>
      </c>
      <c r="T12" s="26"/>
      <c r="U12" s="26"/>
      <c r="V12" s="26"/>
      <c r="W12" s="26"/>
      <c r="X12" s="26"/>
      <c r="Y12" s="26"/>
      <c r="Z12" s="26"/>
      <c r="AA12" s="31"/>
      <c r="AB12" s="110">
        <f>Contract!AB12</f>
        <v>0</v>
      </c>
      <c r="AC12" s="499"/>
      <c r="AD12" s="500"/>
      <c r="AE12" s="500"/>
      <c r="AF12" s="500"/>
      <c r="AG12" s="501"/>
    </row>
    <row r="13" spans="1:33" ht="15" customHeight="1" thickBot="1">
      <c r="A13" s="27" t="s">
        <v>28</v>
      </c>
      <c r="B13" s="45"/>
      <c r="C13" s="45"/>
      <c r="D13" s="45"/>
      <c r="E13" s="63"/>
      <c r="F13" s="63"/>
      <c r="G13" s="63"/>
      <c r="H13" s="63"/>
      <c r="I13" s="63"/>
      <c r="J13" s="63"/>
      <c r="K13" s="63"/>
      <c r="L13" s="63"/>
      <c r="M13" s="63"/>
      <c r="N13" s="63"/>
      <c r="O13" s="63"/>
      <c r="P13" s="63"/>
      <c r="Q13" s="63"/>
      <c r="R13" s="63"/>
      <c r="S13" s="63"/>
      <c r="T13" s="63"/>
      <c r="U13" s="63"/>
      <c r="V13" s="63"/>
      <c r="W13" s="63"/>
      <c r="X13" s="63"/>
      <c r="Y13" s="63"/>
      <c r="Z13" s="63"/>
      <c r="AA13" s="63"/>
      <c r="AB13" s="103"/>
      <c r="AC13" s="502"/>
      <c r="AD13" s="503"/>
      <c r="AE13" s="503"/>
      <c r="AF13" s="503"/>
      <c r="AG13" s="504"/>
    </row>
    <row r="14" spans="1:33" ht="15" customHeight="1">
      <c r="A14" s="27"/>
      <c r="B14" s="329" t="s">
        <v>30</v>
      </c>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330"/>
      <c r="AC14" s="69" t="s">
        <v>31</v>
      </c>
      <c r="AD14" s="220">
        <f>Referral_1</f>
        <v>0</v>
      </c>
      <c r="AE14" s="221"/>
      <c r="AF14" s="224">
        <f>Referall_2</f>
        <v>0</v>
      </c>
      <c r="AG14" s="225"/>
    </row>
    <row r="15" spans="1:33" ht="15" customHeight="1" thickBot="1">
      <c r="A15" s="27"/>
      <c r="B15" s="329"/>
      <c r="C15" s="329"/>
      <c r="D15" s="329"/>
      <c r="E15" s="329"/>
      <c r="F15" s="329"/>
      <c r="G15" s="329"/>
      <c r="H15" s="329"/>
      <c r="I15" s="329"/>
      <c r="J15" s="329"/>
      <c r="K15" s="329"/>
      <c r="L15" s="329"/>
      <c r="M15" s="329"/>
      <c r="N15" s="329"/>
      <c r="O15" s="329"/>
      <c r="P15" s="329"/>
      <c r="Q15" s="329"/>
      <c r="R15" s="329"/>
      <c r="S15" s="329"/>
      <c r="T15" s="329"/>
      <c r="U15" s="329"/>
      <c r="V15" s="329"/>
      <c r="W15" s="329"/>
      <c r="X15" s="329"/>
      <c r="Y15" s="329"/>
      <c r="Z15" s="329"/>
      <c r="AA15" s="329"/>
      <c r="AB15" s="330"/>
      <c r="AC15" s="125" t="s">
        <v>32</v>
      </c>
      <c r="AD15" s="222"/>
      <c r="AE15" s="223"/>
      <c r="AF15" s="226"/>
      <c r="AG15" s="227"/>
    </row>
    <row r="16" spans="1:33" ht="15" customHeight="1" thickBot="1">
      <c r="A16" s="32"/>
      <c r="B16" s="45" t="s">
        <v>33</v>
      </c>
      <c r="C16" s="45"/>
      <c r="D16" s="45"/>
      <c r="E16" s="317" t="str">
        <f>Contract!E16</f>
        <v>17"</v>
      </c>
      <c r="F16" s="319"/>
      <c r="G16" s="327" t="str">
        <f>Contract!G16</f>
        <v/>
      </c>
      <c r="H16" s="328"/>
      <c r="I16" s="328"/>
      <c r="J16" s="328"/>
      <c r="K16" s="328"/>
      <c r="L16" s="328"/>
      <c r="M16" s="328"/>
      <c r="N16" s="45"/>
      <c r="O16" s="109" t="str">
        <f>Contract!O16</f>
        <v/>
      </c>
      <c r="P16" s="45" t="str">
        <f>Contract!P16</f>
        <v>Bunk Beds Require 10' Trailer</v>
      </c>
      <c r="Q16" s="45"/>
      <c r="R16" s="45"/>
      <c r="S16" s="45"/>
      <c r="T16" s="45"/>
      <c r="U16" s="45"/>
      <c r="V16" s="45"/>
      <c r="W16" s="45"/>
      <c r="X16" s="45"/>
      <c r="Y16" s="45"/>
      <c r="Z16" s="45"/>
      <c r="AA16" s="45"/>
      <c r="AB16" s="110" t="str">
        <f>Contract!AB16</f>
        <v>Standard</v>
      </c>
      <c r="AC16" s="474" t="s">
        <v>35</v>
      </c>
      <c r="AD16" s="474"/>
      <c r="AE16" s="474"/>
      <c r="AF16" s="474"/>
      <c r="AG16" s="475"/>
    </row>
    <row r="17" spans="1:33" ht="15" customHeight="1" thickBot="1">
      <c r="A17" s="32"/>
      <c r="B17" s="64" t="s">
        <v>36</v>
      </c>
      <c r="C17" s="53"/>
      <c r="D17" s="53"/>
      <c r="E17" s="53"/>
      <c r="F17" s="53"/>
      <c r="G17" s="242" t="str">
        <f>Contract!G17</f>
        <v>Open</v>
      </c>
      <c r="H17" s="243"/>
      <c r="I17" s="243"/>
      <c r="J17" s="243"/>
      <c r="K17" s="243"/>
      <c r="L17" s="243"/>
      <c r="M17" s="244"/>
      <c r="N17" s="45" t="str">
        <f>Contract!N17</f>
        <v/>
      </c>
      <c r="O17" s="45"/>
      <c r="P17" s="45"/>
      <c r="Q17" s="45"/>
      <c r="R17" s="45"/>
      <c r="S17" s="45"/>
      <c r="T17" s="45"/>
      <c r="U17" s="45"/>
      <c r="V17" s="45"/>
      <c r="W17" s="45"/>
      <c r="X17" s="45"/>
      <c r="Y17" s="45"/>
      <c r="Z17" s="45"/>
      <c r="AA17" s="45"/>
      <c r="AB17" s="110" t="str">
        <f>Contract!AB17</f>
        <v>Standard</v>
      </c>
      <c r="AC17" s="476"/>
      <c r="AD17" s="476"/>
      <c r="AE17" s="476"/>
      <c r="AF17" s="476"/>
      <c r="AG17" s="477"/>
    </row>
    <row r="18" spans="1:33" ht="15" customHeight="1" thickBot="1">
      <c r="A18" s="32"/>
      <c r="B18" s="109" t="str">
        <f>Contract!B18</f>
        <v/>
      </c>
      <c r="C18" s="45" t="s">
        <v>38</v>
      </c>
      <c r="D18" s="45"/>
      <c r="E18" s="45"/>
      <c r="F18" s="45"/>
      <c r="G18" s="46" t="s">
        <v>16</v>
      </c>
      <c r="H18" s="239" t="str">
        <f>Contract!H18</f>
        <v/>
      </c>
      <c r="I18" s="240"/>
      <c r="J18" s="240"/>
      <c r="K18" s="240"/>
      <c r="L18" s="240"/>
      <c r="M18" s="241"/>
      <c r="N18" s="45"/>
      <c r="O18" s="45"/>
      <c r="P18" s="45"/>
      <c r="Q18" s="45"/>
      <c r="R18" s="45"/>
      <c r="S18" s="45"/>
      <c r="T18" s="45"/>
      <c r="U18" s="45"/>
      <c r="V18" s="45"/>
      <c r="W18" s="45"/>
      <c r="X18" s="45"/>
      <c r="Y18" s="45"/>
      <c r="Z18" s="45"/>
      <c r="AA18" s="45"/>
      <c r="AB18" s="110">
        <f>Contract!AB18</f>
        <v>0</v>
      </c>
      <c r="AC18" s="280" t="str">
        <f>Contract!AC18</f>
        <v/>
      </c>
      <c r="AD18" s="280"/>
      <c r="AE18" s="280"/>
      <c r="AF18" s="281"/>
      <c r="AG18" s="5">
        <f>Contract!AG18</f>
        <v>0</v>
      </c>
    </row>
    <row r="19" spans="1:33" ht="15" customHeight="1" thickBot="1">
      <c r="A19" s="32"/>
      <c r="B19" s="109" t="str">
        <f>Contract!B19</f>
        <v/>
      </c>
      <c r="C19" s="45" t="s">
        <v>39</v>
      </c>
      <c r="D19" s="45"/>
      <c r="E19" s="45"/>
      <c r="F19" s="45"/>
      <c r="G19" s="46" t="s">
        <v>16</v>
      </c>
      <c r="H19" s="239" t="str">
        <f>Contract!H19</f>
        <v/>
      </c>
      <c r="I19" s="240"/>
      <c r="J19" s="240"/>
      <c r="K19" s="240"/>
      <c r="L19" s="240"/>
      <c r="M19" s="241"/>
      <c r="N19" s="45" t="str">
        <f>Contract!N19</f>
        <v/>
      </c>
      <c r="O19" s="45"/>
      <c r="P19" s="45"/>
      <c r="Q19" s="45"/>
      <c r="R19" s="45"/>
      <c r="S19" s="45"/>
      <c r="T19" s="45"/>
      <c r="U19" s="45"/>
      <c r="V19" s="45"/>
      <c r="W19" s="45"/>
      <c r="X19" s="45"/>
      <c r="Y19" s="45"/>
      <c r="Z19" s="45"/>
      <c r="AA19" s="45"/>
      <c r="AB19" s="110">
        <f>Contract!AB19</f>
        <v>0</v>
      </c>
      <c r="AC19" s="192" t="str">
        <f>Contract!AC19</f>
        <v/>
      </c>
      <c r="AD19" s="192"/>
      <c r="AE19" s="192"/>
      <c r="AF19" s="193"/>
      <c r="AG19" s="6">
        <f>Contract!AG19</f>
        <v>0</v>
      </c>
    </row>
    <row r="20" spans="1:33" ht="15" customHeight="1" thickBot="1">
      <c r="A20" s="32"/>
      <c r="B20" s="109" t="str">
        <f>Contract!B20</f>
        <v/>
      </c>
      <c r="C20" s="331" t="s">
        <v>40</v>
      </c>
      <c r="D20" s="332"/>
      <c r="E20" s="332"/>
      <c r="F20" s="332"/>
      <c r="G20" s="332"/>
      <c r="H20" s="45"/>
      <c r="I20" s="46" t="s">
        <v>41</v>
      </c>
      <c r="J20" s="239" t="str">
        <f>Contract!J20</f>
        <v/>
      </c>
      <c r="K20" s="240"/>
      <c r="L20" s="240"/>
      <c r="M20" s="241"/>
      <c r="N20" s="45"/>
      <c r="O20" s="45"/>
      <c r="P20" s="45"/>
      <c r="Q20" s="45"/>
      <c r="R20" s="45"/>
      <c r="S20" s="45"/>
      <c r="T20" s="45"/>
      <c r="U20" s="45"/>
      <c r="V20" s="45"/>
      <c r="W20" s="45"/>
      <c r="X20" s="45"/>
      <c r="Y20" s="45"/>
      <c r="Z20" s="45"/>
      <c r="AA20" s="45"/>
      <c r="AB20" s="110">
        <f>Contract!AB20</f>
        <v>0</v>
      </c>
      <c r="AC20" s="192" t="str">
        <f>Contract!AC20</f>
        <v/>
      </c>
      <c r="AD20" s="192"/>
      <c r="AE20" s="192"/>
      <c r="AF20" s="193"/>
      <c r="AG20" s="6">
        <f>Contract!AG20</f>
        <v>0</v>
      </c>
    </row>
    <row r="21" spans="1:33" ht="15" customHeight="1" thickBot="1">
      <c r="A21" s="32"/>
      <c r="B21" s="109" t="str">
        <f>Contract!B21</f>
        <v/>
      </c>
      <c r="C21" s="45" t="s">
        <v>42</v>
      </c>
      <c r="D21" s="45"/>
      <c r="E21" s="45"/>
      <c r="F21" s="45"/>
      <c r="G21" s="45"/>
      <c r="H21" s="45"/>
      <c r="I21" s="46" t="s">
        <v>41</v>
      </c>
      <c r="J21" s="239" t="str">
        <f>Contract!J21</f>
        <v/>
      </c>
      <c r="K21" s="240"/>
      <c r="L21" s="240"/>
      <c r="M21" s="241"/>
      <c r="N21" s="45"/>
      <c r="O21" s="45"/>
      <c r="P21" s="45"/>
      <c r="Q21" s="45"/>
      <c r="R21" s="45"/>
      <c r="S21" s="45"/>
      <c r="T21" s="45"/>
      <c r="U21" s="45"/>
      <c r="V21" s="45"/>
      <c r="W21" s="45"/>
      <c r="X21" s="45"/>
      <c r="Y21" s="45"/>
      <c r="Z21" s="45"/>
      <c r="AA21" s="45"/>
      <c r="AB21" s="110">
        <f>Contract!AB21</f>
        <v>0</v>
      </c>
      <c r="AC21" s="192" t="str">
        <f>Contract!AC21</f>
        <v/>
      </c>
      <c r="AD21" s="192"/>
      <c r="AE21" s="192"/>
      <c r="AF21" s="193"/>
      <c r="AG21" s="6">
        <f>Contract!AG21</f>
        <v>0</v>
      </c>
    </row>
    <row r="22" spans="1:33" ht="15" customHeight="1" thickBot="1">
      <c r="A22" s="32"/>
      <c r="B22" s="109" t="str">
        <f>Contract!B22</f>
        <v/>
      </c>
      <c r="C22" s="45" t="s">
        <v>43</v>
      </c>
      <c r="D22" s="45"/>
      <c r="E22" s="45"/>
      <c r="F22" s="45"/>
      <c r="G22" s="45"/>
      <c r="H22" s="45"/>
      <c r="I22" s="45"/>
      <c r="J22" s="45"/>
      <c r="K22" s="45"/>
      <c r="L22" s="45"/>
      <c r="M22" s="45"/>
      <c r="N22" s="45"/>
      <c r="O22" s="45"/>
      <c r="P22" s="45"/>
      <c r="Q22" s="45"/>
      <c r="S22" s="45"/>
      <c r="T22" s="45"/>
      <c r="U22" s="45"/>
      <c r="V22" s="45"/>
      <c r="W22" s="45"/>
      <c r="X22" s="45"/>
      <c r="Y22" s="45"/>
      <c r="Z22" s="45"/>
      <c r="AA22" s="45"/>
      <c r="AB22" s="110">
        <f>Contract!AB22</f>
        <v>0</v>
      </c>
      <c r="AC22" s="192" t="str">
        <f>Contract!AC22</f>
        <v/>
      </c>
      <c r="AD22" s="192"/>
      <c r="AE22" s="192"/>
      <c r="AF22" s="193"/>
      <c r="AG22" s="6">
        <f>Contract!AG22</f>
        <v>0</v>
      </c>
    </row>
    <row r="23" spans="1:33" ht="15" customHeight="1" thickBot="1">
      <c r="A23" s="32"/>
      <c r="B23" s="109" t="str">
        <f>Contract!B23</f>
        <v/>
      </c>
      <c r="C23" s="45" t="s">
        <v>44</v>
      </c>
      <c r="D23" s="45"/>
      <c r="E23" s="45"/>
      <c r="F23" s="45"/>
      <c r="G23" s="45"/>
      <c r="H23" s="45"/>
      <c r="I23" s="46" t="s">
        <v>16</v>
      </c>
      <c r="J23" s="239" t="str">
        <f>Contract!J23</f>
        <v/>
      </c>
      <c r="K23" s="240"/>
      <c r="L23" s="240"/>
      <c r="M23" s="241"/>
      <c r="N23" s="45" t="str">
        <f>Contract!N23</f>
        <v/>
      </c>
      <c r="O23" s="45"/>
      <c r="P23" s="45"/>
      <c r="Q23" s="45"/>
      <c r="R23" s="45"/>
      <c r="S23" s="45"/>
      <c r="U23" s="45"/>
      <c r="V23" s="45"/>
      <c r="W23" s="45"/>
      <c r="X23" s="45"/>
      <c r="Y23" s="45"/>
      <c r="Z23" s="45"/>
      <c r="AA23" s="45"/>
      <c r="AB23" s="110">
        <f>Contract!AB23</f>
        <v>0</v>
      </c>
      <c r="AC23" s="192" t="str">
        <f>Contract!AC23</f>
        <v/>
      </c>
      <c r="AD23" s="192"/>
      <c r="AE23" s="192"/>
      <c r="AF23" s="193"/>
      <c r="AG23" s="6">
        <f>Contract!AG23</f>
        <v>0</v>
      </c>
    </row>
    <row r="24" spans="1:33" ht="15" customHeight="1" thickBot="1">
      <c r="A24" s="30"/>
      <c r="B24" s="109" t="str">
        <f>Contract!B24</f>
        <v/>
      </c>
      <c r="C24" s="24" t="str">
        <f>Contract!C24</f>
        <v>EOR Exclusive Option</v>
      </c>
      <c r="D24" s="26"/>
      <c r="E24" s="26"/>
      <c r="F24" s="26"/>
      <c r="G24" s="26"/>
      <c r="H24" s="26"/>
      <c r="I24" s="26"/>
      <c r="J24" s="26"/>
      <c r="K24" s="26"/>
      <c r="L24" s="26"/>
      <c r="M24" s="26"/>
      <c r="N24" s="26" t="str">
        <f>Contract!N24</f>
        <v/>
      </c>
      <c r="O24" s="26"/>
      <c r="P24" s="26"/>
      <c r="Q24" s="26"/>
      <c r="R24" s="26"/>
      <c r="S24" s="26"/>
      <c r="T24" s="26"/>
      <c r="U24" s="26"/>
      <c r="V24" s="26"/>
      <c r="W24" s="26"/>
      <c r="X24" s="26"/>
      <c r="Y24" s="26"/>
      <c r="Z24" s="26"/>
      <c r="AA24" s="31"/>
      <c r="AB24" s="110" t="str">
        <f>Contract!AB24</f>
        <v>N/A</v>
      </c>
      <c r="AC24" s="484" t="s">
        <v>45</v>
      </c>
      <c r="AD24" s="484"/>
      <c r="AE24" s="484"/>
      <c r="AF24" s="484"/>
      <c r="AG24" s="485"/>
    </row>
    <row r="25" spans="1:33" ht="15" customHeight="1" thickBot="1">
      <c r="A25" s="27" t="s">
        <v>46</v>
      </c>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102"/>
      <c r="AC25" s="486"/>
      <c r="AD25" s="486"/>
      <c r="AE25" s="486"/>
      <c r="AF25" s="486"/>
      <c r="AG25" s="487"/>
    </row>
    <row r="26" spans="1:33" ht="15" customHeight="1" thickBot="1">
      <c r="A26" s="32"/>
      <c r="B26" s="109" t="str">
        <f>Contract!B26</f>
        <v/>
      </c>
      <c r="C26" s="45" t="s">
        <v>47</v>
      </c>
      <c r="D26" s="45"/>
      <c r="E26" s="45"/>
      <c r="F26" s="45"/>
      <c r="G26" s="45"/>
      <c r="H26" s="45"/>
      <c r="I26" s="46" t="s">
        <v>48</v>
      </c>
      <c r="J26" s="320" t="str">
        <f>Contract!J26</f>
        <v/>
      </c>
      <c r="K26" s="321"/>
      <c r="L26" s="321"/>
      <c r="M26" s="321"/>
      <c r="N26" s="321"/>
      <c r="O26" s="322"/>
      <c r="P26" s="45"/>
      <c r="Q26" s="45"/>
      <c r="R26" s="45"/>
      <c r="S26" s="45"/>
      <c r="T26" s="45"/>
      <c r="U26" s="45"/>
      <c r="V26" s="45"/>
      <c r="W26" s="45"/>
      <c r="X26" s="45"/>
      <c r="Y26" s="45"/>
      <c r="Z26" s="45"/>
      <c r="AA26" s="45"/>
      <c r="AB26" s="110">
        <f>Contract!AB26</f>
        <v>0</v>
      </c>
      <c r="AC26" s="200" t="str">
        <f>AB3</f>
        <v>Select Size/Model</v>
      </c>
      <c r="AD26" s="200"/>
      <c r="AE26" s="200"/>
      <c r="AF26" s="200"/>
      <c r="AG26" s="201"/>
    </row>
    <row r="27" spans="1:33" ht="15" customHeight="1" thickBot="1">
      <c r="A27" s="32"/>
      <c r="B27" s="109" t="str">
        <f>Contract!B27</f>
        <v/>
      </c>
      <c r="C27" s="45" t="s">
        <v>49</v>
      </c>
      <c r="D27" s="45"/>
      <c r="E27" s="45"/>
      <c r="F27" s="45"/>
      <c r="G27" s="45"/>
      <c r="H27" s="45"/>
      <c r="I27" s="45"/>
      <c r="J27" s="46" t="s">
        <v>16</v>
      </c>
      <c r="K27" s="320" t="str">
        <f>Contract!K27</f>
        <v/>
      </c>
      <c r="L27" s="323"/>
      <c r="M27" s="323"/>
      <c r="N27" s="323"/>
      <c r="O27" s="323"/>
      <c r="P27" s="323"/>
      <c r="Q27" s="324"/>
      <c r="R27" s="45"/>
      <c r="S27" s="45"/>
      <c r="T27" s="45"/>
      <c r="U27" s="45"/>
      <c r="V27" s="45"/>
      <c r="W27" s="45"/>
      <c r="X27" s="45"/>
      <c r="Y27" s="45"/>
      <c r="Z27" s="45"/>
      <c r="AA27" s="45"/>
      <c r="AB27" s="110">
        <f>Contract!AB27</f>
        <v>0</v>
      </c>
      <c r="AC27" s="202"/>
      <c r="AD27" s="202"/>
      <c r="AE27" s="202"/>
      <c r="AF27" s="202"/>
      <c r="AG27" s="203"/>
    </row>
    <row r="28" spans="1:33" ht="15" customHeight="1" thickBot="1">
      <c r="A28" s="32"/>
      <c r="B28" s="109" t="str">
        <f>Contract!B28</f>
        <v/>
      </c>
      <c r="C28" s="45" t="s">
        <v>50</v>
      </c>
      <c r="D28" s="45"/>
      <c r="E28" s="45"/>
      <c r="F28" s="45"/>
      <c r="G28" s="45"/>
      <c r="H28" s="45"/>
      <c r="I28" s="45"/>
      <c r="J28" s="46" t="s">
        <v>16</v>
      </c>
      <c r="K28" s="239" t="str">
        <f>Contract!K28</f>
        <v/>
      </c>
      <c r="L28" s="240"/>
      <c r="M28" s="240"/>
      <c r="N28" s="240"/>
      <c r="O28" s="240"/>
      <c r="P28" s="240"/>
      <c r="Q28" s="241"/>
      <c r="R28" s="45" t="str">
        <f>Contract!R28</f>
        <v/>
      </c>
      <c r="S28" s="45"/>
      <c r="T28" s="45"/>
      <c r="U28" s="45"/>
      <c r="V28" s="45"/>
      <c r="W28" s="45"/>
      <c r="X28" s="45"/>
      <c r="Y28" s="45"/>
      <c r="Z28" s="45"/>
      <c r="AA28" s="45"/>
      <c r="AB28" s="110">
        <f>Contract!AB28</f>
        <v>0</v>
      </c>
      <c r="AC28" s="204"/>
      <c r="AD28" s="204"/>
      <c r="AE28" s="204"/>
      <c r="AF28" s="204"/>
      <c r="AG28" s="205"/>
    </row>
    <row r="29" spans="1:33" ht="15" customHeight="1" thickBot="1">
      <c r="A29" s="32"/>
      <c r="B29" s="109" t="str">
        <f>Contract!B29</f>
        <v/>
      </c>
      <c r="C29" s="45" t="s">
        <v>51</v>
      </c>
      <c r="D29" s="45"/>
      <c r="E29" s="45"/>
      <c r="G29" s="45"/>
      <c r="H29" s="45"/>
      <c r="I29" s="45"/>
      <c r="J29" s="46" t="s">
        <v>16</v>
      </c>
      <c r="K29" s="239" t="str">
        <f>Contract!K29</f>
        <v/>
      </c>
      <c r="L29" s="240"/>
      <c r="M29" s="240"/>
      <c r="N29" s="240"/>
      <c r="O29" s="240"/>
      <c r="P29" s="240"/>
      <c r="Q29" s="241"/>
      <c r="R29" s="45" t="str">
        <f>Contract!R29</f>
        <v/>
      </c>
      <c r="S29" s="45"/>
      <c r="T29" s="45"/>
      <c r="U29" s="45"/>
      <c r="V29" s="45"/>
      <c r="W29" s="45"/>
      <c r="X29" s="45"/>
      <c r="Y29" s="45"/>
      <c r="Z29" s="45"/>
      <c r="AA29" s="45"/>
      <c r="AB29" s="110">
        <f>Contract!AB29</f>
        <v>0</v>
      </c>
      <c r="AC29" s="478" t="s">
        <v>52</v>
      </c>
      <c r="AD29" s="478"/>
      <c r="AE29" s="478"/>
      <c r="AF29" s="478"/>
      <c r="AG29" s="479"/>
    </row>
    <row r="30" spans="1:33" ht="15" customHeight="1" thickBot="1">
      <c r="A30" s="32"/>
      <c r="B30" s="109" t="str">
        <f>Contract!B30</f>
        <v/>
      </c>
      <c r="C30" s="45" t="s">
        <v>53</v>
      </c>
      <c r="D30" s="45"/>
      <c r="E30" s="45"/>
      <c r="F30" s="45"/>
      <c r="G30" s="45"/>
      <c r="H30" s="45"/>
      <c r="I30" s="45"/>
      <c r="J30" s="46" t="s">
        <v>16</v>
      </c>
      <c r="K30" s="239" t="str">
        <f>Contract!K30</f>
        <v/>
      </c>
      <c r="L30" s="240"/>
      <c r="M30" s="240"/>
      <c r="N30" s="240"/>
      <c r="O30" s="240"/>
      <c r="P30" s="240"/>
      <c r="Q30" s="241"/>
      <c r="R30" s="45" t="str">
        <f>Contract!R30</f>
        <v/>
      </c>
      <c r="S30" s="45"/>
      <c r="T30" s="45"/>
      <c r="U30" s="45"/>
      <c r="V30" s="45"/>
      <c r="W30" s="45"/>
      <c r="X30" s="45"/>
      <c r="Y30" s="45"/>
      <c r="Z30" s="45"/>
      <c r="AA30" s="45"/>
      <c r="AB30" s="110">
        <f>Contract!AB30</f>
        <v>0</v>
      </c>
      <c r="AC30" s="480"/>
      <c r="AD30" s="480"/>
      <c r="AE30" s="480"/>
      <c r="AF30" s="480"/>
      <c r="AG30" s="481"/>
    </row>
    <row r="31" spans="1:33" ht="15" customHeight="1" thickBot="1">
      <c r="A31" s="30"/>
      <c r="B31" s="109" t="str">
        <f>Contract!B31</f>
        <v/>
      </c>
      <c r="C31" s="24" t="s">
        <v>54</v>
      </c>
      <c r="D31" s="26"/>
      <c r="E31" s="26"/>
      <c r="F31" s="26"/>
      <c r="G31" s="26"/>
      <c r="H31" s="26"/>
      <c r="I31" s="26"/>
      <c r="J31" s="33" t="s">
        <v>16</v>
      </c>
      <c r="K31" s="239" t="str">
        <f>Contract!K31</f>
        <v/>
      </c>
      <c r="L31" s="240"/>
      <c r="M31" s="240"/>
      <c r="N31" s="240"/>
      <c r="O31" s="240"/>
      <c r="P31" s="240"/>
      <c r="Q31" s="241"/>
      <c r="R31" s="45" t="str">
        <f>Contract!R31</f>
        <v/>
      </c>
      <c r="S31" s="26"/>
      <c r="T31" s="26"/>
      <c r="U31" s="26"/>
      <c r="V31" s="26"/>
      <c r="W31" s="26"/>
      <c r="X31" s="26"/>
      <c r="Y31" s="26"/>
      <c r="Z31" s="26"/>
      <c r="AA31" s="31"/>
      <c r="AB31" s="110">
        <f>Contract!AB31</f>
        <v>0</v>
      </c>
      <c r="AC31" s="200">
        <f>SUM(AB5,AB7:AB8,AB11:AB12,AB16:AB24,AB26:AB31,AB35:AB41,AB43:AB44,AB46:AB47,AB50:AB53,AB57:AB65,AB68:AB72,AB74:AB76,AB78:AB80,AB82:AB83,AB85:AB90,AB95,AB98,AB100,)</f>
        <v>0</v>
      </c>
      <c r="AD31" s="210"/>
      <c r="AE31" s="210"/>
      <c r="AF31" s="210"/>
      <c r="AG31" s="211"/>
    </row>
    <row r="32" spans="1:33" ht="15" customHeight="1">
      <c r="A32" s="27" t="s">
        <v>55</v>
      </c>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102"/>
      <c r="AC32" s="212"/>
      <c r="AD32" s="212"/>
      <c r="AE32" s="212"/>
      <c r="AF32" s="212"/>
      <c r="AG32" s="213"/>
    </row>
    <row r="33" spans="1:33" ht="15" customHeight="1" thickBot="1">
      <c r="A33" s="27"/>
      <c r="B33" s="329" t="str">
        <f>IF(Quote_Trailer_Model=Highway_Deluxe,HD_Susp_Desc,IF(Quote_Trailer_Model=MidRange_Deluxe,MR_Susp_Desc,IF(Quote_Trailer_Model=MidRange_XL,XL_Susp_Desc,IF(Quote_Trailer_Model=Extreme_OffRoad,EOR_Susp_Desc,"Choose a Model for suspension description"))))</f>
        <v>Choose a Model for suspension description</v>
      </c>
      <c r="C33" s="329"/>
      <c r="D33" s="329"/>
      <c r="E33" s="329"/>
      <c r="F33" s="329"/>
      <c r="G33" s="329"/>
      <c r="H33" s="329"/>
      <c r="I33" s="329"/>
      <c r="J33" s="329"/>
      <c r="K33" s="329"/>
      <c r="L33" s="329"/>
      <c r="M33" s="329"/>
      <c r="N33" s="329"/>
      <c r="O33" s="329"/>
      <c r="P33" s="329"/>
      <c r="Q33" s="329"/>
      <c r="R33" s="329"/>
      <c r="S33" s="329"/>
      <c r="T33" s="329"/>
      <c r="U33" s="329"/>
      <c r="V33" s="329"/>
      <c r="W33" s="329"/>
      <c r="X33" s="329"/>
      <c r="Y33" s="329"/>
      <c r="Z33" s="329"/>
      <c r="AA33" s="329"/>
      <c r="AB33" s="330"/>
      <c r="AC33" s="214"/>
      <c r="AD33" s="214"/>
      <c r="AE33" s="214"/>
      <c r="AF33" s="214"/>
      <c r="AG33" s="215"/>
    </row>
    <row r="34" spans="1:33" ht="15" customHeight="1" thickBot="1">
      <c r="A34" s="27"/>
      <c r="B34" s="329"/>
      <c r="C34" s="329"/>
      <c r="D34" s="329"/>
      <c r="E34" s="329"/>
      <c r="F34" s="329"/>
      <c r="G34" s="329"/>
      <c r="H34" s="329"/>
      <c r="I34" s="329"/>
      <c r="J34" s="329"/>
      <c r="K34" s="329"/>
      <c r="L34" s="329"/>
      <c r="M34" s="329"/>
      <c r="N34" s="329"/>
      <c r="O34" s="329"/>
      <c r="P34" s="329"/>
      <c r="Q34" s="329"/>
      <c r="R34" s="329"/>
      <c r="S34" s="329"/>
      <c r="T34" s="329"/>
      <c r="U34" s="329"/>
      <c r="V34" s="329"/>
      <c r="W34" s="329"/>
      <c r="X34" s="329"/>
      <c r="Y34" s="329"/>
      <c r="Z34" s="329"/>
      <c r="AA34" s="329"/>
      <c r="AB34" s="330"/>
      <c r="AC34" s="478" t="s">
        <v>56</v>
      </c>
      <c r="AD34" s="478"/>
      <c r="AE34" s="478"/>
      <c r="AF34" s="478"/>
      <c r="AG34" s="479"/>
    </row>
    <row r="35" spans="1:33" ht="15" customHeight="1" thickBot="1">
      <c r="A35" s="32"/>
      <c r="B35" s="109" t="str">
        <f>Contract!B35</f>
        <v/>
      </c>
      <c r="C35" s="45" t="s">
        <v>57</v>
      </c>
      <c r="D35" s="45"/>
      <c r="E35" s="45"/>
      <c r="F35" s="45"/>
      <c r="G35" s="45"/>
      <c r="H35" s="45"/>
      <c r="I35" s="46" t="s">
        <v>58</v>
      </c>
      <c r="J35" s="239" t="str">
        <f>Contract!J35</f>
        <v/>
      </c>
      <c r="K35" s="240"/>
      <c r="L35" s="240"/>
      <c r="M35" s="240"/>
      <c r="N35" s="247"/>
      <c r="O35" s="247"/>
      <c r="P35" s="247"/>
      <c r="Q35" s="248"/>
      <c r="R35" s="45" t="str">
        <f>Contract!R35</f>
        <v/>
      </c>
      <c r="S35" s="45"/>
      <c r="T35" s="45"/>
      <c r="U35" s="45"/>
      <c r="V35" s="45"/>
      <c r="W35" s="45"/>
      <c r="X35" s="45"/>
      <c r="Y35" s="45"/>
      <c r="Z35" s="45"/>
      <c r="AA35" s="45"/>
      <c r="AB35" s="110">
        <f>Contract!AB35</f>
        <v>0</v>
      </c>
      <c r="AC35" s="482"/>
      <c r="AD35" s="482"/>
      <c r="AE35" s="482"/>
      <c r="AF35" s="482"/>
      <c r="AG35" s="483"/>
    </row>
    <row r="36" spans="1:33" ht="15" customHeight="1" thickBot="1">
      <c r="A36" s="32"/>
      <c r="B36" s="45" t="s">
        <v>59</v>
      </c>
      <c r="C36" s="45"/>
      <c r="D36" s="45"/>
      <c r="E36" s="239">
        <f>Contract!E36</f>
        <v>0</v>
      </c>
      <c r="F36" s="240"/>
      <c r="G36" s="240"/>
      <c r="H36" s="240"/>
      <c r="I36" s="241"/>
      <c r="J36" s="45"/>
      <c r="K36" s="64" t="s">
        <v>60</v>
      </c>
      <c r="L36" s="45"/>
      <c r="M36" s="45"/>
      <c r="N36" s="239">
        <f>Contract!N36</f>
        <v>0</v>
      </c>
      <c r="O36" s="240"/>
      <c r="P36" s="240"/>
      <c r="Q36" s="240"/>
      <c r="R36" s="240"/>
      <c r="S36" s="241"/>
      <c r="T36" s="45" t="str">
        <f>Contract!T36</f>
        <v>*Required</v>
      </c>
      <c r="U36" s="45"/>
      <c r="V36" s="45"/>
      <c r="W36" s="45"/>
      <c r="X36" s="45"/>
      <c r="Y36" s="45"/>
      <c r="Z36" s="45"/>
      <c r="AA36" s="45"/>
      <c r="AB36" s="110" t="str">
        <f>Contract!AB36</f>
        <v>Error</v>
      </c>
      <c r="AC36" s="294">
        <f>SUM(AG18:AG23)</f>
        <v>0</v>
      </c>
      <c r="AD36" s="294"/>
      <c r="AE36" s="294"/>
      <c r="AF36" s="294"/>
      <c r="AG36" s="295"/>
    </row>
    <row r="37" spans="1:33" ht="15" customHeight="1" thickBot="1">
      <c r="A37" s="32"/>
      <c r="B37" s="109" t="str">
        <f>Contract!B37</f>
        <v/>
      </c>
      <c r="C37" s="45" t="s">
        <v>61</v>
      </c>
      <c r="D37" s="45"/>
      <c r="E37" s="45"/>
      <c r="F37" s="45"/>
      <c r="G37" s="45"/>
      <c r="H37" s="45"/>
      <c r="I37" s="45" t="str">
        <f>Contract!I37</f>
        <v>*Brakes required based on your State's Regulations</v>
      </c>
      <c r="J37" s="45"/>
      <c r="K37" s="45"/>
      <c r="L37" s="45"/>
      <c r="M37" s="45"/>
      <c r="N37" s="45"/>
      <c r="O37" s="45"/>
      <c r="P37" s="45"/>
      <c r="Q37" s="45"/>
      <c r="R37" s="45"/>
      <c r="S37" s="45"/>
      <c r="T37" s="45"/>
      <c r="U37" s="45"/>
      <c r="V37" s="45"/>
      <c r="W37" s="45"/>
      <c r="X37" s="45"/>
      <c r="Y37" s="45"/>
      <c r="Z37" s="45"/>
      <c r="AA37" s="45"/>
      <c r="AB37" s="110">
        <f>Contract!AB37</f>
        <v>0</v>
      </c>
      <c r="AC37" s="296"/>
      <c r="AD37" s="296"/>
      <c r="AE37" s="296"/>
      <c r="AF37" s="296"/>
      <c r="AG37" s="297"/>
    </row>
    <row r="38" spans="1:33" ht="15" customHeight="1" thickBot="1">
      <c r="A38" s="32"/>
      <c r="B38" s="109" t="str">
        <f>Contract!B38</f>
        <v/>
      </c>
      <c r="C38" s="45" t="s">
        <v>62</v>
      </c>
      <c r="D38" s="45"/>
      <c r="E38" s="45"/>
      <c r="F38" s="45"/>
      <c r="G38" s="45"/>
      <c r="H38" s="45"/>
      <c r="I38" s="45"/>
      <c r="J38" s="45"/>
      <c r="K38" s="45"/>
      <c r="L38" s="45" t="str">
        <f>Contract!L38</f>
        <v/>
      </c>
      <c r="M38" s="45"/>
      <c r="N38" s="45"/>
      <c r="O38" s="45"/>
      <c r="P38" s="45"/>
      <c r="Q38" s="45"/>
      <c r="R38" s="45"/>
      <c r="S38" s="45"/>
      <c r="T38" s="45"/>
      <c r="U38" s="45"/>
      <c r="V38" s="45"/>
      <c r="W38" s="45"/>
      <c r="X38" s="45"/>
      <c r="Y38" s="45"/>
      <c r="Z38" s="45"/>
      <c r="AA38" s="45"/>
      <c r="AB38" s="110">
        <f>Contract!AB38</f>
        <v>0</v>
      </c>
      <c r="AC38" s="298"/>
      <c r="AD38" s="298"/>
      <c r="AE38" s="298"/>
      <c r="AF38" s="298"/>
      <c r="AG38" s="299"/>
    </row>
    <row r="39" spans="1:33" ht="15" customHeight="1" thickBot="1">
      <c r="A39" s="32"/>
      <c r="B39" s="109" t="str">
        <f>Contract!B39</f>
        <v/>
      </c>
      <c r="C39" s="45" t="str">
        <f>Contract!C39</f>
        <v>EOR Exclusive Option</v>
      </c>
      <c r="D39" s="45"/>
      <c r="E39" s="45"/>
      <c r="F39" s="45"/>
      <c r="G39" s="45"/>
      <c r="H39" s="45"/>
      <c r="I39" s="46"/>
      <c r="J39" s="45"/>
      <c r="K39" s="45"/>
      <c r="L39" s="45"/>
      <c r="M39" s="45"/>
      <c r="N39" s="45"/>
      <c r="O39" s="45"/>
      <c r="P39" s="45"/>
      <c r="Q39" s="45"/>
      <c r="R39" s="45"/>
      <c r="S39" s="45"/>
      <c r="T39" s="45"/>
      <c r="U39" s="45"/>
      <c r="V39" s="45"/>
      <c r="W39" s="45" t="s">
        <v>63</v>
      </c>
      <c r="X39" s="45"/>
      <c r="Y39" s="45"/>
      <c r="Z39" s="45"/>
      <c r="AA39" s="45"/>
      <c r="AB39" s="110" t="str">
        <f>Contract!AB39</f>
        <v>N/A</v>
      </c>
      <c r="AC39" s="300" t="s">
        <v>64</v>
      </c>
      <c r="AD39" s="300"/>
      <c r="AE39" s="300"/>
      <c r="AF39" s="300"/>
      <c r="AG39" s="301"/>
    </row>
    <row r="40" spans="1:33" ht="15" customHeight="1" thickBot="1">
      <c r="A40" s="32"/>
      <c r="B40" s="109" t="str">
        <f>Contract!B40</f>
        <v/>
      </c>
      <c r="C40" s="45" t="s">
        <v>65</v>
      </c>
      <c r="D40" s="45"/>
      <c r="E40" s="47"/>
      <c r="F40" s="47"/>
      <c r="G40" s="47"/>
      <c r="H40" s="47"/>
      <c r="I40" s="45"/>
      <c r="J40" s="45"/>
      <c r="K40" s="45"/>
      <c r="L40" s="45"/>
      <c r="M40" s="45"/>
      <c r="N40" s="45"/>
      <c r="O40" s="45"/>
      <c r="P40" s="45"/>
      <c r="Q40" s="45"/>
      <c r="R40" s="45"/>
      <c r="S40" s="45"/>
      <c r="T40" s="45"/>
      <c r="U40" s="45"/>
      <c r="V40" s="45"/>
      <c r="W40" s="45"/>
      <c r="X40" s="45"/>
      <c r="Y40" s="45"/>
      <c r="Z40" s="45"/>
      <c r="AA40" s="45"/>
      <c r="AB40" s="110">
        <f>Contract!AB40</f>
        <v>0</v>
      </c>
      <c r="AC40" s="300"/>
      <c r="AD40" s="300"/>
      <c r="AE40" s="300"/>
      <c r="AF40" s="300"/>
      <c r="AG40" s="301"/>
    </row>
    <row r="41" spans="1:33" ht="15" customHeight="1" thickBot="1">
      <c r="A41" s="30"/>
      <c r="B41" s="109" t="str">
        <f>Contract!B41</f>
        <v/>
      </c>
      <c r="C41" s="45" t="str">
        <f>Contract!C41</f>
        <v>This Option is Exclusive to a Different Model</v>
      </c>
      <c r="D41" s="26"/>
      <c r="E41" s="43"/>
      <c r="F41" s="43"/>
      <c r="G41" s="43"/>
      <c r="H41" s="43"/>
      <c r="I41" s="26"/>
      <c r="J41" s="26"/>
      <c r="K41" s="26"/>
      <c r="L41" s="26"/>
      <c r="M41" s="26"/>
      <c r="N41" s="26"/>
      <c r="O41" s="26"/>
      <c r="P41" s="26"/>
      <c r="Q41" s="26"/>
      <c r="R41" s="26"/>
      <c r="S41" s="26"/>
      <c r="T41" s="26"/>
      <c r="U41" s="26"/>
      <c r="V41" s="26"/>
      <c r="W41" s="26"/>
      <c r="X41" s="26"/>
      <c r="Y41" s="26"/>
      <c r="Z41" s="26"/>
      <c r="AA41" s="26"/>
      <c r="AB41" s="110">
        <f>Contract!AB41</f>
        <v>0</v>
      </c>
      <c r="AC41" s="302">
        <f>SUM(AC26,AC31,AC36)</f>
        <v>0</v>
      </c>
      <c r="AD41" s="303"/>
      <c r="AE41" s="303"/>
      <c r="AF41" s="303"/>
      <c r="AG41" s="304"/>
    </row>
    <row r="42" spans="1:33" ht="15" customHeight="1" thickBot="1">
      <c r="A42" s="27" t="s">
        <v>66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102"/>
      <c r="AC42" s="305"/>
      <c r="AD42" s="305"/>
      <c r="AE42" s="305"/>
      <c r="AF42" s="305"/>
      <c r="AG42" s="306"/>
    </row>
    <row r="43" spans="1:33" ht="15" customHeight="1" thickBot="1">
      <c r="A43" s="32"/>
      <c r="B43" s="109" t="str">
        <f>Contract!B43</f>
        <v/>
      </c>
      <c r="C43" s="45" t="str">
        <f>IF(Quote_Trailer_Model=Extreme_OffRoad,"Included Toolbox","Add Toolbox")</f>
        <v>Add Toolbox</v>
      </c>
      <c r="D43" s="45"/>
      <c r="E43" s="45"/>
      <c r="F43" s="45"/>
      <c r="G43" s="46" t="s">
        <v>16</v>
      </c>
      <c r="H43" s="239" t="str">
        <f>Contract!H43</f>
        <v/>
      </c>
      <c r="I43" s="240"/>
      <c r="J43" s="240"/>
      <c r="K43" s="240"/>
      <c r="L43" s="240"/>
      <c r="M43" s="240"/>
      <c r="N43" s="240"/>
      <c r="O43" s="241"/>
      <c r="P43" s="45" t="str">
        <f>Contract!P43</f>
        <v/>
      </c>
      <c r="Q43" s="45"/>
      <c r="R43" s="45"/>
      <c r="S43" s="45"/>
      <c r="T43" s="45"/>
      <c r="U43" s="45"/>
      <c r="V43" s="45"/>
      <c r="W43" s="45"/>
      <c r="X43" s="45"/>
      <c r="Y43" s="45"/>
      <c r="Z43" s="45"/>
      <c r="AA43" s="45"/>
      <c r="AB43" s="110">
        <f>Contract!AB43</f>
        <v>0</v>
      </c>
      <c r="AC43" s="307"/>
      <c r="AD43" s="307"/>
      <c r="AE43" s="307"/>
      <c r="AF43" s="307"/>
      <c r="AG43" s="308"/>
    </row>
    <row r="44" spans="1:33" ht="15" customHeight="1" thickBot="1">
      <c r="A44" s="30"/>
      <c r="B44" s="109" t="str">
        <f>Contract!B44</f>
        <v/>
      </c>
      <c r="C44" s="26" t="str">
        <f>IF(Quote_Trailer_Model=Highway_Deluxe,"N/A on this Model","Add Fridge Box")</f>
        <v>Add Fridge Box</v>
      </c>
      <c r="D44" s="26"/>
      <c r="E44" s="26"/>
      <c r="F44" s="26"/>
      <c r="G44" s="33"/>
      <c r="H44" s="109" t="str">
        <f>Contract!H44</f>
        <v/>
      </c>
      <c r="I44" s="50" t="str">
        <f>IF(Quote_Trailer_Model=Highway_Deluxe,"N/A on this Model","Add Fridge Box Storage Rack")</f>
        <v>Add Fridge Box Storage Rack</v>
      </c>
      <c r="J44" s="43"/>
      <c r="K44" s="43"/>
      <c r="L44" s="43"/>
      <c r="M44" s="43"/>
      <c r="N44" s="43"/>
      <c r="O44" s="43"/>
      <c r="P44" s="26"/>
      <c r="Q44" s="26"/>
      <c r="R44" s="26"/>
      <c r="S44" s="26"/>
      <c r="T44" s="26"/>
      <c r="U44" s="26"/>
      <c r="V44" s="26"/>
      <c r="W44" s="26"/>
      <c r="X44" s="26"/>
      <c r="Y44" s="26"/>
      <c r="Z44" s="26"/>
      <c r="AA44" s="31"/>
      <c r="AB44" s="110">
        <f>Contract!AB44</f>
        <v>0</v>
      </c>
      <c r="AC44" s="488" t="s">
        <v>67</v>
      </c>
      <c r="AD44" s="488"/>
      <c r="AE44" s="488"/>
      <c r="AF44" s="488"/>
      <c r="AG44" s="489"/>
    </row>
    <row r="45" spans="1:33" ht="15" customHeight="1" thickBot="1">
      <c r="A45" s="27" t="s">
        <v>68</v>
      </c>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102"/>
      <c r="AC45" s="490"/>
      <c r="AD45" s="490"/>
      <c r="AE45" s="490"/>
      <c r="AF45" s="490"/>
      <c r="AG45" s="491"/>
    </row>
    <row r="46" spans="1:33" ht="15" customHeight="1" thickBot="1">
      <c r="A46" s="32"/>
      <c r="B46" s="109" t="str">
        <f>Contract!B46</f>
        <v/>
      </c>
      <c r="C46" s="45" t="s">
        <v>69</v>
      </c>
      <c r="D46" s="45"/>
      <c r="E46" s="45"/>
      <c r="F46" s="45"/>
      <c r="G46" s="45"/>
      <c r="H46" s="45"/>
      <c r="I46" s="45"/>
      <c r="J46" s="45"/>
      <c r="K46" s="46" t="s">
        <v>70</v>
      </c>
      <c r="L46" s="317" t="str">
        <f>IF(Contract!L46="","",Contract!L46)</f>
        <v/>
      </c>
      <c r="M46" s="319"/>
      <c r="N46" s="45"/>
      <c r="O46" s="109" t="str">
        <f>IF(Contract!O46="","",Contract!O46)</f>
        <v/>
      </c>
      <c r="P46" s="45" t="s">
        <v>71</v>
      </c>
      <c r="Q46" s="45"/>
      <c r="R46" s="45"/>
      <c r="S46" s="45" t="str">
        <f>Contract!S46</f>
        <v/>
      </c>
      <c r="T46" s="45"/>
      <c r="U46" s="45"/>
      <c r="V46" s="45"/>
      <c r="W46" s="45"/>
      <c r="Y46" s="45"/>
      <c r="Z46" s="45"/>
      <c r="AA46" s="45"/>
      <c r="AB46" s="110">
        <f>Contract!AB46</f>
        <v>0</v>
      </c>
      <c r="AC46" s="309">
        <v>500</v>
      </c>
      <c r="AD46" s="229"/>
      <c r="AE46" s="229"/>
      <c r="AF46" s="229"/>
      <c r="AG46" s="230"/>
    </row>
    <row r="47" spans="1:33" ht="15" customHeight="1" thickBot="1">
      <c r="A47" s="30"/>
      <c r="B47" s="109" t="str">
        <f>Contract!B47</f>
        <v/>
      </c>
      <c r="C47" s="24" t="s">
        <v>72</v>
      </c>
      <c r="D47" s="26"/>
      <c r="E47" s="26"/>
      <c r="F47" s="26"/>
      <c r="G47" s="26"/>
      <c r="H47" s="26"/>
      <c r="I47" s="26"/>
      <c r="J47" s="26"/>
      <c r="K47" s="33" t="s">
        <v>70</v>
      </c>
      <c r="L47" s="317" t="str">
        <f>IF(Contract!L47="","",Contract!L47)</f>
        <v/>
      </c>
      <c r="M47" s="319"/>
      <c r="N47" s="30"/>
      <c r="O47" s="109" t="str">
        <f>IF(Contract!O47="","",Contract!O47)</f>
        <v/>
      </c>
      <c r="P47" s="24" t="s">
        <v>71</v>
      </c>
      <c r="Q47" s="26"/>
      <c r="R47" s="26"/>
      <c r="S47" s="45" t="str">
        <f>Contract!S47</f>
        <v/>
      </c>
      <c r="T47" s="26"/>
      <c r="U47" s="26"/>
      <c r="V47" s="26"/>
      <c r="W47" s="26"/>
      <c r="X47" s="26"/>
      <c r="Y47" s="26"/>
      <c r="Z47" s="26"/>
      <c r="AA47" s="31"/>
      <c r="AB47" s="110">
        <f>Contract!AB47</f>
        <v>0</v>
      </c>
      <c r="AC47" s="231"/>
      <c r="AD47" s="231"/>
      <c r="AE47" s="231"/>
      <c r="AF47" s="231"/>
      <c r="AG47" s="232"/>
    </row>
    <row r="48" spans="1:33" ht="15" customHeight="1" thickBot="1">
      <c r="A48" s="27" t="s">
        <v>73</v>
      </c>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102"/>
      <c r="AC48" s="233"/>
      <c r="AD48" s="233"/>
      <c r="AE48" s="233"/>
      <c r="AF48" s="233"/>
      <c r="AG48" s="234"/>
    </row>
    <row r="49" spans="1:33" ht="15" customHeight="1" thickBot="1">
      <c r="A49" s="27"/>
      <c r="B49" s="45" t="s">
        <v>74</v>
      </c>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102"/>
      <c r="AC49" s="478" t="s">
        <v>75</v>
      </c>
      <c r="AD49" s="478"/>
      <c r="AE49" s="478"/>
      <c r="AF49" s="478"/>
      <c r="AG49" s="479"/>
    </row>
    <row r="50" spans="1:33" ht="15" customHeight="1" thickBot="1">
      <c r="A50" s="32"/>
      <c r="B50" s="45" t="s">
        <v>76</v>
      </c>
      <c r="C50" s="45"/>
      <c r="D50" s="53"/>
      <c r="E50" s="53"/>
      <c r="F50" s="53"/>
      <c r="G50" s="242">
        <f>Contract!G50</f>
        <v>0</v>
      </c>
      <c r="H50" s="243"/>
      <c r="I50" s="243"/>
      <c r="J50" s="243"/>
      <c r="K50" s="243"/>
      <c r="L50" s="244"/>
      <c r="M50" s="45"/>
      <c r="N50" s="45"/>
      <c r="O50" s="45"/>
      <c r="P50" s="45"/>
      <c r="Q50" s="45"/>
      <c r="R50" s="45"/>
      <c r="S50" s="45"/>
      <c r="T50" s="45"/>
      <c r="U50" s="45"/>
      <c r="V50" s="45"/>
      <c r="W50" s="45"/>
      <c r="X50" s="45"/>
      <c r="Y50" s="45"/>
      <c r="Z50" s="45"/>
      <c r="AA50" s="45"/>
      <c r="AB50" s="110" t="str">
        <f>Contract!AB50</f>
        <v>Required</v>
      </c>
      <c r="AC50" s="482"/>
      <c r="AD50" s="482"/>
      <c r="AE50" s="482"/>
      <c r="AF50" s="482"/>
      <c r="AG50" s="483"/>
    </row>
    <row r="51" spans="1:33" ht="15" customHeight="1" thickBot="1">
      <c r="A51" s="32"/>
      <c r="B51" s="109" t="str">
        <f>Contract!B51</f>
        <v/>
      </c>
      <c r="C51" s="45" t="s">
        <v>77</v>
      </c>
      <c r="D51" s="45"/>
      <c r="E51" s="45"/>
      <c r="F51" s="45"/>
      <c r="G51" s="45"/>
      <c r="H51" s="45"/>
      <c r="I51" s="45"/>
      <c r="J51" s="45"/>
      <c r="K51" s="45"/>
      <c r="L51" s="45"/>
      <c r="M51" s="45"/>
      <c r="N51" s="45"/>
      <c r="O51" s="45"/>
      <c r="P51" s="45"/>
      <c r="Q51" s="45"/>
      <c r="R51" s="45"/>
      <c r="S51" s="45"/>
      <c r="T51" s="45"/>
      <c r="U51" s="45"/>
      <c r="V51" s="45"/>
      <c r="W51" s="45"/>
      <c r="X51" s="45"/>
      <c r="Y51" s="45"/>
      <c r="Z51" s="45"/>
      <c r="AA51" s="45"/>
      <c r="AB51" s="110">
        <f>Contract!AB51</f>
        <v>0</v>
      </c>
      <c r="AC51" s="228">
        <f>SUM(AC41,-AC46)</f>
        <v>-500</v>
      </c>
      <c r="AD51" s="229"/>
      <c r="AE51" s="229"/>
      <c r="AF51" s="229"/>
      <c r="AG51" s="230"/>
    </row>
    <row r="52" spans="1:33" ht="15" customHeight="1" thickBot="1">
      <c r="A52" s="32"/>
      <c r="B52" s="109" t="str">
        <f>Contract!B52</f>
        <v/>
      </c>
      <c r="C52" s="45" t="s">
        <v>78</v>
      </c>
      <c r="D52" s="45"/>
      <c r="E52" s="45"/>
      <c r="F52" s="45"/>
      <c r="G52" s="45"/>
      <c r="H52" s="46" t="s">
        <v>16</v>
      </c>
      <c r="I52" s="239" t="str">
        <f>Contract!I52</f>
        <v/>
      </c>
      <c r="J52" s="240"/>
      <c r="K52" s="240"/>
      <c r="L52" s="240"/>
      <c r="M52" s="240"/>
      <c r="N52" s="240"/>
      <c r="O52" s="241"/>
      <c r="P52" s="45" t="str">
        <f>Contract!P52</f>
        <v/>
      </c>
      <c r="Q52" s="45"/>
      <c r="R52" s="45"/>
      <c r="S52" s="45"/>
      <c r="T52" s="45"/>
      <c r="U52" s="45"/>
      <c r="V52" s="45"/>
      <c r="W52" s="45"/>
      <c r="X52" s="45"/>
      <c r="Y52" s="45"/>
      <c r="Z52" s="45"/>
      <c r="AA52" s="45"/>
      <c r="AB52" s="110">
        <f>Contract!AB52</f>
        <v>0</v>
      </c>
      <c r="AC52" s="231"/>
      <c r="AD52" s="231"/>
      <c r="AE52" s="231"/>
      <c r="AF52" s="231"/>
      <c r="AG52" s="232"/>
    </row>
    <row r="53" spans="1:33" ht="15" customHeight="1" thickBot="1">
      <c r="A53" s="30"/>
      <c r="B53" s="109" t="str">
        <f>Contract!B53</f>
        <v/>
      </c>
      <c r="C53" s="24" t="s">
        <v>79</v>
      </c>
      <c r="D53" s="26"/>
      <c r="E53" s="26"/>
      <c r="F53" s="26"/>
      <c r="G53" s="26"/>
      <c r="H53" s="33" t="s">
        <v>16</v>
      </c>
      <c r="I53" s="239" t="str">
        <f>Contract!I53</f>
        <v/>
      </c>
      <c r="J53" s="240"/>
      <c r="K53" s="240"/>
      <c r="L53" s="240"/>
      <c r="M53" s="240"/>
      <c r="N53" s="240"/>
      <c r="O53" s="241"/>
      <c r="P53" s="45" t="str">
        <f>Contract!P53</f>
        <v/>
      </c>
      <c r="Q53" s="26"/>
      <c r="R53" s="26"/>
      <c r="S53" s="26"/>
      <c r="T53" s="26"/>
      <c r="U53" s="26"/>
      <c r="V53" s="26"/>
      <c r="W53" s="26"/>
      <c r="X53" s="26"/>
      <c r="Y53" s="26"/>
      <c r="Z53" s="26"/>
      <c r="AA53" s="31"/>
      <c r="AB53" s="110">
        <f>Contract!AB53</f>
        <v>0</v>
      </c>
      <c r="AC53" s="233"/>
      <c r="AD53" s="233"/>
      <c r="AE53" s="233"/>
      <c r="AF53" s="233"/>
      <c r="AG53" s="234"/>
    </row>
    <row r="54" spans="1:33" ht="15" customHeight="1">
      <c r="A54" s="27" t="s">
        <v>80</v>
      </c>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102"/>
      <c r="AC54" s="282" t="s">
        <v>81</v>
      </c>
      <c r="AD54" s="282"/>
      <c r="AE54" s="282"/>
      <c r="AF54" s="282"/>
      <c r="AG54" s="283"/>
    </row>
    <row r="55" spans="1:33" ht="15" customHeight="1">
      <c r="A55" s="27"/>
      <c r="B55" s="245" t="s">
        <v>82</v>
      </c>
      <c r="C55" s="245"/>
      <c r="D55" s="245"/>
      <c r="E55" s="245"/>
      <c r="F55" s="245"/>
      <c r="G55" s="245"/>
      <c r="H55" s="245"/>
      <c r="I55" s="245"/>
      <c r="J55" s="245"/>
      <c r="K55" s="245"/>
      <c r="L55" s="245"/>
      <c r="M55" s="245"/>
      <c r="N55" s="245"/>
      <c r="O55" s="245"/>
      <c r="P55" s="245"/>
      <c r="Q55" s="245"/>
      <c r="R55" s="245"/>
      <c r="S55" s="245"/>
      <c r="T55" s="245"/>
      <c r="U55" s="245"/>
      <c r="V55" s="245"/>
      <c r="W55" s="245"/>
      <c r="X55" s="245"/>
      <c r="Y55" s="245"/>
      <c r="Z55" s="245"/>
      <c r="AA55" s="245"/>
      <c r="AB55" s="246"/>
      <c r="AC55" s="284"/>
      <c r="AD55" s="284"/>
      <c r="AE55" s="284"/>
      <c r="AF55" s="284"/>
      <c r="AG55" s="285"/>
    </row>
    <row r="56" spans="1:33" ht="15" customHeight="1" thickBot="1">
      <c r="A56" s="32"/>
      <c r="B56" s="245"/>
      <c r="C56" s="245"/>
      <c r="D56" s="245"/>
      <c r="E56" s="245"/>
      <c r="F56" s="245"/>
      <c r="G56" s="245"/>
      <c r="H56" s="245"/>
      <c r="I56" s="245"/>
      <c r="J56" s="245"/>
      <c r="K56" s="245"/>
      <c r="L56" s="245"/>
      <c r="M56" s="245"/>
      <c r="N56" s="245"/>
      <c r="O56" s="245"/>
      <c r="P56" s="245"/>
      <c r="Q56" s="245"/>
      <c r="R56" s="245"/>
      <c r="S56" s="245"/>
      <c r="T56" s="245"/>
      <c r="U56" s="245"/>
      <c r="V56" s="245"/>
      <c r="W56" s="245"/>
      <c r="X56" s="245"/>
      <c r="Y56" s="245"/>
      <c r="Z56" s="245"/>
      <c r="AA56" s="245"/>
      <c r="AB56" s="246"/>
      <c r="AC56" s="286"/>
      <c r="AD56" s="286"/>
      <c r="AE56" s="286"/>
      <c r="AF56" s="286"/>
      <c r="AG56" s="287"/>
    </row>
    <row r="57" spans="1:33" ht="15" customHeight="1" thickBot="1">
      <c r="A57" s="32"/>
      <c r="B57" s="109" t="str">
        <f>Contract!B57</f>
        <v/>
      </c>
      <c r="C57" s="45" t="s">
        <v>83</v>
      </c>
      <c r="D57" s="45"/>
      <c r="E57" s="45"/>
      <c r="F57" s="45"/>
      <c r="G57" s="45"/>
      <c r="H57" s="45"/>
      <c r="I57" s="46" t="s">
        <v>16</v>
      </c>
      <c r="J57" s="239" t="str">
        <f>Contract!J57</f>
        <v/>
      </c>
      <c r="K57" s="240"/>
      <c r="L57" s="240"/>
      <c r="M57" s="240"/>
      <c r="N57" s="240"/>
      <c r="O57" s="241"/>
      <c r="P57" s="45"/>
      <c r="Q57" s="45"/>
      <c r="R57" s="45"/>
      <c r="S57" s="45"/>
      <c r="T57" s="45"/>
      <c r="U57" s="45"/>
      <c r="V57" s="45"/>
      <c r="W57" s="45"/>
      <c r="X57" s="45"/>
      <c r="Y57" s="45"/>
      <c r="Z57" s="45"/>
      <c r="AA57" s="45"/>
      <c r="AB57" s="110" t="str">
        <f>Contract!AB57</f>
        <v>Select One</v>
      </c>
      <c r="AC57" s="235" t="s">
        <v>84</v>
      </c>
      <c r="AD57" s="235"/>
      <c r="AE57" s="235"/>
      <c r="AF57" s="235"/>
      <c r="AG57" s="236"/>
    </row>
    <row r="58" spans="1:33" ht="15" customHeight="1" thickBot="1">
      <c r="A58" s="32"/>
      <c r="B58" s="45"/>
      <c r="C58" s="109" t="str">
        <f>Contract!C58</f>
        <v/>
      </c>
      <c r="D58" s="45" t="str">
        <f>Contract!D58</f>
        <v>Larger Battery Required</v>
      </c>
      <c r="E58" s="45"/>
      <c r="F58" s="45"/>
      <c r="G58" s="45"/>
      <c r="H58" s="45"/>
      <c r="I58" s="45"/>
      <c r="J58" s="45"/>
      <c r="K58" s="45"/>
      <c r="L58" s="45"/>
      <c r="M58" s="45"/>
      <c r="N58" s="45"/>
      <c r="O58" s="45"/>
      <c r="P58" s="45"/>
      <c r="Q58" s="45"/>
      <c r="R58" s="45"/>
      <c r="S58" s="45"/>
      <c r="T58" s="45"/>
      <c r="U58" s="45"/>
      <c r="V58" s="45"/>
      <c r="W58" s="45"/>
      <c r="X58" s="45"/>
      <c r="Y58" s="45"/>
      <c r="Z58" s="45"/>
      <c r="AA58" s="45"/>
      <c r="AB58" s="110">
        <f>Contract!AB58</f>
        <v>0</v>
      </c>
      <c r="AC58" s="237"/>
      <c r="AD58" s="237"/>
      <c r="AE58" s="237"/>
      <c r="AF58" s="237"/>
      <c r="AG58" s="238"/>
    </row>
    <row r="59" spans="1:33" ht="15" customHeight="1" thickBot="1">
      <c r="A59" s="32"/>
      <c r="B59" s="45"/>
      <c r="C59" s="45" t="s">
        <v>85</v>
      </c>
      <c r="D59" s="45"/>
      <c r="E59" s="45"/>
      <c r="F59" s="45"/>
      <c r="G59" s="239" t="str">
        <f>Contract!G59</f>
        <v>Rear Galley</v>
      </c>
      <c r="H59" s="240"/>
      <c r="I59" s="240"/>
      <c r="J59" s="240"/>
      <c r="K59" s="241"/>
      <c r="L59" s="45"/>
      <c r="M59" s="45"/>
      <c r="N59" s="45"/>
      <c r="O59" s="45"/>
      <c r="P59" s="45"/>
      <c r="Q59" s="45"/>
      <c r="R59" s="45"/>
      <c r="S59" s="45"/>
      <c r="T59" s="45"/>
      <c r="U59" s="45"/>
      <c r="V59" s="45"/>
      <c r="W59" s="45"/>
      <c r="X59" s="45"/>
      <c r="Y59" s="45"/>
      <c r="Z59" s="45"/>
      <c r="AA59" s="45"/>
      <c r="AB59" s="110" t="str">
        <f>Contract!AB59</f>
        <v>Standard</v>
      </c>
      <c r="AC59" s="169" t="s">
        <v>87</v>
      </c>
      <c r="AD59" s="169"/>
      <c r="AE59" s="169"/>
      <c r="AF59" s="169"/>
      <c r="AG59" s="170"/>
    </row>
    <row r="60" spans="1:33" ht="15" customHeight="1" thickBot="1">
      <c r="A60" s="32"/>
      <c r="B60" s="109" t="str">
        <f>Contract!B60</f>
        <v/>
      </c>
      <c r="C60" s="45" t="s">
        <v>88</v>
      </c>
      <c r="D60" s="45"/>
      <c r="E60" s="45"/>
      <c r="F60" s="45"/>
      <c r="G60" s="45"/>
      <c r="H60" s="45"/>
      <c r="I60" s="45"/>
      <c r="J60" s="46" t="s">
        <v>16</v>
      </c>
      <c r="K60" s="239" t="str">
        <f>Contract!K60</f>
        <v/>
      </c>
      <c r="L60" s="240"/>
      <c r="M60" s="240"/>
      <c r="N60" s="240"/>
      <c r="O60" s="240"/>
      <c r="P60" s="240"/>
      <c r="Q60" s="241"/>
      <c r="R60" s="45" t="str">
        <f>Contract!R60</f>
        <v/>
      </c>
      <c r="S60" s="45"/>
      <c r="T60" s="45"/>
      <c r="U60" s="45"/>
      <c r="V60" s="45"/>
      <c r="W60" s="45"/>
      <c r="X60" s="45"/>
      <c r="Y60" s="45"/>
      <c r="Z60" s="45"/>
      <c r="AA60" s="45"/>
      <c r="AB60" s="110">
        <f>Contract!AB60</f>
        <v>0</v>
      </c>
      <c r="AC60" s="171"/>
      <c r="AD60" s="171"/>
      <c r="AE60" s="171"/>
      <c r="AF60" s="171"/>
      <c r="AG60" s="172"/>
    </row>
    <row r="61" spans="1:33" ht="15" customHeight="1" thickBot="1">
      <c r="A61" s="32"/>
      <c r="B61" s="45"/>
      <c r="C61" s="109" t="str">
        <f>Contract!C61</f>
        <v/>
      </c>
      <c r="D61" s="45" t="s">
        <v>89</v>
      </c>
      <c r="E61" s="45"/>
      <c r="F61" s="45"/>
      <c r="G61" s="45"/>
      <c r="H61" s="45"/>
      <c r="I61" s="45"/>
      <c r="J61" s="45"/>
      <c r="K61" s="45"/>
      <c r="L61" s="45"/>
      <c r="M61" s="45"/>
      <c r="N61" s="45"/>
      <c r="O61" s="45"/>
      <c r="P61" s="45"/>
      <c r="Q61" s="45"/>
      <c r="R61" s="45"/>
      <c r="S61" s="45"/>
      <c r="T61" s="45"/>
      <c r="U61" s="45"/>
      <c r="V61" s="45"/>
      <c r="W61" s="45"/>
      <c r="X61" s="45"/>
      <c r="Y61" s="45"/>
      <c r="Z61" s="45"/>
      <c r="AA61" s="45"/>
      <c r="AB61" s="110">
        <f>Contract!AB61</f>
        <v>0</v>
      </c>
      <c r="AC61" s="171"/>
      <c r="AD61" s="171"/>
      <c r="AE61" s="171"/>
      <c r="AF61" s="171"/>
      <c r="AG61" s="172"/>
    </row>
    <row r="62" spans="1:33" ht="15" customHeight="1" thickBot="1">
      <c r="A62" s="32"/>
      <c r="B62" s="45"/>
      <c r="C62" s="109" t="str">
        <f>Contract!C62</f>
        <v/>
      </c>
      <c r="D62" s="45" t="s">
        <v>90</v>
      </c>
      <c r="E62" s="45"/>
      <c r="F62" s="45"/>
      <c r="G62" s="45"/>
      <c r="H62" s="45"/>
      <c r="I62" s="45"/>
      <c r="J62" s="45"/>
      <c r="K62" s="45"/>
      <c r="L62" s="45"/>
      <c r="M62" s="45"/>
      <c r="N62" s="45"/>
      <c r="O62" s="46" t="s">
        <v>70</v>
      </c>
      <c r="P62" s="239" t="str">
        <f>Contract!P62</f>
        <v/>
      </c>
      <c r="Q62" s="240"/>
      <c r="R62" s="240"/>
      <c r="S62" s="240"/>
      <c r="T62" s="241"/>
      <c r="U62" s="45"/>
      <c r="V62" s="45"/>
      <c r="W62" s="45"/>
      <c r="X62" s="45"/>
      <c r="Y62" s="45"/>
      <c r="Z62" s="45"/>
      <c r="AA62" s="45"/>
      <c r="AB62" s="110">
        <f>Contract!AB62</f>
        <v>0</v>
      </c>
      <c r="AC62" s="288" t="s">
        <v>91</v>
      </c>
      <c r="AD62" s="288"/>
      <c r="AE62" s="288"/>
      <c r="AF62" s="288"/>
      <c r="AG62" s="289"/>
    </row>
    <row r="63" spans="1:33" ht="15" customHeight="1" thickBot="1">
      <c r="A63" s="32"/>
      <c r="B63" s="45"/>
      <c r="C63" s="109" t="str">
        <f>Contract!C63</f>
        <v/>
      </c>
      <c r="D63" s="45" t="s">
        <v>92</v>
      </c>
      <c r="E63" s="45"/>
      <c r="F63" s="45"/>
      <c r="G63" s="45"/>
      <c r="H63" s="45"/>
      <c r="I63" s="45"/>
      <c r="J63" s="45"/>
      <c r="K63" s="45"/>
      <c r="L63" s="45"/>
      <c r="M63" s="45"/>
      <c r="N63" s="45"/>
      <c r="O63" s="45"/>
      <c r="P63" s="45"/>
      <c r="Q63" s="45"/>
      <c r="R63" s="45"/>
      <c r="S63" s="45"/>
      <c r="T63" s="45"/>
      <c r="U63" s="45"/>
      <c r="V63" s="45"/>
      <c r="W63" s="45"/>
      <c r="X63" s="45"/>
      <c r="Y63" s="45"/>
      <c r="Z63" s="45"/>
      <c r="AA63" s="45"/>
      <c r="AB63" s="110">
        <f>Contract!AB63</f>
        <v>0</v>
      </c>
      <c r="AC63" s="290"/>
      <c r="AD63" s="290"/>
      <c r="AE63" s="290"/>
      <c r="AF63" s="290"/>
      <c r="AG63" s="291"/>
    </row>
    <row r="64" spans="1:33" ht="15" customHeight="1" thickBot="1">
      <c r="A64" s="54"/>
      <c r="B64" s="109" t="str">
        <f>Contract!B64</f>
        <v/>
      </c>
      <c r="C64" s="45" t="s">
        <v>93</v>
      </c>
      <c r="D64" s="45"/>
      <c r="E64" s="45"/>
      <c r="F64" s="45"/>
      <c r="G64" s="45"/>
      <c r="H64" s="45"/>
      <c r="I64" s="45"/>
      <c r="J64" s="45"/>
      <c r="K64" s="45"/>
      <c r="L64" s="45"/>
      <c r="M64" s="45"/>
      <c r="N64" s="45"/>
      <c r="O64" s="45"/>
      <c r="P64" s="45"/>
      <c r="Q64" s="45"/>
      <c r="R64" s="45"/>
      <c r="S64" s="45" t="s">
        <v>63</v>
      </c>
      <c r="T64" s="45"/>
      <c r="U64" s="45"/>
      <c r="V64" s="45"/>
      <c r="W64" s="45"/>
      <c r="X64" s="45"/>
      <c r="Y64" s="45"/>
      <c r="Z64" s="45"/>
      <c r="AA64" s="45"/>
      <c r="AB64" s="110">
        <f>Contract!AB64</f>
        <v>0</v>
      </c>
      <c r="AC64" s="290"/>
      <c r="AD64" s="290"/>
      <c r="AE64" s="290"/>
      <c r="AF64" s="290"/>
      <c r="AG64" s="291"/>
    </row>
    <row r="65" spans="1:33" ht="15" customHeight="1" thickBot="1">
      <c r="A65" s="24"/>
      <c r="B65" s="109" t="str">
        <f>Contract!B65</f>
        <v/>
      </c>
      <c r="C65" s="24" t="s">
        <v>94</v>
      </c>
      <c r="D65" s="26"/>
      <c r="E65" s="26"/>
      <c r="F65" s="26"/>
      <c r="G65" s="26"/>
      <c r="H65" s="109" t="str">
        <f>Contract!H65</f>
        <v/>
      </c>
      <c r="I65" s="163" t="str">
        <f>Contract!I65</f>
        <v>N/A</v>
      </c>
      <c r="J65" s="26"/>
      <c r="K65" s="26"/>
      <c r="L65" s="26"/>
      <c r="M65" s="26"/>
      <c r="N65" s="26"/>
      <c r="O65" s="109" t="str">
        <f>Contract!O65</f>
        <v/>
      </c>
      <c r="P65" s="163" t="str">
        <f>Contract!P65</f>
        <v>N/A</v>
      </c>
      <c r="Q65" s="26"/>
      <c r="R65" s="26"/>
      <c r="S65" s="26"/>
      <c r="T65" s="26"/>
      <c r="U65" s="26"/>
      <c r="V65" s="26"/>
      <c r="W65" s="26"/>
      <c r="X65" s="26"/>
      <c r="Y65" s="26"/>
      <c r="Z65" s="26"/>
      <c r="AA65" s="31"/>
      <c r="AB65" s="110">
        <f>Contract!AB65</f>
        <v>0</v>
      </c>
      <c r="AC65" s="290"/>
      <c r="AD65" s="290"/>
      <c r="AE65" s="290"/>
      <c r="AF65" s="290"/>
      <c r="AG65" s="291"/>
    </row>
    <row r="66" spans="1:33" ht="15" customHeight="1">
      <c r="A66" s="27" t="s">
        <v>95</v>
      </c>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102"/>
      <c r="AC66" s="290"/>
      <c r="AD66" s="290"/>
      <c r="AE66" s="290"/>
      <c r="AF66" s="290"/>
      <c r="AG66" s="291"/>
    </row>
    <row r="67" spans="1:33" ht="15" customHeight="1" thickBot="1">
      <c r="A67" s="27"/>
      <c r="B67" s="45" t="s">
        <v>96</v>
      </c>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102"/>
      <c r="AC67" s="290"/>
      <c r="AD67" s="290"/>
      <c r="AE67" s="290"/>
      <c r="AF67" s="290"/>
      <c r="AG67" s="291"/>
    </row>
    <row r="68" spans="1:33" ht="15" customHeight="1" thickBot="1">
      <c r="A68" s="32"/>
      <c r="B68" s="45" t="s">
        <v>97</v>
      </c>
      <c r="C68" s="45"/>
      <c r="D68" s="45"/>
      <c r="E68" s="45"/>
      <c r="F68" s="239">
        <f>Contract!F68</f>
        <v>0</v>
      </c>
      <c r="G68" s="240"/>
      <c r="H68" s="241"/>
      <c r="I68" s="45"/>
      <c r="J68" s="45"/>
      <c r="K68" s="45"/>
      <c r="L68" s="45"/>
      <c r="M68" s="45"/>
      <c r="N68" s="45"/>
      <c r="O68" s="45"/>
      <c r="P68" s="45"/>
      <c r="Q68" s="45"/>
      <c r="R68" s="45"/>
      <c r="S68" s="45"/>
      <c r="T68" s="45"/>
      <c r="U68" s="45"/>
      <c r="V68" s="45"/>
      <c r="W68" s="45"/>
      <c r="X68" s="45"/>
      <c r="Y68" s="45"/>
      <c r="Z68" s="45"/>
      <c r="AA68" s="45"/>
      <c r="AB68" s="110" t="str">
        <f>Contract!AB68</f>
        <v>Error</v>
      </c>
      <c r="AC68" s="292"/>
      <c r="AD68" s="292"/>
      <c r="AE68" s="292"/>
      <c r="AF68" s="292"/>
      <c r="AG68" s="293"/>
    </row>
    <row r="69" spans="1:33" ht="15" customHeight="1" thickBot="1">
      <c r="A69" s="32"/>
      <c r="B69" s="109" t="str">
        <f>Contract!B69</f>
        <v/>
      </c>
      <c r="C69" s="45" t="s">
        <v>98</v>
      </c>
      <c r="D69" s="45"/>
      <c r="E69" s="45"/>
      <c r="F69" s="45"/>
      <c r="G69" s="45"/>
      <c r="H69" s="46" t="s">
        <v>16</v>
      </c>
      <c r="I69" s="239" t="str">
        <f>Contract!I69</f>
        <v/>
      </c>
      <c r="J69" s="240"/>
      <c r="K69" s="247"/>
      <c r="L69" s="247"/>
      <c r="M69" s="248"/>
      <c r="N69" s="45"/>
      <c r="O69" s="45"/>
      <c r="P69" s="45"/>
      <c r="Q69" s="45"/>
      <c r="R69" s="45"/>
      <c r="S69" s="45"/>
      <c r="T69" s="45"/>
      <c r="U69" s="45"/>
      <c r="V69" s="45"/>
      <c r="W69" s="45"/>
      <c r="X69" s="45"/>
      <c r="Y69" s="45"/>
      <c r="Z69" s="45"/>
      <c r="AA69" s="45"/>
      <c r="AB69" s="110">
        <f>Contract!AB69</f>
        <v>0</v>
      </c>
      <c r="AC69" s="505" t="s">
        <v>99</v>
      </c>
      <c r="AD69" s="474"/>
      <c r="AE69" s="474"/>
      <c r="AF69" s="474"/>
      <c r="AG69" s="475"/>
    </row>
    <row r="70" spans="1:33" ht="15" customHeight="1" thickBot="1">
      <c r="A70" s="32"/>
      <c r="B70" s="109" t="str">
        <f>Contract!B70</f>
        <v/>
      </c>
      <c r="C70" s="45" t="s">
        <v>100</v>
      </c>
      <c r="D70" s="45"/>
      <c r="E70" s="45"/>
      <c r="F70" s="45"/>
      <c r="G70" s="45"/>
      <c r="H70" s="45"/>
      <c r="I70" s="45"/>
      <c r="J70" s="46" t="s">
        <v>16</v>
      </c>
      <c r="K70" s="239" t="str">
        <f>Contract!K70</f>
        <v/>
      </c>
      <c r="L70" s="240"/>
      <c r="M70" s="240"/>
      <c r="N70" s="241"/>
      <c r="O70" s="45" t="str">
        <f>Contract!O70</f>
        <v/>
      </c>
      <c r="P70" s="45"/>
      <c r="Q70" s="45"/>
      <c r="R70" s="45"/>
      <c r="S70" s="45"/>
      <c r="T70" s="45"/>
      <c r="U70" s="45"/>
      <c r="V70" s="45"/>
      <c r="W70" s="45"/>
      <c r="X70" s="45"/>
      <c r="Y70" s="45"/>
      <c r="Z70" s="45"/>
      <c r="AA70" s="45"/>
      <c r="AB70" s="110">
        <f>Contract!AB70</f>
        <v>0</v>
      </c>
      <c r="AC70" s="506"/>
      <c r="AD70" s="507"/>
      <c r="AE70" s="507"/>
      <c r="AF70" s="507"/>
      <c r="AG70" s="508"/>
    </row>
    <row r="71" spans="1:33" ht="15" customHeight="1" thickBot="1">
      <c r="A71" s="32"/>
      <c r="B71" s="109" t="str">
        <f>Contract!B71</f>
        <v/>
      </c>
      <c r="C71" s="45" t="s">
        <v>101</v>
      </c>
      <c r="D71" s="45"/>
      <c r="E71" s="45"/>
      <c r="F71" s="45"/>
      <c r="G71" s="45"/>
      <c r="H71" s="45"/>
      <c r="I71" s="45"/>
      <c r="J71" s="46" t="s">
        <v>16</v>
      </c>
      <c r="K71" s="239" t="str">
        <f>Contract!K71</f>
        <v/>
      </c>
      <c r="L71" s="240"/>
      <c r="M71" s="240"/>
      <c r="N71" s="241"/>
      <c r="O71" s="45" t="str">
        <f>Contract!O71</f>
        <v/>
      </c>
      <c r="P71" s="45"/>
      <c r="Q71" s="45"/>
      <c r="R71" s="45"/>
      <c r="S71" s="45"/>
      <c r="T71" s="45"/>
      <c r="U71" s="45"/>
      <c r="V71" s="45"/>
      <c r="W71" s="45"/>
      <c r="X71" s="45"/>
      <c r="Y71" s="45"/>
      <c r="Z71" s="45"/>
      <c r="AA71" s="45"/>
      <c r="AB71" s="110">
        <f>Contract!AB71</f>
        <v>0</v>
      </c>
      <c r="AC71" s="128" t="s">
        <v>102</v>
      </c>
      <c r="AD71" s="4" t="e">
        <f>VLOOKUP(Trailer_Selection,Weight_Chart,2,FALSE)</f>
        <v>#N/A</v>
      </c>
      <c r="AE71" s="4" t="s">
        <v>103</v>
      </c>
      <c r="AF71" s="259" t="s">
        <v>104</v>
      </c>
      <c r="AG71" s="325" t="s">
        <v>105</v>
      </c>
    </row>
    <row r="72" spans="1:33" ht="15" customHeight="1" thickBot="1">
      <c r="A72" s="30"/>
      <c r="B72" s="109" t="str">
        <f>Contract!B72</f>
        <v/>
      </c>
      <c r="C72" s="24" t="s">
        <v>106</v>
      </c>
      <c r="D72" s="26"/>
      <c r="E72" s="26"/>
      <c r="F72" s="26"/>
      <c r="G72" s="26"/>
      <c r="H72" s="26"/>
      <c r="I72" s="26"/>
      <c r="J72" s="33" t="s">
        <v>16</v>
      </c>
      <c r="K72" s="239" t="str">
        <f>Contract!K72</f>
        <v/>
      </c>
      <c r="L72" s="240"/>
      <c r="M72" s="240"/>
      <c r="N72" s="241"/>
      <c r="O72" s="45" t="str">
        <f>Contract!O72</f>
        <v/>
      </c>
      <c r="P72" s="26"/>
      <c r="Q72" s="26"/>
      <c r="R72" s="26"/>
      <c r="S72" s="26"/>
      <c r="T72" s="26"/>
      <c r="U72" s="26"/>
      <c r="V72" s="26"/>
      <c r="W72" s="26"/>
      <c r="X72" s="26"/>
      <c r="Y72" s="26"/>
      <c r="Z72" s="26"/>
      <c r="AA72" s="26"/>
      <c r="AB72" s="110">
        <f>Contract!AB72</f>
        <v>0</v>
      </c>
      <c r="AC72" s="129" t="s">
        <v>107</v>
      </c>
      <c r="AD72" s="3" t="e">
        <f>VLOOKUP(Trailer_Selection,Weight_Chart,3,FALSE)</f>
        <v>#N/A</v>
      </c>
      <c r="AE72" s="3" t="s">
        <v>103</v>
      </c>
      <c r="AF72" s="260"/>
      <c r="AG72" s="326"/>
    </row>
    <row r="73" spans="1:33" ht="15" customHeight="1" thickBot="1">
      <c r="A73" s="27" t="s">
        <v>108</v>
      </c>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102"/>
      <c r="AC73" s="130" t="s">
        <v>109</v>
      </c>
      <c r="AD73" s="59"/>
      <c r="AE73" s="60"/>
      <c r="AF73" s="61"/>
      <c r="AG73" s="44" t="str">
        <f>IF(Data!JC19=TRUE,"Yes","No")</f>
        <v>No</v>
      </c>
    </row>
    <row r="74" spans="1:33" ht="15" customHeight="1" thickBot="1">
      <c r="A74" s="32"/>
      <c r="B74" s="109" t="str">
        <f>Contract!B74</f>
        <v/>
      </c>
      <c r="C74" s="45" t="s">
        <v>110</v>
      </c>
      <c r="D74" s="45"/>
      <c r="E74" s="45"/>
      <c r="F74" s="45"/>
      <c r="G74" s="45"/>
      <c r="H74" s="45"/>
      <c r="I74" s="46" t="s">
        <v>16</v>
      </c>
      <c r="J74" s="239" t="str">
        <f>Contract!J74</f>
        <v/>
      </c>
      <c r="K74" s="240"/>
      <c r="L74" s="240"/>
      <c r="M74" s="240"/>
      <c r="N74" s="240"/>
      <c r="O74" s="240"/>
      <c r="P74" s="241"/>
      <c r="Q74" s="45" t="str">
        <f>Contract!Q74</f>
        <v/>
      </c>
      <c r="R74" s="45"/>
      <c r="S74" s="45"/>
      <c r="T74" s="45"/>
      <c r="U74" s="45" t="str">
        <f>Contract!U74</f>
        <v/>
      </c>
      <c r="V74" s="45"/>
      <c r="W74" s="45"/>
      <c r="X74" s="45"/>
      <c r="Y74" s="45"/>
      <c r="Z74" s="45"/>
      <c r="AA74" s="45"/>
      <c r="AB74" s="110">
        <f>Contract!AB74</f>
        <v>0</v>
      </c>
      <c r="AC74" s="131" t="s">
        <v>111</v>
      </c>
      <c r="AD74" s="56"/>
      <c r="AE74" s="55"/>
      <c r="AF74" s="56"/>
      <c r="AG74" s="126" t="e">
        <f>VLOOKUP(Trailer_Selection,Spec_Table,4,FALSE)</f>
        <v>#N/A</v>
      </c>
    </row>
    <row r="75" spans="1:33" ht="15" customHeight="1" thickBot="1">
      <c r="A75" s="119"/>
      <c r="B75" s="109" t="str">
        <f>Contract!B75</f>
        <v/>
      </c>
      <c r="C75" s="45" t="s">
        <v>112</v>
      </c>
      <c r="D75" s="45"/>
      <c r="E75" s="45"/>
      <c r="F75" s="45"/>
      <c r="G75" s="45"/>
      <c r="H75" s="45"/>
      <c r="I75" s="46" t="s">
        <v>16</v>
      </c>
      <c r="J75" s="239" t="str">
        <f>Contract!J75</f>
        <v/>
      </c>
      <c r="K75" s="240"/>
      <c r="L75" s="240"/>
      <c r="M75" s="240"/>
      <c r="N75" s="240"/>
      <c r="O75" s="240"/>
      <c r="P75" s="241"/>
      <c r="Q75" s="45"/>
      <c r="R75" s="45"/>
      <c r="S75" s="120" t="s">
        <v>113</v>
      </c>
      <c r="T75" s="239" t="str">
        <f>Contract!T75</f>
        <v/>
      </c>
      <c r="U75" s="240"/>
      <c r="V75" s="240"/>
      <c r="W75" s="240"/>
      <c r="X75" s="241"/>
      <c r="Y75" s="45" t="str">
        <f>IF(AND(B75="x",J75&lt;&gt;"",T75=""),"Required","")</f>
        <v/>
      </c>
      <c r="Z75" s="45"/>
      <c r="AA75" s="45"/>
      <c r="AB75" s="110">
        <f>Contract!AB75</f>
        <v>0</v>
      </c>
      <c r="AC75" s="132" t="s">
        <v>114</v>
      </c>
      <c r="AD75" s="58"/>
      <c r="AE75" s="57"/>
      <c r="AF75" s="58"/>
      <c r="AG75" s="127" t="e">
        <f>VLOOKUP(Trailer_Selection,Spec_Table,5,FALSE)</f>
        <v>#N/A</v>
      </c>
    </row>
    <row r="76" spans="1:33" ht="15" customHeight="1" thickBot="1">
      <c r="A76" s="30"/>
      <c r="B76" s="109" t="str">
        <f>Contract!B76</f>
        <v/>
      </c>
      <c r="C76" s="24" t="s">
        <v>115</v>
      </c>
      <c r="D76" s="26"/>
      <c r="E76" s="26"/>
      <c r="F76" s="26"/>
      <c r="G76" s="26"/>
      <c r="H76" s="26"/>
      <c r="I76" s="33" t="s">
        <v>16</v>
      </c>
      <c r="J76" s="239" t="str">
        <f>Contract!J76</f>
        <v/>
      </c>
      <c r="K76" s="240"/>
      <c r="L76" s="240"/>
      <c r="M76" s="240"/>
      <c r="N76" s="240"/>
      <c r="O76" s="240"/>
      <c r="P76" s="241"/>
      <c r="Q76" s="24"/>
      <c r="R76" s="26"/>
      <c r="S76" s="26"/>
      <c r="T76" s="26"/>
      <c r="U76" s="26"/>
      <c r="V76" s="26"/>
      <c r="W76" s="26"/>
      <c r="X76" s="26"/>
      <c r="Y76" s="26"/>
      <c r="Z76" s="26"/>
      <c r="AA76" s="31"/>
      <c r="AB76" s="110">
        <f>Contract!AB76</f>
        <v>0</v>
      </c>
      <c r="AC76" s="133" t="s">
        <v>116</v>
      </c>
      <c r="AD76" s="134"/>
      <c r="AE76" s="135"/>
      <c r="AF76" s="344" t="str">
        <f>Data!RK4</f>
        <v>13/16th or 19mm</v>
      </c>
      <c r="AG76" s="345"/>
    </row>
    <row r="77" spans="1:33" ht="15" customHeight="1" thickBot="1">
      <c r="A77" s="27" t="s">
        <v>117</v>
      </c>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102"/>
      <c r="AC77" s="346" t="s">
        <v>118</v>
      </c>
      <c r="AD77" s="347"/>
      <c r="AE77" s="347"/>
      <c r="AF77" s="347"/>
      <c r="AG77" s="348"/>
    </row>
    <row r="78" spans="1:33" ht="15" customHeight="1" thickBot="1">
      <c r="A78" s="27"/>
      <c r="B78" s="109" t="str">
        <f>Contract!B78</f>
        <v/>
      </c>
      <c r="C78" s="45" t="s">
        <v>119</v>
      </c>
      <c r="D78" s="45"/>
      <c r="E78" s="45"/>
      <c r="F78" s="45"/>
      <c r="G78" s="45"/>
      <c r="H78" s="45"/>
      <c r="I78" s="45"/>
      <c r="J78" s="45"/>
      <c r="K78" s="45"/>
      <c r="L78" s="45"/>
      <c r="M78" s="45"/>
      <c r="N78" s="45"/>
      <c r="O78" s="45"/>
      <c r="P78" s="45"/>
      <c r="Q78" s="45"/>
      <c r="R78" s="45"/>
      <c r="S78" s="45"/>
      <c r="T78" s="45"/>
      <c r="U78" s="45"/>
      <c r="V78" s="45"/>
      <c r="W78" s="45"/>
      <c r="X78" s="45"/>
      <c r="Y78" s="45"/>
      <c r="Z78" s="45"/>
      <c r="AA78" s="45"/>
      <c r="AB78" s="110">
        <f>Contract!AB78</f>
        <v>0</v>
      </c>
      <c r="AC78" s="340"/>
      <c r="AD78" s="335"/>
      <c r="AE78" s="335"/>
      <c r="AF78" s="335"/>
      <c r="AG78" s="336"/>
    </row>
    <row r="79" spans="1:33" ht="15" customHeight="1" thickBot="1">
      <c r="A79" s="119"/>
      <c r="B79" s="109" t="str">
        <f>Contract!B79</f>
        <v/>
      </c>
      <c r="C79" s="45" t="str">
        <f>Contract!C79</f>
        <v>Undermount Water Not Available on This Model or Size</v>
      </c>
      <c r="D79" s="45"/>
      <c r="E79" s="45"/>
      <c r="F79" s="45"/>
      <c r="G79" s="45"/>
      <c r="H79" s="45"/>
      <c r="I79" s="45"/>
      <c r="J79" s="45"/>
      <c r="K79" s="45"/>
      <c r="L79" s="45"/>
      <c r="M79" s="45"/>
      <c r="N79" s="45"/>
      <c r="O79" s="45"/>
      <c r="P79" s="45"/>
      <c r="Q79" s="45"/>
      <c r="R79" s="45"/>
      <c r="S79" s="45"/>
      <c r="T79" s="45"/>
      <c r="U79" s="45"/>
      <c r="V79" s="45"/>
      <c r="W79" s="45"/>
      <c r="X79" s="45"/>
      <c r="Y79" s="45"/>
      <c r="Z79" s="45"/>
      <c r="AA79" s="45"/>
      <c r="AB79" s="110" t="str">
        <f>Contract!AB79</f>
        <v>N/A</v>
      </c>
      <c r="AC79" s="340"/>
      <c r="AD79" s="335"/>
      <c r="AE79" s="335"/>
      <c r="AF79" s="335"/>
      <c r="AG79" s="336"/>
    </row>
    <row r="80" spans="1:33" ht="15" customHeight="1" thickBot="1">
      <c r="A80" s="24"/>
      <c r="B80" s="109" t="str">
        <f>Contract!B80</f>
        <v/>
      </c>
      <c r="C80" s="24" t="s">
        <v>120</v>
      </c>
      <c r="D80" s="26"/>
      <c r="E80" s="26"/>
      <c r="F80" s="26"/>
      <c r="G80" s="26"/>
      <c r="H80" s="26"/>
      <c r="I80" s="26"/>
      <c r="J80" s="45" t="str">
        <f>Contract!J80</f>
        <v/>
      </c>
      <c r="K80" s="26"/>
      <c r="L80" s="26"/>
      <c r="M80" s="26"/>
      <c r="N80" s="26"/>
      <c r="O80" s="26"/>
      <c r="P80" s="26"/>
      <c r="Q80" s="26"/>
      <c r="R80" s="26"/>
      <c r="S80" s="26"/>
      <c r="T80" s="26"/>
      <c r="U80" s="26"/>
      <c r="V80" s="26"/>
      <c r="W80" s="26"/>
      <c r="X80" s="26"/>
      <c r="Y80" s="26"/>
      <c r="Z80" s="26"/>
      <c r="AA80" s="26"/>
      <c r="AB80" s="110">
        <f>Contract!AB80</f>
        <v>0</v>
      </c>
      <c r="AC80" s="340"/>
      <c r="AD80" s="335"/>
      <c r="AE80" s="335"/>
      <c r="AF80" s="335"/>
      <c r="AG80" s="336"/>
    </row>
    <row r="81" spans="1:33" ht="15" customHeight="1" thickBot="1">
      <c r="A81" s="27" t="s">
        <v>121</v>
      </c>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102"/>
      <c r="AC81" s="340"/>
      <c r="AD81" s="335"/>
      <c r="AE81" s="335"/>
      <c r="AF81" s="335"/>
      <c r="AG81" s="336"/>
    </row>
    <row r="82" spans="1:33" ht="15" customHeight="1" thickBot="1">
      <c r="A82" s="32"/>
      <c r="B82" s="109" t="str">
        <f>Contract!B82</f>
        <v/>
      </c>
      <c r="C82" s="45" t="s">
        <v>122</v>
      </c>
      <c r="D82" s="45"/>
      <c r="E82" s="45"/>
      <c r="F82" s="45"/>
      <c r="G82" s="45"/>
      <c r="H82" s="45"/>
      <c r="I82" s="46" t="s">
        <v>16</v>
      </c>
      <c r="J82" s="239" t="str">
        <f>Contract!J82</f>
        <v/>
      </c>
      <c r="K82" s="240"/>
      <c r="L82" s="240"/>
      <c r="M82" s="240"/>
      <c r="N82" s="240"/>
      <c r="O82" s="240"/>
      <c r="P82" s="240"/>
      <c r="Q82" s="240"/>
      <c r="R82" s="241"/>
      <c r="S82" s="45" t="str">
        <f>Contract!S82</f>
        <v/>
      </c>
      <c r="T82" s="45"/>
      <c r="U82" s="45"/>
      <c r="V82" s="45"/>
      <c r="W82" s="45"/>
      <c r="X82" s="45"/>
      <c r="Y82" s="45"/>
      <c r="Z82" s="45"/>
      <c r="AA82" s="45"/>
      <c r="AB82" s="110">
        <f>Contract!AB82</f>
        <v>0</v>
      </c>
      <c r="AC82" s="337"/>
      <c r="AD82" s="338"/>
      <c r="AE82" s="338"/>
      <c r="AF82" s="338"/>
      <c r="AG82" s="339"/>
    </row>
    <row r="83" spans="1:33" ht="15" customHeight="1" thickBot="1">
      <c r="A83" s="30"/>
      <c r="B83" s="109" t="str">
        <f>Contract!B83</f>
        <v/>
      </c>
      <c r="C83" s="24" t="str">
        <f>IF(Data!PL41=TRUE,Data!PL45,Data!PL44)</f>
        <v>Fridge Box Required for Slide Add On</v>
      </c>
      <c r="D83" s="26"/>
      <c r="E83" s="26"/>
      <c r="F83" s="26"/>
      <c r="G83" s="26"/>
      <c r="H83" s="26"/>
      <c r="I83" s="26"/>
      <c r="J83" s="26"/>
      <c r="K83" s="26"/>
      <c r="L83" s="26"/>
      <c r="M83" s="26"/>
      <c r="N83" s="26"/>
      <c r="O83" s="26"/>
      <c r="P83" s="26"/>
      <c r="Q83" s="26"/>
      <c r="R83" s="26"/>
      <c r="S83" s="26"/>
      <c r="T83" s="26"/>
      <c r="U83" s="26"/>
      <c r="V83" s="26"/>
      <c r="W83" s="26"/>
      <c r="X83" s="26"/>
      <c r="Y83" s="26"/>
      <c r="Z83" s="26"/>
      <c r="AA83" s="31"/>
      <c r="AB83" s="110" t="str">
        <f>Contract!AB83</f>
        <v>N/A</v>
      </c>
      <c r="AC83" s="349" t="s">
        <v>123</v>
      </c>
      <c r="AD83" s="350"/>
      <c r="AE83" s="350"/>
      <c r="AF83" s="350"/>
      <c r="AG83" s="351"/>
    </row>
    <row r="84" spans="1:33" ht="15" customHeight="1" thickBot="1">
      <c r="A84" s="27" t="s">
        <v>124</v>
      </c>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102"/>
      <c r="AC84" s="352"/>
      <c r="AD84" s="353"/>
      <c r="AE84" s="353"/>
      <c r="AF84" s="353"/>
      <c r="AG84" s="354"/>
    </row>
    <row r="85" spans="1:33" ht="15" customHeight="1" thickBot="1">
      <c r="A85" s="32"/>
      <c r="B85" s="109" t="str">
        <f>Contract!B85</f>
        <v/>
      </c>
      <c r="C85" s="45" t="s">
        <v>125</v>
      </c>
      <c r="D85" s="45"/>
      <c r="E85" s="45"/>
      <c r="F85" s="45"/>
      <c r="G85" s="45"/>
      <c r="H85" s="45"/>
      <c r="I85" s="45"/>
      <c r="J85" s="46"/>
      <c r="K85" s="45"/>
      <c r="L85" s="45"/>
      <c r="M85" s="45"/>
      <c r="N85" s="45"/>
      <c r="O85" s="45"/>
      <c r="P85" s="45"/>
      <c r="Q85" s="45"/>
      <c r="R85" s="45"/>
      <c r="S85" s="45"/>
      <c r="T85" s="45"/>
      <c r="U85" s="45"/>
      <c r="V85" s="45"/>
      <c r="W85" s="45"/>
      <c r="X85" s="45"/>
      <c r="Y85" s="45"/>
      <c r="Z85" s="45"/>
      <c r="AA85" s="45"/>
      <c r="AB85" s="110">
        <f>Contract!AB85</f>
        <v>0</v>
      </c>
      <c r="AC85" s="355"/>
      <c r="AD85" s="356"/>
      <c r="AE85" s="356"/>
      <c r="AF85" s="356"/>
      <c r="AG85" s="357"/>
    </row>
    <row r="86" spans="1:33" ht="15" customHeight="1" thickBot="1">
      <c r="A86" s="32"/>
      <c r="B86" s="109" t="str">
        <f>Contract!B86</f>
        <v/>
      </c>
      <c r="C86" s="45" t="s">
        <v>126</v>
      </c>
      <c r="D86" s="45"/>
      <c r="E86" s="45"/>
      <c r="F86" s="45"/>
      <c r="G86" s="45"/>
      <c r="H86" s="45"/>
      <c r="I86" s="45"/>
      <c r="J86" s="45"/>
      <c r="K86" s="45"/>
      <c r="L86" s="45"/>
      <c r="M86" s="45"/>
      <c r="N86" s="45"/>
      <c r="O86" s="45"/>
      <c r="P86" s="45"/>
      <c r="Q86" s="45"/>
      <c r="R86" s="45"/>
      <c r="S86" s="45"/>
      <c r="T86" s="45"/>
      <c r="U86" s="45"/>
      <c r="V86" s="45"/>
      <c r="W86" s="45"/>
      <c r="X86" s="45"/>
      <c r="Y86" s="45"/>
      <c r="Z86" s="45"/>
      <c r="AA86" s="45"/>
      <c r="AB86" s="110">
        <f>Contract!AB86</f>
        <v>0</v>
      </c>
      <c r="AC86" s="346" t="s">
        <v>162</v>
      </c>
      <c r="AD86" s="347"/>
      <c r="AE86" s="347"/>
      <c r="AF86" s="347"/>
      <c r="AG86" s="348"/>
    </row>
    <row r="87" spans="1:33" ht="15" customHeight="1" thickBot="1">
      <c r="A87" s="32"/>
      <c r="B87" s="109" t="str">
        <f>Contract!B87</f>
        <v/>
      </c>
      <c r="C87" s="45" t="s">
        <v>128</v>
      </c>
      <c r="D87" s="45"/>
      <c r="E87" s="45"/>
      <c r="F87" s="45"/>
      <c r="G87" s="45"/>
      <c r="H87" s="45"/>
      <c r="I87" s="45"/>
      <c r="J87" s="45"/>
      <c r="K87" s="45"/>
      <c r="L87" s="45"/>
      <c r="M87" s="45"/>
      <c r="N87" s="45"/>
      <c r="O87" s="45"/>
      <c r="P87" s="45"/>
      <c r="Q87" s="45"/>
      <c r="R87" s="45"/>
      <c r="S87" s="45"/>
      <c r="T87" s="45"/>
      <c r="U87" s="45"/>
      <c r="V87" s="45"/>
      <c r="W87" s="45"/>
      <c r="X87" s="45"/>
      <c r="Y87" s="45"/>
      <c r="Z87" s="45"/>
      <c r="AA87" s="45"/>
      <c r="AB87" s="110">
        <f>Contract!AB87</f>
        <v>0</v>
      </c>
      <c r="AC87" s="340"/>
      <c r="AD87" s="335"/>
      <c r="AE87" s="335"/>
      <c r="AF87" s="335"/>
      <c r="AG87" s="336"/>
    </row>
    <row r="88" spans="1:33" ht="15" customHeight="1" thickBot="1">
      <c r="A88" s="32"/>
      <c r="B88" s="109" t="str">
        <f>Contract!B88</f>
        <v/>
      </c>
      <c r="C88" s="45" t="s">
        <v>129</v>
      </c>
      <c r="D88" s="45"/>
      <c r="E88" s="45"/>
      <c r="F88" s="45"/>
      <c r="G88" s="45"/>
      <c r="H88" s="45" t="str">
        <f>IF(AND(B88="x",B37="x"),"*Brakes will not function with this adapter","")</f>
        <v/>
      </c>
      <c r="I88" s="45"/>
      <c r="J88" s="46"/>
      <c r="K88" s="45"/>
      <c r="L88" s="45"/>
      <c r="M88" s="45"/>
      <c r="N88" s="45"/>
      <c r="O88" s="45"/>
      <c r="P88" s="45"/>
      <c r="Q88" s="45"/>
      <c r="R88" s="45"/>
      <c r="S88" s="45"/>
      <c r="T88" s="45"/>
      <c r="U88" s="45"/>
      <c r="V88" s="45"/>
      <c r="W88" s="45"/>
      <c r="X88" s="45"/>
      <c r="Y88" s="45"/>
      <c r="Z88" s="45"/>
      <c r="AA88" s="45"/>
      <c r="AB88" s="110">
        <f>Contract!AB88</f>
        <v>0</v>
      </c>
      <c r="AC88" s="340"/>
      <c r="AD88" s="335"/>
      <c r="AE88" s="335"/>
      <c r="AF88" s="335"/>
      <c r="AG88" s="336"/>
    </row>
    <row r="89" spans="1:33" ht="15" customHeight="1" thickBot="1">
      <c r="A89" s="32"/>
      <c r="B89" s="109" t="str">
        <f>Contract!B89</f>
        <v/>
      </c>
      <c r="C89" s="45" t="s">
        <v>130</v>
      </c>
      <c r="D89" s="45"/>
      <c r="E89" s="45"/>
      <c r="F89" s="45"/>
      <c r="G89" s="45"/>
      <c r="H89" s="45"/>
      <c r="I89" s="45"/>
      <c r="J89" s="46"/>
      <c r="K89" s="47"/>
      <c r="L89" s="47"/>
      <c r="M89" s="47"/>
      <c r="N89" s="47"/>
      <c r="O89" s="47"/>
      <c r="P89" s="47"/>
      <c r="Q89" s="45"/>
      <c r="R89" s="45"/>
      <c r="S89" s="45"/>
      <c r="T89" s="45"/>
      <c r="U89" s="45"/>
      <c r="V89" s="45"/>
      <c r="W89" s="45"/>
      <c r="X89" s="45"/>
      <c r="Y89" s="45"/>
      <c r="Z89" s="45"/>
      <c r="AA89" s="45"/>
      <c r="AB89" s="110">
        <f>Contract!AB89</f>
        <v>0</v>
      </c>
      <c r="AC89" s="340"/>
      <c r="AD89" s="335"/>
      <c r="AE89" s="335"/>
      <c r="AF89" s="335"/>
      <c r="AG89" s="336"/>
    </row>
    <row r="90" spans="1:33" ht="15" customHeight="1" thickBot="1">
      <c r="A90" s="30"/>
      <c r="B90" s="109" t="str">
        <f>Contract!B90</f>
        <v/>
      </c>
      <c r="C90" s="24" t="s">
        <v>131</v>
      </c>
      <c r="D90" s="26"/>
      <c r="E90" s="26"/>
      <c r="F90" s="26"/>
      <c r="G90" s="26"/>
      <c r="H90" s="26"/>
      <c r="I90" s="26"/>
      <c r="J90" s="65"/>
      <c r="K90" s="43"/>
      <c r="L90" s="43"/>
      <c r="M90" s="43"/>
      <c r="N90" s="43"/>
      <c r="O90" s="43"/>
      <c r="P90" s="43"/>
      <c r="Q90" s="26"/>
      <c r="R90" s="26"/>
      <c r="S90" s="26"/>
      <c r="T90" s="26"/>
      <c r="U90" s="26"/>
      <c r="V90" s="26"/>
      <c r="W90" s="26"/>
      <c r="X90" s="26"/>
      <c r="Y90" s="26"/>
      <c r="Z90" s="26"/>
      <c r="AA90" s="31"/>
      <c r="AB90" s="110">
        <f>Contract!AB90</f>
        <v>0</v>
      </c>
      <c r="AC90" s="340"/>
      <c r="AD90" s="335"/>
      <c r="AE90" s="335"/>
      <c r="AF90" s="335"/>
      <c r="AG90" s="336"/>
    </row>
    <row r="91" spans="1:33" ht="15" customHeight="1">
      <c r="A91" s="27" t="s">
        <v>133</v>
      </c>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105"/>
      <c r="AC91" s="340"/>
      <c r="AD91" s="335"/>
      <c r="AE91" s="335"/>
      <c r="AF91" s="335"/>
      <c r="AG91" s="336"/>
    </row>
    <row r="92" spans="1:33" ht="15" customHeight="1">
      <c r="A92" s="27"/>
      <c r="B92" s="45" t="s">
        <v>135</v>
      </c>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105"/>
      <c r="AC92" s="340" t="s">
        <v>163</v>
      </c>
      <c r="AD92" s="335"/>
      <c r="AE92" s="335"/>
      <c r="AF92" s="335"/>
      <c r="AG92" s="336"/>
    </row>
    <row r="93" spans="1:33" ht="15" customHeight="1">
      <c r="A93" s="32"/>
      <c r="B93" s="45"/>
      <c r="C93" s="66" t="s">
        <v>136</v>
      </c>
      <c r="D93" s="45"/>
      <c r="E93" s="45"/>
      <c r="F93" s="45"/>
      <c r="G93" s="45"/>
      <c r="H93" s="45"/>
      <c r="I93" s="66" t="s">
        <v>137</v>
      </c>
      <c r="J93" s="45"/>
      <c r="K93" s="45"/>
      <c r="L93" s="45"/>
      <c r="M93" s="45"/>
      <c r="N93" s="45"/>
      <c r="O93" s="45"/>
      <c r="P93" s="45"/>
      <c r="Q93" s="45"/>
      <c r="R93" s="45"/>
      <c r="S93" s="66" t="s">
        <v>138</v>
      </c>
      <c r="T93" s="45"/>
      <c r="U93" s="45"/>
      <c r="V93" s="45"/>
      <c r="W93" s="45"/>
      <c r="X93" s="45"/>
      <c r="Y93" s="45"/>
      <c r="Z93" s="45"/>
      <c r="AA93" s="45"/>
      <c r="AB93" s="105"/>
      <c r="AC93" s="340"/>
      <c r="AD93" s="335"/>
      <c r="AE93" s="335"/>
      <c r="AF93" s="335"/>
      <c r="AG93" s="336"/>
    </row>
    <row r="94" spans="1:33" ht="15" customHeight="1" thickBot="1">
      <c r="A94" s="48"/>
      <c r="B94" s="45"/>
      <c r="C94" s="66" t="s">
        <v>140</v>
      </c>
      <c r="D94" s="45"/>
      <c r="E94" s="45"/>
      <c r="F94" s="45"/>
      <c r="G94" s="45"/>
      <c r="H94" s="45"/>
      <c r="I94" s="66" t="s">
        <v>141</v>
      </c>
      <c r="J94" s="45"/>
      <c r="K94" s="45"/>
      <c r="L94" s="45"/>
      <c r="M94" s="45"/>
      <c r="N94" s="45"/>
      <c r="O94" s="45"/>
      <c r="P94" s="45"/>
      <c r="Q94" s="45"/>
      <c r="R94" s="45"/>
      <c r="S94" s="66" t="s">
        <v>142</v>
      </c>
      <c r="T94" s="45"/>
      <c r="U94" s="45"/>
      <c r="V94" s="45"/>
      <c r="W94" s="45"/>
      <c r="X94" s="45"/>
      <c r="Y94" s="45"/>
      <c r="Z94" s="45"/>
      <c r="AA94" s="45"/>
      <c r="AB94" s="105"/>
      <c r="AC94" s="340"/>
      <c r="AD94" s="335"/>
      <c r="AE94" s="335"/>
      <c r="AF94" s="335"/>
      <c r="AG94" s="336"/>
    </row>
    <row r="95" spans="1:33" ht="15" customHeight="1" thickBot="1">
      <c r="A95" s="24"/>
      <c r="B95" s="109" t="str">
        <f>Contract!B95</f>
        <v/>
      </c>
      <c r="C95" s="24" t="s">
        <v>143</v>
      </c>
      <c r="D95" s="26"/>
      <c r="E95" s="26"/>
      <c r="F95" s="26"/>
      <c r="G95" s="26"/>
      <c r="H95" s="26"/>
      <c r="I95" s="65" t="s">
        <v>144</v>
      </c>
      <c r="J95" s="239" t="str">
        <f>Contract!J95</f>
        <v/>
      </c>
      <c r="K95" s="241"/>
      <c r="L95" s="26"/>
      <c r="M95" s="26"/>
      <c r="N95" s="65" t="s">
        <v>145</v>
      </c>
      <c r="O95" s="239" t="str">
        <f>Contract!O95</f>
        <v/>
      </c>
      <c r="P95" s="241"/>
      <c r="Q95" s="26"/>
      <c r="R95" s="26"/>
      <c r="S95" s="26"/>
      <c r="T95" s="26"/>
      <c r="U95" s="26"/>
      <c r="V95" s="26"/>
      <c r="W95" s="26"/>
      <c r="X95" s="26"/>
      <c r="Y95" s="26"/>
      <c r="Z95" s="26"/>
      <c r="AA95" s="26"/>
      <c r="AB95" s="110" t="str">
        <f>Contract!AB95</f>
        <v>Coming Soon</v>
      </c>
      <c r="AC95" s="340"/>
      <c r="AD95" s="335"/>
      <c r="AE95" s="335"/>
      <c r="AF95" s="335"/>
      <c r="AG95" s="336"/>
    </row>
    <row r="96" spans="1:33" ht="15" customHeight="1">
      <c r="A96" s="27" t="s">
        <v>146</v>
      </c>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105"/>
      <c r="AC96" s="340"/>
      <c r="AD96" s="335"/>
      <c r="AE96" s="335"/>
      <c r="AF96" s="335"/>
      <c r="AG96" s="336"/>
    </row>
    <row r="97" spans="1:33" ht="15" customHeight="1" thickBot="1">
      <c r="A97" s="27"/>
      <c r="B97" s="124" t="s">
        <v>147</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105"/>
      <c r="AC97" s="340" t="s">
        <v>164</v>
      </c>
      <c r="AD97" s="335"/>
      <c r="AE97" s="335"/>
      <c r="AF97" s="335"/>
      <c r="AG97" s="336"/>
    </row>
    <row r="98" spans="1:33" ht="15" customHeight="1" thickBot="1">
      <c r="A98" s="30"/>
      <c r="B98" s="317" t="str">
        <f>Contract!B98</f>
        <v>Columbus, IN</v>
      </c>
      <c r="C98" s="318"/>
      <c r="D98" s="318"/>
      <c r="E98" s="318"/>
      <c r="F98" s="319"/>
      <c r="G98" s="24"/>
      <c r="H98" s="26"/>
      <c r="I98" s="26"/>
      <c r="J98" s="26"/>
      <c r="K98" s="26"/>
      <c r="L98" s="26"/>
      <c r="M98" s="26"/>
      <c r="N98" s="26"/>
      <c r="O98" s="26"/>
      <c r="P98" s="26"/>
      <c r="Q98" s="26"/>
      <c r="R98" s="26"/>
      <c r="S98" s="26"/>
      <c r="T98" s="26"/>
      <c r="U98" s="26"/>
      <c r="V98" s="26"/>
      <c r="W98" s="26"/>
      <c r="X98" s="26"/>
      <c r="Y98" s="26"/>
      <c r="Z98" s="26"/>
      <c r="AA98" s="31"/>
      <c r="AB98" s="110" t="str">
        <f>Contract!AB98</f>
        <v>Free</v>
      </c>
      <c r="AC98" s="340"/>
      <c r="AD98" s="335"/>
      <c r="AE98" s="335"/>
      <c r="AF98" s="335"/>
      <c r="AG98" s="336"/>
    </row>
    <row r="99" spans="1:33" ht="15" customHeight="1" thickBot="1">
      <c r="A99" s="27" t="s">
        <v>150</v>
      </c>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105"/>
      <c r="AC99" s="340"/>
      <c r="AD99" s="335"/>
      <c r="AE99" s="335"/>
      <c r="AF99" s="335"/>
      <c r="AG99" s="336"/>
    </row>
    <row r="100" spans="1:33" ht="15" customHeight="1" thickBot="1">
      <c r="A100" s="34"/>
      <c r="B100" s="123" t="s">
        <v>151</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6"/>
      <c r="AB100" s="110" t="str">
        <f>Contract!AB100</f>
        <v>Included</v>
      </c>
      <c r="AC100" s="337"/>
      <c r="AD100" s="338"/>
      <c r="AE100" s="338"/>
      <c r="AF100" s="338"/>
      <c r="AG100" s="339"/>
    </row>
    <row r="101" spans="1:33">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105"/>
    </row>
    <row r="102" spans="1:33">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105"/>
    </row>
    <row r="103" spans="1:3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105"/>
    </row>
    <row r="104" spans="1:33">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105"/>
    </row>
    <row r="105" spans="1:33">
      <c r="A105" s="70" t="s">
        <v>159</v>
      </c>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1" t="s">
        <v>160</v>
      </c>
    </row>
    <row r="106" spans="1:33">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105"/>
    </row>
    <row r="107" spans="1:33">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105"/>
    </row>
    <row r="108" spans="1:33">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105"/>
    </row>
    <row r="109" spans="1:33">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105"/>
    </row>
    <row r="110" spans="1:33">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105"/>
    </row>
    <row r="111" spans="1:33">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105"/>
    </row>
    <row r="112" spans="1:33">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105"/>
    </row>
    <row r="113" spans="1:28">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105"/>
    </row>
    <row r="114" spans="1:28" ht="1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06"/>
    </row>
    <row r="115" spans="1:28" ht="1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106"/>
    </row>
    <row r="116" spans="1:28" ht="1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106"/>
    </row>
    <row r="117" spans="1:28" ht="18">
      <c r="AB117" s="106"/>
    </row>
    <row r="118" spans="1:28">
      <c r="AB118" s="107"/>
    </row>
    <row r="119" spans="1:28">
      <c r="AB119" s="107"/>
    </row>
  </sheetData>
  <sheetProtection selectLockedCells="1"/>
  <mergeCells count="103">
    <mergeCell ref="B98:F98"/>
    <mergeCell ref="AE7:AE9"/>
    <mergeCell ref="AF8:AG9"/>
    <mergeCell ref="AF7:AG7"/>
    <mergeCell ref="AC11:AG13"/>
    <mergeCell ref="AC86:AG91"/>
    <mergeCell ref="AC92:AG96"/>
    <mergeCell ref="AC97:AG100"/>
    <mergeCell ref="AC83:AG85"/>
    <mergeCell ref="J95:K95"/>
    <mergeCell ref="O95:P95"/>
    <mergeCell ref="J74:P74"/>
    <mergeCell ref="J75:P75"/>
    <mergeCell ref="T75:X75"/>
    <mergeCell ref="J76:P76"/>
    <mergeCell ref="AF76:AG76"/>
    <mergeCell ref="AC77:AG82"/>
    <mergeCell ref="J82:R82"/>
    <mergeCell ref="I69:M69"/>
    <mergeCell ref="AC69:AG70"/>
    <mergeCell ref="K70:N70"/>
    <mergeCell ref="K71:N71"/>
    <mergeCell ref="AF71:AF72"/>
    <mergeCell ref="AG71:AG72"/>
    <mergeCell ref="K72:N72"/>
    <mergeCell ref="G59:K59"/>
    <mergeCell ref="AC59:AG61"/>
    <mergeCell ref="K60:Q60"/>
    <mergeCell ref="P62:T62"/>
    <mergeCell ref="AC62:AG68"/>
    <mergeCell ref="F68:H68"/>
    <mergeCell ref="AC51:AG53"/>
    <mergeCell ref="I52:O52"/>
    <mergeCell ref="I53:O53"/>
    <mergeCell ref="AC54:AG56"/>
    <mergeCell ref="B55:AB56"/>
    <mergeCell ref="J57:O57"/>
    <mergeCell ref="AC57:AG58"/>
    <mergeCell ref="AC44:AG45"/>
    <mergeCell ref="L46:M46"/>
    <mergeCell ref="AC46:AG48"/>
    <mergeCell ref="L47:M47"/>
    <mergeCell ref="AC49:AG50"/>
    <mergeCell ref="G50:L50"/>
    <mergeCell ref="E36:I36"/>
    <mergeCell ref="N36:S36"/>
    <mergeCell ref="AC36:AG38"/>
    <mergeCell ref="AC39:AG40"/>
    <mergeCell ref="AC41:AG43"/>
    <mergeCell ref="H43:O43"/>
    <mergeCell ref="K29:Q29"/>
    <mergeCell ref="AC29:AG30"/>
    <mergeCell ref="K30:Q30"/>
    <mergeCell ref="K31:Q31"/>
    <mergeCell ref="AC31:AG33"/>
    <mergeCell ref="B33:AB34"/>
    <mergeCell ref="AC34:AG35"/>
    <mergeCell ref="J35:Q35"/>
    <mergeCell ref="AC22:AF22"/>
    <mergeCell ref="J23:M23"/>
    <mergeCell ref="AC23:AF23"/>
    <mergeCell ref="AC24:AG25"/>
    <mergeCell ref="J26:O26"/>
    <mergeCell ref="AC26:AG28"/>
    <mergeCell ref="K27:Q27"/>
    <mergeCell ref="K28:Q28"/>
    <mergeCell ref="H19:M19"/>
    <mergeCell ref="AC19:AF19"/>
    <mergeCell ref="C20:G20"/>
    <mergeCell ref="J20:M20"/>
    <mergeCell ref="AC20:AF20"/>
    <mergeCell ref="J21:M21"/>
    <mergeCell ref="AC21:AF21"/>
    <mergeCell ref="E16:F16"/>
    <mergeCell ref="G16:M16"/>
    <mergeCell ref="AC16:AG17"/>
    <mergeCell ref="G17:M17"/>
    <mergeCell ref="H18:M18"/>
    <mergeCell ref="AC18:AF18"/>
    <mergeCell ref="K12:Q12"/>
    <mergeCell ref="B14:AB15"/>
    <mergeCell ref="AD14:AE15"/>
    <mergeCell ref="AF14:AG15"/>
    <mergeCell ref="G8:M8"/>
    <mergeCell ref="P8:S8"/>
    <mergeCell ref="AC8:AD9"/>
    <mergeCell ref="AC10:AG10"/>
    <mergeCell ref="K11:Q11"/>
    <mergeCell ref="S11:U11"/>
    <mergeCell ref="V11:AA11"/>
    <mergeCell ref="AD4:AG4"/>
    <mergeCell ref="J5:P5"/>
    <mergeCell ref="AC5:AC6"/>
    <mergeCell ref="AD5:AG5"/>
    <mergeCell ref="AD6:AE6"/>
    <mergeCell ref="G7:M7"/>
    <mergeCell ref="AC7:AD7"/>
    <mergeCell ref="A1:AB1"/>
    <mergeCell ref="AC1:AG1"/>
    <mergeCell ref="AD2:AG2"/>
    <mergeCell ref="B3:G3"/>
    <mergeCell ref="J3:M3"/>
    <mergeCell ref="AD3:AG3"/>
  </mergeCells>
  <dataValidations count="43">
    <dataValidation type="list" allowBlank="1" showInputMessage="1" showErrorMessage="1" sqref="B98:F98" xr:uid="{1132F88D-69B1-42D3-8DCA-B6D107C3482D}">
      <formula1>Pick_Up_List</formula1>
    </dataValidation>
    <dataValidation type="list" allowBlank="1" showInputMessage="1" showErrorMessage="1" sqref="J95:K95 O95:P95" xr:uid="{157BFF0E-0CED-40B2-A669-5A525A972AF0}">
      <formula1>Shirt_Size</formula1>
    </dataValidation>
    <dataValidation type="list" allowBlank="1" showInputMessage="1" showErrorMessage="1" sqref="J82:R82" xr:uid="{B59FB5D5-F48C-4EB5-927E-675087EA8FD7}">
      <formula1>Fridge_List</formula1>
    </dataValidation>
    <dataValidation type="list" allowBlank="1" showInputMessage="1" showErrorMessage="1" sqref="J76:P76" xr:uid="{2ADDEDE3-7FDE-4698-9090-F8FA846F010D}">
      <formula1>Solar_Adapters</formula1>
    </dataValidation>
    <dataValidation type="list" allowBlank="1" showInputMessage="1" showErrorMessage="1" sqref="T75:X75" xr:uid="{C3DF1475-8450-47E9-BAAC-4BBC8A63D6D5}">
      <formula1>Permanent_Install_List</formula1>
    </dataValidation>
    <dataValidation type="list" allowBlank="1" showInputMessage="1" showErrorMessage="1" sqref="J75:P75" xr:uid="{D651D6F7-EDCA-44F4-9A6C-F3410E9DF248}">
      <formula1>Permanent_Solar_List</formula1>
    </dataValidation>
    <dataValidation type="list" allowBlank="1" showInputMessage="1" showErrorMessage="1" sqref="J74:P74" xr:uid="{931D71FD-9A7A-47E0-85A5-8C7F379E2702}">
      <formula1>Portable_Solar_List</formula1>
    </dataValidation>
    <dataValidation type="list" allowBlank="1" showInputMessage="1" showErrorMessage="1" sqref="K70:N72" xr:uid="{1C66C96D-E720-41AC-8D83-F5D12CBF8F2B}">
      <formula1>EXT_Light_List</formula1>
    </dataValidation>
    <dataValidation type="list" allowBlank="1" showInputMessage="1" showErrorMessage="1" sqref="I69:M69" xr:uid="{5B9D9B0B-1ECD-4ABB-9C72-6C8EB5193928}">
      <formula1>Reading_Light_List</formula1>
    </dataValidation>
    <dataValidation type="list" allowBlank="1" showInputMessage="1" showErrorMessage="1" sqref="F68:H68" xr:uid="{62D8A9DE-5D6E-4387-8C5C-02D9F2423040}">
      <formula1>Cabin_Light_list</formula1>
    </dataValidation>
    <dataValidation type="list" allowBlank="1" showInputMessage="1" showErrorMessage="1" sqref="P62:T62" xr:uid="{C8CB1866-B38D-4699-9611-B8CA9BFA1861}">
      <formula1>GoalZero_Mount_List</formula1>
    </dataValidation>
    <dataValidation type="list" allowBlank="1" showInputMessage="1" showErrorMessage="1" sqref="K60:Q60" xr:uid="{DB3406A1-AFE6-473E-A2D0-1F6DEBC9D53A}">
      <formula1>GoalZero_List</formula1>
    </dataValidation>
    <dataValidation type="list" allowBlank="1" showInputMessage="1" showErrorMessage="1" sqref="G59:K59" xr:uid="{0F8E2C12-F2A1-409F-8DE7-44D6C3957251}">
      <formula1>Battery_Location_List</formula1>
    </dataValidation>
    <dataValidation type="list" allowBlank="1" showInputMessage="1" showErrorMessage="1" sqref="J57:O57" xr:uid="{5BDF1460-08F9-421F-8990-8FA9C2E73355}">
      <formula1>Battery_List</formula1>
    </dataValidation>
    <dataValidation type="list" allowBlank="1" showInputMessage="1" showErrorMessage="1" sqref="I53:O53" xr:uid="{84A385EF-4DFB-4D67-B518-4132F16CDDF0}">
      <formula1>Heat_List</formula1>
    </dataValidation>
    <dataValidation type="list" allowBlank="1" showInputMessage="1" showErrorMessage="1" sqref="I52:O52" xr:uid="{52A39FE7-FD2D-47A8-A618-87E0D64B2F57}">
      <formula1>Rooftop_AC_List</formula1>
    </dataValidation>
    <dataValidation type="list" allowBlank="1" showInputMessage="1" showErrorMessage="1" sqref="G50:L50" xr:uid="{DBDCA63B-FEA3-461B-86FB-20B929545A89}">
      <formula1>Fan_Type_List</formula1>
    </dataValidation>
    <dataValidation type="list" allowBlank="1" showInputMessage="1" showErrorMessage="1" sqref="L46:M47" xr:uid="{4E54FE7A-396E-4286-A770-5DEC20535D1A}">
      <formula1>TankMount_List</formula1>
    </dataValidation>
    <dataValidation type="list" allowBlank="1" showInputMessage="1" showErrorMessage="1" sqref="H43:O43" xr:uid="{4F81938B-0399-49CF-8ADA-314D70CDFD05}">
      <formula1>IF(Quote_Trailer_Model=Extreme_OffRoad,EOR_Toolbox,HD_Toolbox)</formula1>
    </dataValidation>
    <dataValidation type="list" allowBlank="1" showInputMessage="1" showErrorMessage="1" sqref="N36" xr:uid="{575E671E-7B94-479B-A8C3-30CE188FC6D4}">
      <formula1>IF(OR(Quote_Trailer_Model=Highway_Deluxe,$E$36=Ball_Only),Customer_Provided,Vehicle_Hitch_List)</formula1>
    </dataValidation>
    <dataValidation type="list" allowBlank="1" showInputMessage="1" showErrorMessage="1" sqref="E36:I36" xr:uid="{A316DDA2-0149-4E1B-9368-0A73719085C4}">
      <formula1>IF(Quote_Trailer_Model=Highway_Deluxe,Ball_Only,Trailer_Hitch_List)</formula1>
    </dataValidation>
    <dataValidation type="list" allowBlank="1" showInputMessage="1" showErrorMessage="1" sqref="J35:Q35" xr:uid="{5E48C89A-F82A-4FC5-ACA5-37B268B4A816}">
      <formula1>IF(Quote_Trailer_Model=Highway_Deluxe,HD_Spare_List,IF(Quote_Trailer_Model=MidRange_Deluxe,MR_Spare_List,IF(Quote_Trailer_Model=MidRange_XL,XL_Spare_List,EOR_Spare_List)))</formula1>
    </dataValidation>
    <dataValidation type="list" allowBlank="1" showInputMessage="1" showErrorMessage="1" sqref="J26:O26" xr:uid="{6034BAFA-EBE0-4BDE-B8CE-44765C254AE2}">
      <formula1>IF(RTT_List_Logic=TRUE,Roof_Rack_RTT_List,IF(Logic_Roof_Rack_Required=TRUE,Roof_Rack_Required,Roof_Rack_List))</formula1>
    </dataValidation>
    <dataValidation type="list" allowBlank="1" showInputMessage="1" showErrorMessage="1" sqref="K31:Q31" xr:uid="{5487A4B7-CF5D-40C4-B6A3-2A1C347CB5C8}">
      <formula1>RTT_List</formula1>
    </dataValidation>
    <dataValidation type="list" allowBlank="1" showInputMessage="1" showErrorMessage="1" sqref="K30:Q30" xr:uid="{9D114EED-CA61-4E61-AB36-3D9ED99CE356}">
      <formula1>Rooftop_Storage_List</formula1>
    </dataValidation>
    <dataValidation type="list" allowBlank="1" showInputMessage="1" showErrorMessage="1" sqref="K29:Q29" xr:uid="{A8FB2FAE-AB9E-4B03-8CE8-9FA37EA352F3}">
      <formula1>Rooftop_Water_List</formula1>
    </dataValidation>
    <dataValidation type="list" allowBlank="1" showInputMessage="1" showErrorMessage="1" sqref="K28:Q28" xr:uid="{D1597E4A-3315-4F47-9AEF-44DB651A286B}">
      <formula1>DVR_Awning_List</formula1>
    </dataValidation>
    <dataValidation type="list" allowBlank="1" showInputMessage="1" showErrorMessage="1" sqref="K27:Q27" xr:uid="{E54BD607-AFB6-4C91-9B99-C3B49A399355}">
      <formula1>PAS_Awning_List</formula1>
    </dataValidation>
    <dataValidation type="list" allowBlank="1" showInputMessage="1" showErrorMessage="1" sqref="J23:M23" xr:uid="{4F545CF2-0490-405F-833F-ABF550098D97}">
      <formula1>Rear_Shelf_List</formula1>
    </dataValidation>
    <dataValidation type="list" allowBlank="1" showInputMessage="1" showErrorMessage="1" sqref="J21:M21" xr:uid="{C8FF3578-92AE-478F-A433-ECD62464EFB1}">
      <formula1>Side_Table_List</formula1>
    </dataValidation>
    <dataValidation type="list" allowBlank="1" showInputMessage="1" showErrorMessage="1" sqref="J20:M20" xr:uid="{7AF553EC-6A2B-4ACB-9EBE-C9A0B65DEA16}">
      <formula1>Slide_Out_List</formula1>
    </dataValidation>
    <dataValidation type="list" allowBlank="1" showInputMessage="1" showErrorMessage="1" sqref="H19:M19" xr:uid="{83D8E373-086F-4381-85C0-94E143778B16}">
      <formula1>IF(Logic_Bunk_Bed=TRUE,Cabinet_Door_FrontOnly,Cabinet_Doors_List)</formula1>
    </dataValidation>
    <dataValidation type="list" allowBlank="1" showInputMessage="1" showErrorMessage="1" sqref="G17:M17" xr:uid="{BF7201BC-8CD7-4CB1-9A13-80B8FBA3F51A}">
      <formula1>IF(Logic_Bunk_Bed=TRUE,Galley_SolidWall_Required,IF(Logic_Drawers=TRUE,Galley_CloseOFF_Required,Galley_CloseOFF_List))</formula1>
    </dataValidation>
    <dataValidation type="list" allowBlank="1" showInputMessage="1" showErrorMessage="1" sqref="H18:M18" xr:uid="{6E0B5DD5-DFF6-466A-9795-40FEC36D1809}">
      <formula1>Drawer_List</formula1>
    </dataValidation>
    <dataValidation type="list" allowBlank="1" showInputMessage="1" showErrorMessage="1" sqref="E16:F16" xr:uid="{B0D19D1F-5AB9-404D-B05E-A1C00B435D2D}">
      <formula1>IF(Quote_Trailer_Size&lt;&gt;"5' x 8'",Galley_Depth_List,Galley_Standard)</formula1>
    </dataValidation>
    <dataValidation type="list" allowBlank="1" showInputMessage="1" showErrorMessage="1" sqref="S11:U11" xr:uid="{0A432865-9AA1-4B67-9EDC-B4C77A4B6139}">
      <formula1>Door_Color_List</formula1>
    </dataValidation>
    <dataValidation type="list" allowBlank="1" showInputMessage="1" showErrorMessage="1" sqref="K11:Q11" xr:uid="{FCE0196F-1A11-4CA8-925D-5549A8D49AC6}">
      <formula1>IF(Quote_Add_2nd_Door="x",Second_Door_List,Single_Door_List)</formula1>
    </dataValidation>
    <dataValidation type="list" allowBlank="1" showInputMessage="1" showErrorMessage="1" sqref="P8:S8" xr:uid="{CA9CE0BB-A89F-4744-9D9F-DB16801432E1}">
      <formula1>DPlate_Color</formula1>
    </dataValidation>
    <dataValidation type="list" allowBlank="1" showInputMessage="1" showErrorMessage="1" sqref="G8:M8" xr:uid="{F9FC6CA9-6AE5-4F6D-8AB0-6CBA3B523F1B}">
      <formula1>Side_DPlate_List</formula1>
    </dataValidation>
    <dataValidation type="list" allowBlank="1" showInputMessage="1" showErrorMessage="1" sqref="G7:M7" xr:uid="{B87C1DC7-8B31-4D68-BBDE-3CD49929C00F}">
      <formula1>Front_DPlate_List</formula1>
    </dataValidation>
    <dataValidation type="list" allowBlank="1" showInputMessage="1" showErrorMessage="1" sqref="J5:P5" xr:uid="{3FF530A2-48A4-4A67-B559-AEA8E4AD0A08}">
      <formula1>IF(Quote_Color_Standard="x",Standard_Color_List,IF(Quote_Color_Premium="x",Premium_Color_List,"Select One"))</formula1>
    </dataValidation>
    <dataValidation type="list" allowBlank="1" showInputMessage="1" showErrorMessage="1" sqref="B3:G3" xr:uid="{A6B70748-2454-4B48-A50F-CD038ABB2C84}">
      <formula1>Trailer_Model_List</formula1>
    </dataValidation>
    <dataValidation type="list" allowBlank="1" showInputMessage="1" showErrorMessage="1" sqref="AG6" xr:uid="{32788798-3A02-4E3A-8397-B27A7B826EFF}">
      <formula1>States_List</formula1>
    </dataValidation>
  </dataValidations>
  <pageMargins left="0.75" right="0.75" top="1" bottom="0.25" header="0" footer="0"/>
  <pageSetup scale="38" orientation="portrait" horizontalDpi="300" verticalDpi="300" r:id="rId1"/>
  <headerFooter alignWithMargins="0">
    <oddHeader xml:space="preserve">&amp;L&amp;"Roboto,Regular"&amp;11Hiker Trailers
2860 N National Rd.  Suite B
Columbus, IN 47201&amp;C&amp;"Roboto,Bold"&amp;36&amp;K000000Hiker Trailer Custom Build
&amp;24- Quote -
&amp;36
&amp;R&amp;"Roboto,Regular"&amp;11hikertrailers@numagroupinc.com
812-975-5300
M-F 9a-4p (est)
Sat. by Appt. 
</oddHead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1A65692-90E8-4D25-B9CC-868315DEF386}">
          <x14:formula1>
            <xm:f>IF($B$3=Data!$D$6,EOR_Trailer_Size,Trailer_Size)</xm:f>
          </x14:formula1>
          <xm:sqref>J3:M3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73636-141D-495B-97BB-E2F239F0F2B1}">
  <sheetPr>
    <pageSetUpPr fitToPage="1"/>
  </sheetPr>
  <dimension ref="A1:AG117"/>
  <sheetViews>
    <sheetView view="pageLayout" topLeftCell="A5" zoomScaleNormal="100" workbookViewId="0">
      <selection activeCell="AC62" sqref="AC62:AG64"/>
    </sheetView>
  </sheetViews>
  <sheetFormatPr defaultColWidth="8.625" defaultRowHeight="15"/>
  <cols>
    <col min="1" max="27" width="4" style="1" customWidth="1"/>
    <col min="28" max="28" width="19.875" style="149" customWidth="1"/>
    <col min="29" max="32" width="14.125" style="1" customWidth="1"/>
    <col min="33" max="33" width="11.875" style="1" customWidth="1"/>
    <col min="34" max="16384" width="8.625" style="1"/>
  </cols>
  <sheetData>
    <row r="1" spans="1:33" ht="15" customHeight="1" thickBot="1">
      <c r="A1" s="595" t="s">
        <v>0</v>
      </c>
      <c r="B1" s="596"/>
      <c r="C1" s="596"/>
      <c r="D1" s="596"/>
      <c r="E1" s="596"/>
      <c r="F1" s="596"/>
      <c r="G1" s="596"/>
      <c r="H1" s="596"/>
      <c r="I1" s="596"/>
      <c r="J1" s="596"/>
      <c r="K1" s="596"/>
      <c r="L1" s="596"/>
      <c r="M1" s="596"/>
      <c r="N1" s="596"/>
      <c r="O1" s="596"/>
      <c r="P1" s="596"/>
      <c r="Q1" s="596"/>
      <c r="R1" s="596"/>
      <c r="S1" s="596"/>
      <c r="T1" s="596"/>
      <c r="U1" s="596"/>
      <c r="V1" s="596"/>
      <c r="W1" s="596"/>
      <c r="X1" s="596"/>
      <c r="Y1" s="596"/>
      <c r="Z1" s="596"/>
      <c r="AA1" s="596"/>
      <c r="AB1" s="597"/>
      <c r="AC1" s="598" t="s">
        <v>165</v>
      </c>
      <c r="AD1" s="598"/>
      <c r="AE1" s="598"/>
      <c r="AF1" s="598"/>
      <c r="AG1" s="599"/>
    </row>
    <row r="2" spans="1:33" ht="15" customHeight="1" thickBot="1">
      <c r="A2" s="28" t="s">
        <v>2</v>
      </c>
      <c r="B2" s="25"/>
      <c r="C2" s="25"/>
      <c r="D2" s="25"/>
      <c r="E2" s="25"/>
      <c r="F2" s="25"/>
      <c r="G2" s="25"/>
      <c r="H2" s="25"/>
      <c r="I2" s="29" t="s">
        <v>3</v>
      </c>
      <c r="J2" s="25"/>
      <c r="K2" s="25"/>
      <c r="L2" s="25"/>
      <c r="M2" s="25"/>
      <c r="N2" s="25"/>
      <c r="O2" s="29"/>
      <c r="P2" s="25"/>
      <c r="Q2" s="25"/>
      <c r="R2" s="25"/>
      <c r="S2" s="25"/>
      <c r="T2" s="25"/>
      <c r="U2" s="25"/>
      <c r="V2" s="25"/>
      <c r="W2" s="25"/>
      <c r="X2" s="25"/>
      <c r="Y2" s="25"/>
      <c r="Z2" s="25"/>
      <c r="AA2" s="25"/>
      <c r="AB2" s="101"/>
      <c r="AC2" s="37" t="s">
        <v>4</v>
      </c>
      <c r="AD2" s="261">
        <f>Customer_Name</f>
        <v>0</v>
      </c>
      <c r="AE2" s="261"/>
      <c r="AF2" s="261"/>
      <c r="AG2" s="262"/>
    </row>
    <row r="3" spans="1:33" ht="15" customHeight="1" thickBot="1">
      <c r="A3" s="30"/>
      <c r="B3" s="239">
        <f>'Final Build Sheet'!B3</f>
        <v>0</v>
      </c>
      <c r="C3" s="240"/>
      <c r="D3" s="240"/>
      <c r="E3" s="240"/>
      <c r="F3" s="240"/>
      <c r="G3" s="241"/>
      <c r="H3" s="24"/>
      <c r="I3" s="31"/>
      <c r="J3" s="239">
        <f>'Final Build Sheet'!J3</f>
        <v>0</v>
      </c>
      <c r="K3" s="240"/>
      <c r="L3" s="240"/>
      <c r="M3" s="241"/>
      <c r="N3" s="24"/>
      <c r="O3" s="26"/>
      <c r="P3" s="26"/>
      <c r="Q3" s="26"/>
      <c r="R3" s="26"/>
      <c r="S3" s="26"/>
      <c r="T3" s="26"/>
      <c r="U3" s="26"/>
      <c r="V3" s="26"/>
      <c r="W3" s="26"/>
      <c r="X3" s="26"/>
      <c r="Y3" s="26"/>
      <c r="Z3" s="26"/>
      <c r="AA3" s="31"/>
      <c r="AB3" s="110" t="str">
        <f>'Final Build Sheet'!AB3</f>
        <v>Select Size/Model</v>
      </c>
      <c r="AC3" s="38" t="s">
        <v>5</v>
      </c>
      <c r="AD3" s="263">
        <f>Customer_Phone</f>
        <v>0</v>
      </c>
      <c r="AE3" s="264"/>
      <c r="AF3" s="264"/>
      <c r="AG3" s="265"/>
    </row>
    <row r="4" spans="1:33" ht="15" customHeight="1" thickBot="1">
      <c r="A4" s="27" t="s">
        <v>6</v>
      </c>
      <c r="B4" s="47"/>
      <c r="C4" s="49"/>
      <c r="D4" s="47"/>
      <c r="E4" s="47"/>
      <c r="F4" s="47"/>
      <c r="G4" s="47"/>
      <c r="H4" s="47"/>
      <c r="I4" s="45"/>
      <c r="J4" s="45" t="s">
        <v>7</v>
      </c>
      <c r="K4" s="49"/>
      <c r="L4" s="47"/>
      <c r="M4" s="47"/>
      <c r="N4" s="47"/>
      <c r="O4" s="45"/>
      <c r="P4" s="45"/>
      <c r="Q4" s="47"/>
      <c r="R4" s="47"/>
      <c r="S4" s="47"/>
      <c r="T4" s="47"/>
      <c r="U4" s="47"/>
      <c r="V4" s="45"/>
      <c r="W4" s="45"/>
      <c r="X4" s="45"/>
      <c r="Y4" s="45"/>
      <c r="Z4" s="45"/>
      <c r="AA4" s="45"/>
      <c r="AB4" s="102"/>
      <c r="AC4" s="39" t="s">
        <v>8</v>
      </c>
      <c r="AD4" s="464">
        <f>Customer_Email</f>
        <v>0</v>
      </c>
      <c r="AE4" s="465"/>
      <c r="AF4" s="465"/>
      <c r="AG4" s="466"/>
    </row>
    <row r="5" spans="1:33" ht="15" customHeight="1" thickBot="1">
      <c r="A5" s="51"/>
      <c r="B5" s="108" t="str">
        <f>'Final Build Sheet'!B5</f>
        <v/>
      </c>
      <c r="C5" s="24" t="s">
        <v>9</v>
      </c>
      <c r="D5" s="26"/>
      <c r="E5" s="31"/>
      <c r="F5" s="109" t="str">
        <f>'Final Build Sheet'!F5</f>
        <v/>
      </c>
      <c r="G5" s="24" t="s">
        <v>10</v>
      </c>
      <c r="H5" s="26"/>
      <c r="I5" s="31"/>
      <c r="J5" s="239" t="str">
        <f>'Final Build Sheet'!J5</f>
        <v/>
      </c>
      <c r="K5" s="240"/>
      <c r="L5" s="240"/>
      <c r="M5" s="240"/>
      <c r="N5" s="240"/>
      <c r="O5" s="240"/>
      <c r="P5" s="241"/>
      <c r="Q5" s="43"/>
      <c r="R5" s="43"/>
      <c r="S5" s="43"/>
      <c r="T5" s="43"/>
      <c r="U5" s="43"/>
      <c r="V5" s="26"/>
      <c r="W5" s="26"/>
      <c r="X5" s="26"/>
      <c r="Y5" s="26"/>
      <c r="Z5" s="26"/>
      <c r="AA5" s="26"/>
      <c r="AB5" s="110" t="str">
        <f>'Final Build Sheet'!AB5</f>
        <v>Select One</v>
      </c>
      <c r="AC5" s="269" t="s">
        <v>11</v>
      </c>
      <c r="AD5" s="271">
        <f>Customer_Address_1</f>
        <v>0</v>
      </c>
      <c r="AE5" s="272"/>
      <c r="AF5" s="272"/>
      <c r="AG5" s="273"/>
    </row>
    <row r="6" spans="1:33" ht="15" customHeight="1" thickBot="1">
      <c r="A6" s="27" t="s">
        <v>12</v>
      </c>
      <c r="B6" s="45"/>
      <c r="C6" s="45"/>
      <c r="D6" s="45"/>
      <c r="E6" s="45"/>
      <c r="F6" s="45"/>
      <c r="G6" s="45"/>
      <c r="H6" s="45"/>
      <c r="I6" s="45"/>
      <c r="J6" s="45"/>
      <c r="K6" s="45"/>
      <c r="L6" s="45"/>
      <c r="M6" s="45"/>
      <c r="N6" s="45"/>
      <c r="O6" s="45"/>
      <c r="P6" s="45"/>
      <c r="Q6" s="45"/>
      <c r="R6" s="45"/>
      <c r="S6" s="45"/>
      <c r="T6" s="45"/>
      <c r="U6" s="45"/>
      <c r="V6" s="45"/>
      <c r="W6" s="45"/>
      <c r="X6" s="45"/>
      <c r="Y6" s="45"/>
      <c r="Z6" s="45"/>
      <c r="AA6" s="45"/>
      <c r="AB6" s="102"/>
      <c r="AC6" s="270"/>
      <c r="AD6" s="274">
        <f>Customer_Address_2</f>
        <v>0</v>
      </c>
      <c r="AE6" s="275"/>
      <c r="AF6" s="10" t="s">
        <v>13</v>
      </c>
      <c r="AG6" s="73" t="str">
        <f>'Final Build Sheet'!AG6</f>
        <v>CA</v>
      </c>
    </row>
    <row r="7" spans="1:33" ht="15" customHeight="1" thickBot="1">
      <c r="A7" s="32"/>
      <c r="B7" s="108" t="str">
        <f>'Final Build Sheet'!B7</f>
        <v/>
      </c>
      <c r="C7" s="45" t="s">
        <v>15</v>
      </c>
      <c r="D7" s="45"/>
      <c r="E7" s="45"/>
      <c r="F7" s="46" t="s">
        <v>16</v>
      </c>
      <c r="G7" s="239" t="str">
        <f>'Final Build Sheet'!G7</f>
        <v/>
      </c>
      <c r="H7" s="240"/>
      <c r="I7" s="240"/>
      <c r="J7" s="240"/>
      <c r="K7" s="240"/>
      <c r="L7" s="240"/>
      <c r="M7" s="241"/>
      <c r="N7" s="45"/>
      <c r="O7" s="45"/>
      <c r="P7" s="45" t="s">
        <v>6</v>
      </c>
      <c r="Q7" s="45"/>
      <c r="R7" s="45"/>
      <c r="S7" s="45"/>
      <c r="T7" s="45"/>
      <c r="U7" s="45"/>
      <c r="V7" s="45"/>
      <c r="W7" s="45"/>
      <c r="X7" s="45"/>
      <c r="Y7" s="45"/>
      <c r="Z7" s="45"/>
      <c r="AA7" s="45"/>
      <c r="AB7" s="110">
        <f>'Final Build Sheet'!AB7</f>
        <v>0</v>
      </c>
      <c r="AC7" s="625" t="s">
        <v>153</v>
      </c>
      <c r="AD7" s="609"/>
      <c r="AE7" s="608" t="s">
        <v>166</v>
      </c>
      <c r="AF7" s="609"/>
      <c r="AG7" s="71" t="s">
        <v>167</v>
      </c>
    </row>
    <row r="8" spans="1:33" ht="15" customHeight="1" thickBot="1">
      <c r="A8" s="30"/>
      <c r="B8" s="108" t="str">
        <f>'Final Build Sheet'!B8</f>
        <v/>
      </c>
      <c r="C8" s="24" t="s">
        <v>18</v>
      </c>
      <c r="D8" s="26"/>
      <c r="E8" s="43"/>
      <c r="F8" s="33" t="s">
        <v>16</v>
      </c>
      <c r="G8" s="239" t="str">
        <f>'Final Build Sheet'!G8</f>
        <v/>
      </c>
      <c r="H8" s="240"/>
      <c r="I8" s="240"/>
      <c r="J8" s="240"/>
      <c r="K8" s="240"/>
      <c r="L8" s="240"/>
      <c r="M8" s="241"/>
      <c r="N8" s="52"/>
      <c r="O8" s="62"/>
      <c r="P8" s="239" t="str">
        <f>'Final Build Sheet'!P8</f>
        <v/>
      </c>
      <c r="Q8" s="240"/>
      <c r="R8" s="240"/>
      <c r="S8" s="241"/>
      <c r="T8" s="52"/>
      <c r="U8" s="43"/>
      <c r="V8" s="26"/>
      <c r="W8" s="26"/>
      <c r="X8" s="26"/>
      <c r="Y8" s="26"/>
      <c r="Z8" s="26"/>
      <c r="AA8" s="31"/>
      <c r="AB8" s="110">
        <f>'Final Build Sheet'!AB8</f>
        <v>0</v>
      </c>
      <c r="AC8" s="184">
        <f>Contract_Date</f>
        <v>44562</v>
      </c>
      <c r="AD8" s="185"/>
      <c r="AE8" s="346"/>
      <c r="AF8" s="348"/>
      <c r="AG8" s="610"/>
    </row>
    <row r="9" spans="1:33" ht="15" customHeight="1" thickBot="1">
      <c r="A9" s="27" t="s">
        <v>20</v>
      </c>
      <c r="B9" s="45"/>
      <c r="C9" s="45"/>
      <c r="D9" s="45"/>
      <c r="E9" s="45"/>
      <c r="F9" s="45"/>
      <c r="G9" s="45"/>
      <c r="H9" s="45"/>
      <c r="I9" s="45"/>
      <c r="J9" s="45"/>
      <c r="K9" s="45"/>
      <c r="L9" s="45"/>
      <c r="M9" s="45"/>
      <c r="N9" s="45"/>
      <c r="O9" s="45"/>
      <c r="P9" s="45"/>
      <c r="Q9" s="45"/>
      <c r="R9" s="45"/>
      <c r="S9" s="45"/>
      <c r="T9" s="45"/>
      <c r="U9" s="45"/>
      <c r="V9" s="45"/>
      <c r="W9" s="45"/>
      <c r="X9" s="45"/>
      <c r="Y9" s="45"/>
      <c r="Z9" s="45"/>
      <c r="AA9" s="45"/>
      <c r="AB9" s="102"/>
      <c r="AC9" s="186"/>
      <c r="AD9" s="187"/>
      <c r="AE9" s="337"/>
      <c r="AF9" s="339"/>
      <c r="AG9" s="611"/>
    </row>
    <row r="10" spans="1:33" ht="15" customHeight="1" thickBot="1">
      <c r="A10" s="27"/>
      <c r="B10" s="45" t="s">
        <v>21</v>
      </c>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102"/>
      <c r="AC10" s="606" t="s">
        <v>168</v>
      </c>
      <c r="AD10" s="606"/>
      <c r="AE10" s="606"/>
      <c r="AF10" s="606"/>
      <c r="AG10" s="607"/>
    </row>
    <row r="11" spans="1:33" ht="15" customHeight="1" thickBot="1">
      <c r="A11" s="32"/>
      <c r="B11" s="108" t="str">
        <f>'Final Build Sheet'!B11</f>
        <v/>
      </c>
      <c r="C11" s="45" t="s">
        <v>23</v>
      </c>
      <c r="D11" s="45"/>
      <c r="E11" s="45"/>
      <c r="F11" s="45"/>
      <c r="G11" s="45"/>
      <c r="H11" s="45"/>
      <c r="I11" s="46"/>
      <c r="J11" s="46" t="s">
        <v>24</v>
      </c>
      <c r="K11" s="239">
        <f>'Final Build Sheet'!K11</f>
        <v>0</v>
      </c>
      <c r="L11" s="240"/>
      <c r="M11" s="240"/>
      <c r="N11" s="240"/>
      <c r="O11" s="240"/>
      <c r="P11" s="240"/>
      <c r="Q11" s="241"/>
      <c r="R11" s="45"/>
      <c r="S11" s="239">
        <f>'Final Build Sheet'!S11</f>
        <v>0</v>
      </c>
      <c r="T11" s="240"/>
      <c r="U11" s="241"/>
      <c r="V11" s="331" t="str">
        <f>IF(Quote_Door_Color="","*Choose a Color","")</f>
        <v>*Choose a Color</v>
      </c>
      <c r="W11" s="332"/>
      <c r="X11" s="332"/>
      <c r="Y11" s="332"/>
      <c r="Z11" s="332"/>
      <c r="AA11" s="333"/>
      <c r="AB11" s="110" t="str">
        <f>'Final Build Sheet'!AB11</f>
        <v>Error</v>
      </c>
      <c r="AC11" s="497">
        <f>Build_Number</f>
        <v>23000</v>
      </c>
      <c r="AD11" s="497"/>
      <c r="AE11" s="497"/>
      <c r="AF11" s="497"/>
      <c r="AG11" s="498"/>
    </row>
    <row r="12" spans="1:33" ht="15" customHeight="1" thickBot="1">
      <c r="A12" s="30"/>
      <c r="B12" s="108" t="str">
        <f>'Final Build Sheet'!B12</f>
        <v/>
      </c>
      <c r="C12" s="24" t="s">
        <v>26</v>
      </c>
      <c r="D12" s="26"/>
      <c r="E12" s="26"/>
      <c r="F12" s="26"/>
      <c r="G12" s="26"/>
      <c r="H12" s="26"/>
      <c r="I12" s="26"/>
      <c r="J12" s="26"/>
      <c r="K12" s="249" t="str">
        <f>IF(ISNA(AB11),"*Redo Door Selection","")</f>
        <v/>
      </c>
      <c r="L12" s="249"/>
      <c r="M12" s="249"/>
      <c r="N12" s="249"/>
      <c r="O12" s="249"/>
      <c r="P12" s="249"/>
      <c r="Q12" s="249"/>
      <c r="R12" s="26"/>
      <c r="S12" s="26" t="s">
        <v>6</v>
      </c>
      <c r="T12" s="26"/>
      <c r="U12" s="26"/>
      <c r="V12" s="26"/>
      <c r="W12" s="26"/>
      <c r="X12" s="26"/>
      <c r="Y12" s="26"/>
      <c r="Z12" s="26"/>
      <c r="AA12" s="31"/>
      <c r="AB12" s="110">
        <f>'Final Build Sheet'!AB12</f>
        <v>0</v>
      </c>
      <c r="AC12" s="500"/>
      <c r="AD12" s="500"/>
      <c r="AE12" s="500"/>
      <c r="AF12" s="500"/>
      <c r="AG12" s="501"/>
    </row>
    <row r="13" spans="1:33" ht="15" customHeight="1" thickBot="1">
      <c r="A13" s="27" t="s">
        <v>28</v>
      </c>
      <c r="B13" s="45"/>
      <c r="C13" s="45"/>
      <c r="D13" s="45"/>
      <c r="E13" s="63"/>
      <c r="F13" s="63"/>
      <c r="G13" s="63"/>
      <c r="H13" s="63"/>
      <c r="I13" s="63"/>
      <c r="J13" s="63"/>
      <c r="K13" s="63"/>
      <c r="L13" s="63"/>
      <c r="M13" s="63"/>
      <c r="N13" s="63"/>
      <c r="O13" s="63"/>
      <c r="P13" s="63"/>
      <c r="Q13" s="63"/>
      <c r="R13" s="63"/>
      <c r="S13" s="63"/>
      <c r="T13" s="63"/>
      <c r="U13" s="63"/>
      <c r="V13" s="63"/>
      <c r="W13" s="63"/>
      <c r="X13" s="63"/>
      <c r="Y13" s="63"/>
      <c r="Z13" s="63"/>
      <c r="AA13" s="63"/>
      <c r="AB13" s="103"/>
      <c r="AC13" s="503"/>
      <c r="AD13" s="503"/>
      <c r="AE13" s="503"/>
      <c r="AF13" s="503"/>
      <c r="AG13" s="504"/>
    </row>
    <row r="14" spans="1:33" ht="15" customHeight="1" thickBot="1">
      <c r="A14" s="27"/>
      <c r="B14" s="329" t="s">
        <v>30</v>
      </c>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330"/>
      <c r="AC14" s="150" t="s">
        <v>169</v>
      </c>
      <c r="AD14" s="72" t="s">
        <v>170</v>
      </c>
      <c r="AE14" s="67" t="s">
        <v>171</v>
      </c>
      <c r="AF14" s="75" t="s">
        <v>172</v>
      </c>
      <c r="AG14" s="68" t="s">
        <v>173</v>
      </c>
    </row>
    <row r="15" spans="1:33" ht="15" customHeight="1" thickBot="1">
      <c r="A15" s="27"/>
      <c r="B15" s="329"/>
      <c r="C15" s="329"/>
      <c r="D15" s="329"/>
      <c r="E15" s="329"/>
      <c r="F15" s="329"/>
      <c r="G15" s="329"/>
      <c r="H15" s="329"/>
      <c r="I15" s="329"/>
      <c r="J15" s="329"/>
      <c r="K15" s="329"/>
      <c r="L15" s="329"/>
      <c r="M15" s="329"/>
      <c r="N15" s="329"/>
      <c r="O15" s="329"/>
      <c r="P15" s="329"/>
      <c r="Q15" s="329"/>
      <c r="R15" s="329"/>
      <c r="S15" s="329"/>
      <c r="T15" s="329"/>
      <c r="U15" s="329"/>
      <c r="V15" s="329"/>
      <c r="W15" s="329"/>
      <c r="X15" s="329"/>
      <c r="Y15" s="329"/>
      <c r="Z15" s="329"/>
      <c r="AA15" s="329"/>
      <c r="AB15" s="330"/>
      <c r="AC15" s="144" t="s">
        <v>174</v>
      </c>
      <c r="AD15" s="72" t="s">
        <v>175</v>
      </c>
      <c r="AE15" s="75"/>
      <c r="AF15" s="75"/>
      <c r="AG15" s="74"/>
    </row>
    <row r="16" spans="1:33" ht="15" customHeight="1" thickBot="1">
      <c r="A16" s="32"/>
      <c r="B16" s="45" t="s">
        <v>33</v>
      </c>
      <c r="C16" s="45"/>
      <c r="D16" s="45"/>
      <c r="E16" s="317" t="str">
        <f>'Final Build Sheet'!E16</f>
        <v>17"</v>
      </c>
      <c r="F16" s="319"/>
      <c r="G16" s="327" t="str">
        <f>IF(ISNA(AB16),"*Select Size",IF(AND(Quote_Trailer_Size=Size_5x8,Quote_Galley_Depth=Data!CF4),"*Redo Galley Selection",""))</f>
        <v/>
      </c>
      <c r="H16" s="328"/>
      <c r="I16" s="328"/>
      <c r="J16" s="328"/>
      <c r="K16" s="328"/>
      <c r="L16" s="328"/>
      <c r="M16" s="328"/>
      <c r="N16" s="45"/>
      <c r="O16" s="109" t="str">
        <f>'Final Build Sheet'!O16</f>
        <v/>
      </c>
      <c r="P16" s="45" t="str">
        <f>IF(AND(Quote_Galley_Depth=Galley_Standard,Quote_Trailer_Size=Size_5x10),Add_Bunk_Beds,IF(AND(Quote_Trailer_Size=Size_5x10,Quote_Galley_Depth&lt;&gt;Galley_Standard),No_Bunks_Galley,No_Bunks_Size))</f>
        <v>Bunk Beds Require 10' Trailer</v>
      </c>
      <c r="Q16" s="45"/>
      <c r="R16" s="45"/>
      <c r="S16" s="45"/>
      <c r="T16" s="45"/>
      <c r="U16" s="45"/>
      <c r="V16" s="45"/>
      <c r="W16" s="45"/>
      <c r="X16" s="45"/>
      <c r="Y16" s="45"/>
      <c r="Z16" s="45"/>
      <c r="AA16" s="45"/>
      <c r="AB16" s="110" t="str">
        <f>'Final Build Sheet'!AB16</f>
        <v>Standard</v>
      </c>
      <c r="AC16" s="604" t="s">
        <v>176</v>
      </c>
      <c r="AD16" s="604"/>
      <c r="AE16" s="604"/>
      <c r="AF16" s="604"/>
      <c r="AG16" s="605"/>
    </row>
    <row r="17" spans="1:33" ht="15" customHeight="1" thickBot="1">
      <c r="A17" s="32"/>
      <c r="B17" s="64" t="s">
        <v>36</v>
      </c>
      <c r="C17" s="53"/>
      <c r="D17" s="53"/>
      <c r="E17" s="53"/>
      <c r="F17" s="53"/>
      <c r="G17" s="242" t="str">
        <f>'Final Build Sheet'!G17</f>
        <v>Open</v>
      </c>
      <c r="H17" s="243"/>
      <c r="I17" s="243"/>
      <c r="J17" s="243"/>
      <c r="K17" s="243"/>
      <c r="L17" s="243"/>
      <c r="M17" s="244"/>
      <c r="N17" s="45" t="str">
        <f>IF(OR(Drawer_Compatible=FALSE,Bunk_Compatible=FALSE),"*Redo Galley Selection","")</f>
        <v/>
      </c>
      <c r="O17" s="45"/>
      <c r="P17" s="45"/>
      <c r="Q17" s="45"/>
      <c r="R17" s="45"/>
      <c r="S17" s="45"/>
      <c r="T17" s="45"/>
      <c r="U17" s="45"/>
      <c r="V17" s="45"/>
      <c r="W17" s="45"/>
      <c r="X17" s="45"/>
      <c r="Y17" s="45"/>
      <c r="Z17" s="45"/>
      <c r="AA17" s="45"/>
      <c r="AB17" s="110" t="str">
        <f>'Final Build Sheet'!AB17</f>
        <v>Standard</v>
      </c>
      <c r="AC17" s="347"/>
      <c r="AD17" s="347"/>
      <c r="AE17" s="347"/>
      <c r="AF17" s="347"/>
      <c r="AG17" s="348"/>
    </row>
    <row r="18" spans="1:33" ht="15" customHeight="1" thickBot="1">
      <c r="A18" s="32"/>
      <c r="B18" s="108" t="str">
        <f>'Final Build Sheet'!B18</f>
        <v/>
      </c>
      <c r="C18" s="45" t="s">
        <v>38</v>
      </c>
      <c r="D18" s="45"/>
      <c r="E18" s="45"/>
      <c r="F18" s="45"/>
      <c r="G18" s="46" t="s">
        <v>16</v>
      </c>
      <c r="H18" s="239" t="str">
        <f>'Final Build Sheet'!H18</f>
        <v/>
      </c>
      <c r="I18" s="240"/>
      <c r="J18" s="240"/>
      <c r="K18" s="240"/>
      <c r="L18" s="240"/>
      <c r="M18" s="241"/>
      <c r="N18" s="45"/>
      <c r="O18" s="45"/>
      <c r="P18" s="45"/>
      <c r="Q18" s="45"/>
      <c r="R18" s="45"/>
      <c r="S18" s="45"/>
      <c r="T18" s="45"/>
      <c r="U18" s="45"/>
      <c r="V18" s="45"/>
      <c r="W18" s="45"/>
      <c r="X18" s="45"/>
      <c r="Y18" s="45"/>
      <c r="Z18" s="45"/>
      <c r="AA18" s="45"/>
      <c r="AB18" s="110">
        <f>'Final Build Sheet'!AB18</f>
        <v>0</v>
      </c>
      <c r="AC18" s="338"/>
      <c r="AD18" s="338"/>
      <c r="AE18" s="338"/>
      <c r="AF18" s="338"/>
      <c r="AG18" s="339"/>
    </row>
    <row r="19" spans="1:33" ht="15" customHeight="1" thickBot="1">
      <c r="A19" s="32"/>
      <c r="B19" s="108" t="str">
        <f>'Final Build Sheet'!B19</f>
        <v/>
      </c>
      <c r="C19" s="45" t="s">
        <v>39</v>
      </c>
      <c r="D19" s="45"/>
      <c r="E19" s="45"/>
      <c r="F19" s="45"/>
      <c r="G19" s="46" t="s">
        <v>16</v>
      </c>
      <c r="H19" s="239" t="str">
        <f>'Final Build Sheet'!H19</f>
        <v/>
      </c>
      <c r="I19" s="240"/>
      <c r="J19" s="240"/>
      <c r="K19" s="240"/>
      <c r="L19" s="240"/>
      <c r="M19" s="241"/>
      <c r="N19" s="45" t="str">
        <f>IF(Data!DS23=TRUE,"*Redo Selection","")</f>
        <v/>
      </c>
      <c r="O19" s="45"/>
      <c r="P19" s="45"/>
      <c r="Q19" s="45"/>
      <c r="R19" s="45"/>
      <c r="S19" s="45"/>
      <c r="T19" s="45"/>
      <c r="U19" s="45"/>
      <c r="V19" s="45"/>
      <c r="W19" s="45"/>
      <c r="X19" s="45"/>
      <c r="Y19" s="45"/>
      <c r="Z19" s="45"/>
      <c r="AA19" s="45"/>
      <c r="AB19" s="110">
        <f>'Final Build Sheet'!AB19</f>
        <v>0</v>
      </c>
      <c r="AC19" s="600" t="s">
        <v>35</v>
      </c>
      <c r="AD19" s="600"/>
      <c r="AE19" s="600"/>
      <c r="AF19" s="600"/>
      <c r="AG19" s="601"/>
    </row>
    <row r="20" spans="1:33" ht="15" customHeight="1" thickBot="1">
      <c r="A20" s="32"/>
      <c r="B20" s="108" t="str">
        <f>'Final Build Sheet'!B20</f>
        <v/>
      </c>
      <c r="C20" s="331" t="s">
        <v>40</v>
      </c>
      <c r="D20" s="332"/>
      <c r="E20" s="332"/>
      <c r="F20" s="332"/>
      <c r="G20" s="332"/>
      <c r="H20" s="45"/>
      <c r="I20" s="46" t="s">
        <v>41</v>
      </c>
      <c r="J20" s="239" t="str">
        <f>'Final Build Sheet'!J20</f>
        <v/>
      </c>
      <c r="K20" s="240"/>
      <c r="L20" s="240"/>
      <c r="M20" s="241"/>
      <c r="N20" s="45"/>
      <c r="O20" s="45"/>
      <c r="P20" s="45"/>
      <c r="Q20" s="45"/>
      <c r="R20" s="45"/>
      <c r="S20" s="45"/>
      <c r="T20" s="45"/>
      <c r="U20" s="45"/>
      <c r="V20" s="45"/>
      <c r="W20" s="45"/>
      <c r="X20" s="45"/>
      <c r="Y20" s="45"/>
      <c r="Z20" s="45"/>
      <c r="AA20" s="45"/>
      <c r="AB20" s="110">
        <f>'Final Build Sheet'!AB20</f>
        <v>0</v>
      </c>
      <c r="AC20" s="602"/>
      <c r="AD20" s="602"/>
      <c r="AE20" s="602"/>
      <c r="AF20" s="602"/>
      <c r="AG20" s="603"/>
    </row>
    <row r="21" spans="1:33" ht="15" customHeight="1" thickBot="1">
      <c r="A21" s="32"/>
      <c r="B21" s="108" t="str">
        <f>'Final Build Sheet'!B21</f>
        <v/>
      </c>
      <c r="C21" s="45" t="s">
        <v>42</v>
      </c>
      <c r="D21" s="45"/>
      <c r="E21" s="45"/>
      <c r="F21" s="45"/>
      <c r="G21" s="45"/>
      <c r="H21" s="45"/>
      <c r="I21" s="46" t="s">
        <v>41</v>
      </c>
      <c r="J21" s="239" t="str">
        <f>'Final Build Sheet'!J21</f>
        <v/>
      </c>
      <c r="K21" s="240"/>
      <c r="L21" s="240"/>
      <c r="M21" s="241"/>
      <c r="N21" s="45"/>
      <c r="O21" s="45"/>
      <c r="P21" s="45"/>
      <c r="Q21" s="45"/>
      <c r="R21" s="45"/>
      <c r="S21" s="45"/>
      <c r="T21" s="45"/>
      <c r="U21" s="45"/>
      <c r="V21" s="45"/>
      <c r="W21" s="45"/>
      <c r="X21" s="45"/>
      <c r="Y21" s="45"/>
      <c r="Z21" s="45"/>
      <c r="AA21" s="45"/>
      <c r="AB21" s="110">
        <f>'Final Build Sheet'!AB21</f>
        <v>0</v>
      </c>
      <c r="AC21" s="630" t="str">
        <f>'Final Build Sheet'!AC18</f>
        <v/>
      </c>
      <c r="AD21" s="630"/>
      <c r="AE21" s="630"/>
      <c r="AF21" s="631"/>
      <c r="AG21" s="77">
        <f>'Final Build Sheet'!AG18</f>
        <v>0</v>
      </c>
    </row>
    <row r="22" spans="1:33" ht="15" customHeight="1" thickBot="1">
      <c r="A22" s="32"/>
      <c r="B22" s="108" t="str">
        <f>'Final Build Sheet'!B22</f>
        <v/>
      </c>
      <c r="C22" s="45" t="s">
        <v>43</v>
      </c>
      <c r="D22" s="45"/>
      <c r="E22" s="45"/>
      <c r="F22" s="45"/>
      <c r="G22" s="45"/>
      <c r="H22" s="45"/>
      <c r="I22" s="45"/>
      <c r="J22" s="45"/>
      <c r="K22" s="45"/>
      <c r="L22" s="45"/>
      <c r="M22" s="45"/>
      <c r="N22" s="45"/>
      <c r="O22" s="45"/>
      <c r="P22" s="45"/>
      <c r="Q22" s="45"/>
      <c r="S22" s="45"/>
      <c r="T22" s="45"/>
      <c r="U22" s="45"/>
      <c r="V22" s="45"/>
      <c r="W22" s="45"/>
      <c r="X22" s="45"/>
      <c r="Y22" s="45"/>
      <c r="Z22" s="45"/>
      <c r="AA22" s="45"/>
      <c r="AB22" s="110">
        <f>'Final Build Sheet'!AB22</f>
        <v>0</v>
      </c>
      <c r="AC22" s="626" t="str">
        <f>'Final Build Sheet'!AC19</f>
        <v/>
      </c>
      <c r="AD22" s="626"/>
      <c r="AE22" s="626"/>
      <c r="AF22" s="627"/>
      <c r="AG22" s="78">
        <f>'Final Build Sheet'!AG19</f>
        <v>0</v>
      </c>
    </row>
    <row r="23" spans="1:33" ht="15" customHeight="1" thickBot="1">
      <c r="A23" s="32"/>
      <c r="B23" s="108" t="str">
        <f>'Final Build Sheet'!B23</f>
        <v/>
      </c>
      <c r="C23" s="45" t="s">
        <v>44</v>
      </c>
      <c r="D23" s="45"/>
      <c r="E23" s="45"/>
      <c r="F23" s="45"/>
      <c r="G23" s="45"/>
      <c r="H23" s="45"/>
      <c r="I23" s="46" t="s">
        <v>16</v>
      </c>
      <c r="J23" s="239" t="str">
        <f>'Final Build Sheet'!J23</f>
        <v/>
      </c>
      <c r="K23" s="240"/>
      <c r="L23" s="240"/>
      <c r="M23" s="241"/>
      <c r="N23" s="45" t="str">
        <f>IF(AND(B23="x",Data!EN9=TRUE,Data!EN13=TRUE),Data!EN21,IF(AND(B23="x",Quote_Trailer_Size&lt;&gt;Size_5x10),Data!EN20,""))</f>
        <v/>
      </c>
      <c r="O23" s="45"/>
      <c r="P23" s="45"/>
      <c r="Q23" s="45"/>
      <c r="R23" s="45"/>
      <c r="S23" s="45"/>
      <c r="U23" s="45"/>
      <c r="V23" s="45"/>
      <c r="W23" s="45"/>
      <c r="X23" s="45"/>
      <c r="Y23" s="45"/>
      <c r="Z23" s="45"/>
      <c r="AA23" s="45"/>
      <c r="AB23" s="110">
        <f>'Final Build Sheet'!AB23</f>
        <v>0</v>
      </c>
      <c r="AC23" s="626" t="str">
        <f>'Final Build Sheet'!AC20</f>
        <v/>
      </c>
      <c r="AD23" s="626"/>
      <c r="AE23" s="626"/>
      <c r="AF23" s="627"/>
      <c r="AG23" s="78">
        <f>'Final Build Sheet'!AG20</f>
        <v>0</v>
      </c>
    </row>
    <row r="24" spans="1:33" ht="15" customHeight="1" thickBot="1">
      <c r="A24" s="30"/>
      <c r="B24" s="108" t="str">
        <f>'Final Build Sheet'!B24</f>
        <v/>
      </c>
      <c r="C24" s="24" t="str">
        <f>IF(Quote_Trailer_Model=Extreme_OffRoad,"Add Understorage Cargo Pan","EOR Exclusive Option")</f>
        <v>EOR Exclusive Option</v>
      </c>
      <c r="D24" s="26"/>
      <c r="E24" s="26"/>
      <c r="F24" s="26"/>
      <c r="G24" s="26"/>
      <c r="H24" s="26"/>
      <c r="I24" s="26"/>
      <c r="J24" s="26"/>
      <c r="K24" s="26"/>
      <c r="L24" s="26"/>
      <c r="M24" s="26"/>
      <c r="N24" s="26" t="str">
        <f>IF(AB24="Error",Cargo_Pan_Message,"")</f>
        <v/>
      </c>
      <c r="O24" s="26"/>
      <c r="P24" s="26"/>
      <c r="Q24" s="26"/>
      <c r="R24" s="26"/>
      <c r="S24" s="26"/>
      <c r="T24" s="26"/>
      <c r="U24" s="26"/>
      <c r="V24" s="26"/>
      <c r="W24" s="26"/>
      <c r="X24" s="26"/>
      <c r="Y24" s="26"/>
      <c r="Z24" s="26"/>
      <c r="AA24" s="31"/>
      <c r="AB24" s="110" t="str">
        <f>'Final Build Sheet'!AB24</f>
        <v>N/A</v>
      </c>
      <c r="AC24" s="626" t="str">
        <f>'Final Build Sheet'!AC21</f>
        <v/>
      </c>
      <c r="AD24" s="626"/>
      <c r="AE24" s="626"/>
      <c r="AF24" s="627"/>
      <c r="AG24" s="78">
        <f>'Final Build Sheet'!AG21</f>
        <v>0</v>
      </c>
    </row>
    <row r="25" spans="1:33" ht="15" customHeight="1" thickBot="1">
      <c r="A25" s="27" t="s">
        <v>46</v>
      </c>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102"/>
      <c r="AC25" s="626" t="str">
        <f>'Final Build Sheet'!AC22</f>
        <v/>
      </c>
      <c r="AD25" s="626"/>
      <c r="AE25" s="626"/>
      <c r="AF25" s="627"/>
      <c r="AG25" s="79">
        <f>'Final Build Sheet'!AG22</f>
        <v>0</v>
      </c>
    </row>
    <row r="26" spans="1:33" ht="15" customHeight="1" thickBot="1">
      <c r="A26" s="32"/>
      <c r="B26" s="108" t="str">
        <f>'Final Build Sheet'!B26</f>
        <v/>
      </c>
      <c r="C26" s="45" t="s">
        <v>47</v>
      </c>
      <c r="D26" s="45"/>
      <c r="E26" s="45"/>
      <c r="F26" s="45"/>
      <c r="G26" s="45"/>
      <c r="H26" s="45"/>
      <c r="I26" s="46" t="s">
        <v>48</v>
      </c>
      <c r="J26" s="320" t="str">
        <f>'Final Build Sheet'!J26</f>
        <v/>
      </c>
      <c r="K26" s="321"/>
      <c r="L26" s="321"/>
      <c r="M26" s="321"/>
      <c r="N26" s="321"/>
      <c r="O26" s="322"/>
      <c r="P26" s="45"/>
      <c r="Q26" s="45"/>
      <c r="R26" s="45"/>
      <c r="S26" s="45"/>
      <c r="T26" s="45"/>
      <c r="U26" s="45"/>
      <c r="V26" s="45"/>
      <c r="W26" s="45"/>
      <c r="X26" s="45"/>
      <c r="Y26" s="45"/>
      <c r="Z26" s="45"/>
      <c r="AA26" s="45"/>
      <c r="AB26" s="110">
        <f>'Final Build Sheet'!AB26</f>
        <v>0</v>
      </c>
      <c r="AC26" s="628" t="str">
        <f>'Final Build Sheet'!AC23</f>
        <v/>
      </c>
      <c r="AD26" s="628"/>
      <c r="AE26" s="628"/>
      <c r="AF26" s="629"/>
      <c r="AG26" s="80">
        <f>'Final Build Sheet'!AG23</f>
        <v>0</v>
      </c>
    </row>
    <row r="27" spans="1:33" ht="15" customHeight="1" thickBot="1">
      <c r="A27" s="32"/>
      <c r="B27" s="108" t="str">
        <f>'Final Build Sheet'!B27</f>
        <v/>
      </c>
      <c r="C27" s="45" t="s">
        <v>49</v>
      </c>
      <c r="D27" s="45"/>
      <c r="E27" s="45"/>
      <c r="F27" s="45"/>
      <c r="G27" s="45"/>
      <c r="H27" s="45"/>
      <c r="I27" s="45"/>
      <c r="J27" s="46" t="s">
        <v>16</v>
      </c>
      <c r="K27" s="320" t="str">
        <f>'Final Build Sheet'!K27</f>
        <v/>
      </c>
      <c r="L27" s="323"/>
      <c r="M27" s="323"/>
      <c r="N27" s="323"/>
      <c r="O27" s="323"/>
      <c r="P27" s="323"/>
      <c r="Q27" s="324"/>
      <c r="R27" s="45"/>
      <c r="S27" s="45"/>
      <c r="T27" s="45"/>
      <c r="U27" s="45"/>
      <c r="V27" s="45"/>
      <c r="W27" s="45"/>
      <c r="X27" s="45"/>
      <c r="Y27" s="45"/>
      <c r="Z27" s="45"/>
      <c r="AA27" s="45"/>
      <c r="AB27" s="110">
        <f>'Final Build Sheet'!AB27</f>
        <v>0</v>
      </c>
      <c r="AC27" s="511" t="s">
        <v>56</v>
      </c>
      <c r="AD27" s="511"/>
      <c r="AE27" s="512"/>
      <c r="AF27" s="513">
        <f>SUM(AG21:AG26)</f>
        <v>0</v>
      </c>
      <c r="AG27" s="514"/>
    </row>
    <row r="28" spans="1:33" ht="15" customHeight="1" thickBot="1">
      <c r="A28" s="32"/>
      <c r="B28" s="108" t="str">
        <f>'Final Build Sheet'!B28</f>
        <v/>
      </c>
      <c r="C28" s="45" t="s">
        <v>50</v>
      </c>
      <c r="D28" s="45"/>
      <c r="E28" s="45"/>
      <c r="F28" s="45"/>
      <c r="G28" s="45"/>
      <c r="H28" s="45"/>
      <c r="I28" s="45"/>
      <c r="J28" s="46" t="s">
        <v>16</v>
      </c>
      <c r="K28" s="239" t="str">
        <f>'Final Build Sheet'!K28</f>
        <v/>
      </c>
      <c r="L28" s="240"/>
      <c r="M28" s="240"/>
      <c r="N28" s="240"/>
      <c r="O28" s="240"/>
      <c r="P28" s="240"/>
      <c r="Q28" s="241"/>
      <c r="R28" s="45" t="str">
        <f>IF(Data!EZ29=TRUE,Occlusion_Message,"")</f>
        <v/>
      </c>
      <c r="S28" s="45"/>
      <c r="T28" s="45"/>
      <c r="U28" s="45"/>
      <c r="V28" s="45"/>
      <c r="W28" s="45"/>
      <c r="X28" s="45"/>
      <c r="Y28" s="45"/>
      <c r="Z28" s="45"/>
      <c r="AA28" s="45"/>
      <c r="AB28" s="110">
        <f>'Final Build Sheet'!AB28</f>
        <v>0</v>
      </c>
      <c r="AC28" s="511" t="s">
        <v>52</v>
      </c>
      <c r="AD28" s="511"/>
      <c r="AE28" s="511"/>
      <c r="AF28" s="513">
        <f>SUM(AB5,AB7:AB8,AB11:AB12,AB16:AB24,AB26:AB31,AB35:AB41,AB43:AB44,AB46:AB47,AB50:AB53,AB57:AB65,AB68:AB72,AB74:AB76,AB78:AB80,AB82:AB83,AB85:AB90,AB95,AB98,AB100,)</f>
        <v>0</v>
      </c>
      <c r="AG28" s="514"/>
    </row>
    <row r="29" spans="1:33" ht="15" customHeight="1" thickBot="1">
      <c r="A29" s="32"/>
      <c r="B29" s="108" t="str">
        <f>'Final Build Sheet'!B29</f>
        <v/>
      </c>
      <c r="C29" s="45" t="s">
        <v>51</v>
      </c>
      <c r="D29" s="45"/>
      <c r="E29" s="45"/>
      <c r="G29" s="45"/>
      <c r="H29" s="45"/>
      <c r="I29" s="45"/>
      <c r="J29" s="46" t="s">
        <v>16</v>
      </c>
      <c r="K29" s="239" t="str">
        <f>'Final Build Sheet'!K29</f>
        <v/>
      </c>
      <c r="L29" s="240"/>
      <c r="M29" s="240"/>
      <c r="N29" s="240"/>
      <c r="O29" s="240"/>
      <c r="P29" s="240"/>
      <c r="Q29" s="241"/>
      <c r="R29" s="45" t="str">
        <f>IF(Data!EZ32=TRUE,Occlusion_Message,"")</f>
        <v/>
      </c>
      <c r="S29" s="45"/>
      <c r="T29" s="45"/>
      <c r="U29" s="45"/>
      <c r="V29" s="45"/>
      <c r="W29" s="45"/>
      <c r="X29" s="45"/>
      <c r="Y29" s="45"/>
      <c r="Z29" s="45"/>
      <c r="AA29" s="45"/>
      <c r="AB29" s="110">
        <f>'Final Build Sheet'!AB29</f>
        <v>0</v>
      </c>
      <c r="AC29" s="530" t="s">
        <v>45</v>
      </c>
      <c r="AD29" s="530"/>
      <c r="AE29" s="531"/>
      <c r="AF29" s="513" t="str">
        <f>AB3</f>
        <v>Select Size/Model</v>
      </c>
      <c r="AG29" s="532"/>
    </row>
    <row r="30" spans="1:33" ht="15" customHeight="1" thickBot="1">
      <c r="A30" s="32"/>
      <c r="B30" s="108" t="str">
        <f>'Final Build Sheet'!B30</f>
        <v/>
      </c>
      <c r="C30" s="45" t="s">
        <v>53</v>
      </c>
      <c r="D30" s="45"/>
      <c r="E30" s="45"/>
      <c r="F30" s="45"/>
      <c r="G30" s="45"/>
      <c r="H30" s="45"/>
      <c r="I30" s="45"/>
      <c r="J30" s="46" t="s">
        <v>16</v>
      </c>
      <c r="K30" s="239" t="str">
        <f>'Final Build Sheet'!K30</f>
        <v/>
      </c>
      <c r="L30" s="240"/>
      <c r="M30" s="240"/>
      <c r="N30" s="240"/>
      <c r="O30" s="240"/>
      <c r="P30" s="240"/>
      <c r="Q30" s="241"/>
      <c r="R30" s="45" t="str">
        <f>IF(OR(Data!EZ32=TRUE,Data!EZ41=TRUE),Occlusion_Message,"")</f>
        <v/>
      </c>
      <c r="S30" s="45"/>
      <c r="T30" s="45"/>
      <c r="U30" s="45"/>
      <c r="V30" s="45"/>
      <c r="W30" s="45"/>
      <c r="X30" s="45"/>
      <c r="Y30" s="45"/>
      <c r="Z30" s="45"/>
      <c r="AA30" s="45"/>
      <c r="AB30" s="110">
        <f>'Final Build Sheet'!AB30</f>
        <v>0</v>
      </c>
      <c r="AC30" s="533" t="s">
        <v>177</v>
      </c>
      <c r="AD30" s="533"/>
      <c r="AE30" s="533"/>
      <c r="AF30" s="535">
        <f>SUM(AF27:AG29)</f>
        <v>0</v>
      </c>
      <c r="AG30" s="536"/>
    </row>
    <row r="31" spans="1:33" ht="15" customHeight="1" thickBot="1">
      <c r="A31" s="30"/>
      <c r="B31" s="108" t="str">
        <f>'Final Build Sheet'!B31</f>
        <v/>
      </c>
      <c r="C31" s="24" t="s">
        <v>54</v>
      </c>
      <c r="D31" s="26"/>
      <c r="E31" s="26"/>
      <c r="F31" s="26"/>
      <c r="G31" s="26"/>
      <c r="H31" s="26"/>
      <c r="I31" s="26"/>
      <c r="J31" s="33" t="s">
        <v>16</v>
      </c>
      <c r="K31" s="239" t="str">
        <f>'Final Build Sheet'!K31</f>
        <v/>
      </c>
      <c r="L31" s="240"/>
      <c r="M31" s="240"/>
      <c r="N31" s="240"/>
      <c r="O31" s="240"/>
      <c r="P31" s="240"/>
      <c r="Q31" s="241"/>
      <c r="R31" s="24" t="str">
        <f>IF(OR(Data!EZ29=TRUE,Data!EZ41=TRUE,Data!LN18=TRUE),Occlusion_Message,"")</f>
        <v/>
      </c>
      <c r="S31" s="26"/>
      <c r="T31" s="26"/>
      <c r="U31" s="26"/>
      <c r="V31" s="26"/>
      <c r="W31" s="26"/>
      <c r="X31" s="26"/>
      <c r="Y31" s="26"/>
      <c r="Z31" s="26"/>
      <c r="AA31" s="31"/>
      <c r="AB31" s="110">
        <f>'Final Build Sheet'!AB31</f>
        <v>0</v>
      </c>
      <c r="AC31" s="534"/>
      <c r="AD31" s="534"/>
      <c r="AE31" s="534"/>
      <c r="AF31" s="537"/>
      <c r="AG31" s="538"/>
    </row>
    <row r="32" spans="1:33" ht="15" customHeight="1" thickBot="1">
      <c r="A32" s="27" t="s">
        <v>55</v>
      </c>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102"/>
      <c r="AC32" s="539" t="s">
        <v>178</v>
      </c>
      <c r="AD32" s="539"/>
      <c r="AE32" s="539"/>
      <c r="AF32" s="539"/>
      <c r="AG32" s="540"/>
    </row>
    <row r="33" spans="1:33" ht="15" customHeight="1">
      <c r="A33" s="27"/>
      <c r="B33" s="329" t="str">
        <f>IF(Quote_Trailer_Model=Highway_Deluxe,HD_Susp_Desc,IF(Quote_Trailer_Model=MidRange_Deluxe,MR_Susp_Desc,IF(Quote_Trailer_Model=MidRange_XL,XL_Susp_Desc,IF(Quote_Trailer_Model=Extreme_OffRoad,EOR_Susp_Desc,"Choose a Model for suspension description"))))</f>
        <v>Choose a Model for suspension description</v>
      </c>
      <c r="C33" s="329"/>
      <c r="D33" s="329"/>
      <c r="E33" s="329"/>
      <c r="F33" s="329"/>
      <c r="G33" s="329"/>
      <c r="H33" s="329"/>
      <c r="I33" s="329"/>
      <c r="J33" s="329"/>
      <c r="K33" s="329"/>
      <c r="L33" s="329"/>
      <c r="M33" s="329"/>
      <c r="N33" s="329"/>
      <c r="O33" s="329"/>
      <c r="P33" s="329"/>
      <c r="Q33" s="329"/>
      <c r="R33" s="329"/>
      <c r="S33" s="329"/>
      <c r="T33" s="329"/>
      <c r="U33" s="329"/>
      <c r="V33" s="329"/>
      <c r="W33" s="329"/>
      <c r="X33" s="329"/>
      <c r="Y33" s="329"/>
      <c r="Z33" s="329"/>
      <c r="AA33" s="329"/>
      <c r="AB33" s="330"/>
      <c r="AC33" s="553" t="s">
        <v>179</v>
      </c>
      <c r="AD33" s="553"/>
      <c r="AE33" s="554"/>
      <c r="AF33" s="557">
        <f>'Final Build Sheet'!AC46</f>
        <v>500</v>
      </c>
      <c r="AG33" s="558"/>
    </row>
    <row r="34" spans="1:33" ht="15" customHeight="1" thickBot="1">
      <c r="A34" s="27"/>
      <c r="B34" s="329"/>
      <c r="C34" s="329"/>
      <c r="D34" s="329"/>
      <c r="E34" s="329"/>
      <c r="F34" s="329"/>
      <c r="G34" s="329"/>
      <c r="H34" s="329"/>
      <c r="I34" s="329"/>
      <c r="J34" s="329"/>
      <c r="K34" s="329"/>
      <c r="L34" s="329"/>
      <c r="M34" s="329"/>
      <c r="N34" s="329"/>
      <c r="O34" s="329"/>
      <c r="P34" s="329"/>
      <c r="Q34" s="329"/>
      <c r="R34" s="329"/>
      <c r="S34" s="329"/>
      <c r="T34" s="329"/>
      <c r="U34" s="329"/>
      <c r="V34" s="329"/>
      <c r="W34" s="329"/>
      <c r="X34" s="329"/>
      <c r="Y34" s="329"/>
      <c r="Z34" s="329"/>
      <c r="AA34" s="329"/>
      <c r="AB34" s="330"/>
      <c r="AC34" s="555"/>
      <c r="AD34" s="555"/>
      <c r="AE34" s="556"/>
      <c r="AF34" s="222"/>
      <c r="AG34" s="559"/>
    </row>
    <row r="35" spans="1:33" ht="15" customHeight="1" thickBot="1">
      <c r="A35" s="32"/>
      <c r="B35" s="108" t="str">
        <f>'Final Build Sheet'!B35</f>
        <v/>
      </c>
      <c r="C35" s="45" t="s">
        <v>57</v>
      </c>
      <c r="D35" s="45"/>
      <c r="E35" s="45"/>
      <c r="F35" s="45"/>
      <c r="G35" s="45"/>
      <c r="H35" s="45"/>
      <c r="I35" s="46" t="s">
        <v>58</v>
      </c>
      <c r="J35" s="239" t="str">
        <f>'Final Build Sheet'!J35</f>
        <v/>
      </c>
      <c r="K35" s="240"/>
      <c r="L35" s="240"/>
      <c r="M35" s="240"/>
      <c r="N35" s="247"/>
      <c r="O35" s="247"/>
      <c r="P35" s="247"/>
      <c r="Q35" s="248"/>
      <c r="R35" s="45" t="str">
        <f>IF(AND(B35="",OR(J35=HD_Tire_Only,J35=MR_Tire_Only,J35=XL_Tire_Only,J35=EOR_Tire_Only)),"*Select the Add Spare Tire Box",IF(AND(B35="x",OR(J35=HD_Tire_Only,J35=MR_Tire_Only,J35=XL_Tire_Only,J35=EOR_Tire_Only)),"*Loose Spare Tire",IF(AND(B35="",J35&lt;&gt;""),"*Mount Only","")))</f>
        <v/>
      </c>
      <c r="S35" s="45"/>
      <c r="T35" s="45"/>
      <c r="U35" s="45"/>
      <c r="V35" s="45"/>
      <c r="W35" s="45"/>
      <c r="X35" s="45"/>
      <c r="Y35" s="45"/>
      <c r="Z35" s="45"/>
      <c r="AA35" s="45"/>
      <c r="AB35" s="110">
        <f>'Final Build Sheet'!AB35</f>
        <v>0</v>
      </c>
      <c r="AC35" s="146" t="s">
        <v>180</v>
      </c>
      <c r="AD35" s="81"/>
      <c r="AE35" s="76" t="s">
        <v>167</v>
      </c>
      <c r="AF35" s="541"/>
      <c r="AG35" s="514"/>
    </row>
    <row r="36" spans="1:33" ht="15" customHeight="1" thickBot="1">
      <c r="A36" s="32"/>
      <c r="B36" s="45" t="s">
        <v>59</v>
      </c>
      <c r="C36" s="45"/>
      <c r="D36" s="45"/>
      <c r="E36" s="239">
        <f>'Final Build Sheet'!E36</f>
        <v>0</v>
      </c>
      <c r="F36" s="240"/>
      <c r="G36" s="240"/>
      <c r="H36" s="240"/>
      <c r="I36" s="241"/>
      <c r="J36" s="45"/>
      <c r="K36" s="64" t="s">
        <v>60</v>
      </c>
      <c r="L36" s="45"/>
      <c r="M36" s="45"/>
      <c r="N36" s="239">
        <f>'Final Build Sheet'!N36</f>
        <v>0</v>
      </c>
      <c r="O36" s="240"/>
      <c r="P36" s="240"/>
      <c r="Q36" s="240"/>
      <c r="R36" s="240"/>
      <c r="S36" s="241"/>
      <c r="T36" s="45" t="str">
        <f>IF(OR(E36="",N36=""),"*Required",IF(AND(E36=Ball_Only,N36&lt;&gt;Customer_Provided),"*Incompatible.  Redo Selection",IF(AND(E36=Data!HR9,N36=Customer_Provided),"*Incompatible.  Redo Selection","")))</f>
        <v/>
      </c>
      <c r="U36" s="45"/>
      <c r="V36" s="45"/>
      <c r="W36" s="45"/>
      <c r="X36" s="45"/>
      <c r="Y36" s="45"/>
      <c r="Z36" s="45"/>
      <c r="AA36" s="45"/>
      <c r="AB36" s="110" t="str">
        <f>'Final Build Sheet'!AB36</f>
        <v>Error</v>
      </c>
      <c r="AC36" s="539" t="s">
        <v>181</v>
      </c>
      <c r="AD36" s="539"/>
      <c r="AE36" s="539"/>
      <c r="AF36" s="539"/>
      <c r="AG36" s="540"/>
    </row>
    <row r="37" spans="1:33" ht="15" customHeight="1" thickBot="1">
      <c r="A37" s="32"/>
      <c r="B37" s="108" t="str">
        <f>'Final Build Sheet'!B37</f>
        <v/>
      </c>
      <c r="C37" s="45" t="s">
        <v>61</v>
      </c>
      <c r="D37" s="45"/>
      <c r="E37" s="45"/>
      <c r="F37" s="45"/>
      <c r="G37" s="45"/>
      <c r="H37" s="45"/>
      <c r="I37" s="45" t="str">
        <f>IF(Data!IY33=TRUE,Data!IT26,IF(Data!IY40=TRUE,Data!IT27,""))</f>
        <v>*Brakes required based on your State's Regulations</v>
      </c>
      <c r="J37" s="45"/>
      <c r="K37" s="45"/>
      <c r="L37" s="45"/>
      <c r="M37" s="45"/>
      <c r="N37" s="45"/>
      <c r="O37" s="45"/>
      <c r="P37" s="45"/>
      <c r="Q37" s="45"/>
      <c r="R37" s="45"/>
      <c r="S37" s="45"/>
      <c r="T37" s="45"/>
      <c r="U37" s="45"/>
      <c r="V37" s="45"/>
      <c r="W37" s="45"/>
      <c r="X37" s="45"/>
      <c r="Y37" s="45"/>
      <c r="Z37" s="45"/>
      <c r="AA37" s="45"/>
      <c r="AB37" s="110">
        <f>'Final Build Sheet'!AB37</f>
        <v>0</v>
      </c>
      <c r="AC37" s="145" t="s">
        <v>182</v>
      </c>
      <c r="AD37" s="541" t="s">
        <v>183</v>
      </c>
      <c r="AE37" s="514"/>
      <c r="AF37" s="541" t="s">
        <v>184</v>
      </c>
      <c r="AG37" s="514"/>
    </row>
    <row r="38" spans="1:33" ht="15" customHeight="1" thickBot="1">
      <c r="A38" s="32"/>
      <c r="B38" s="108" t="str">
        <f>'Final Build Sheet'!B38</f>
        <v/>
      </c>
      <c r="C38" s="45" t="s">
        <v>62</v>
      </c>
      <c r="D38" s="45"/>
      <c r="E38" s="45"/>
      <c r="F38" s="45"/>
      <c r="G38" s="45"/>
      <c r="H38" s="45"/>
      <c r="I38" s="45"/>
      <c r="J38" s="45"/>
      <c r="K38" s="45"/>
      <c r="L38" s="45" t="str">
        <f>IF(B38="x",AutowBrake_Message,"")</f>
        <v/>
      </c>
      <c r="M38" s="45"/>
      <c r="N38" s="45"/>
      <c r="O38" s="45"/>
      <c r="P38" s="45"/>
      <c r="Q38" s="45"/>
      <c r="R38" s="45"/>
      <c r="S38" s="45"/>
      <c r="T38" s="45"/>
      <c r="U38" s="45"/>
      <c r="V38" s="45"/>
      <c r="W38" s="45"/>
      <c r="X38" s="45"/>
      <c r="Y38" s="45"/>
      <c r="Z38" s="45"/>
      <c r="AA38" s="45"/>
      <c r="AB38" s="110">
        <f>'Final Build Sheet'!AB38</f>
        <v>0</v>
      </c>
      <c r="AC38" s="151"/>
      <c r="AD38" s="542"/>
      <c r="AE38" s="542"/>
      <c r="AF38" s="542"/>
      <c r="AG38" s="568"/>
    </row>
    <row r="39" spans="1:33" ht="15" customHeight="1" thickBot="1">
      <c r="A39" s="32"/>
      <c r="B39" s="108" t="str">
        <f>'Final Build Sheet'!B39</f>
        <v/>
      </c>
      <c r="C39" s="45" t="str">
        <f>IF(Quote_Trailer_Model=Extreme_OffRoad,"6 x 5.5 Lug Pattern Upgrade","EOR Exclusive Option")</f>
        <v>EOR Exclusive Option</v>
      </c>
      <c r="D39" s="45"/>
      <c r="E39" s="45"/>
      <c r="F39" s="45"/>
      <c r="G39" s="45"/>
      <c r="H39" s="45"/>
      <c r="I39" s="46"/>
      <c r="J39" s="45"/>
      <c r="K39" s="45"/>
      <c r="L39" s="45"/>
      <c r="M39" s="45"/>
      <c r="N39" s="45"/>
      <c r="O39" s="45"/>
      <c r="P39" s="45"/>
      <c r="Q39" s="45"/>
      <c r="R39" s="45"/>
      <c r="S39" s="45"/>
      <c r="T39" s="45"/>
      <c r="U39" s="45"/>
      <c r="V39" s="45"/>
      <c r="W39" s="45" t="s">
        <v>63</v>
      </c>
      <c r="X39" s="45"/>
      <c r="Y39" s="45"/>
      <c r="Z39" s="45"/>
      <c r="AA39" s="45"/>
      <c r="AB39" s="110" t="str">
        <f>'Final Build Sheet'!AB39</f>
        <v>N/A</v>
      </c>
      <c r="AC39" s="152"/>
      <c r="AD39" s="543"/>
      <c r="AE39" s="543"/>
      <c r="AF39" s="543"/>
      <c r="AG39" s="560"/>
    </row>
    <row r="40" spans="1:33" ht="15" customHeight="1" thickBot="1">
      <c r="A40" s="32"/>
      <c r="B40" s="108" t="str">
        <f>'Final Build Sheet'!B40</f>
        <v/>
      </c>
      <c r="C40" s="45" t="s">
        <v>65</v>
      </c>
      <c r="D40" s="45"/>
      <c r="E40" s="47"/>
      <c r="F40" s="47"/>
      <c r="G40" s="47"/>
      <c r="H40" s="47"/>
      <c r="I40" s="45"/>
      <c r="J40" s="45"/>
      <c r="K40" s="45"/>
      <c r="L40" s="45"/>
      <c r="M40" s="45"/>
      <c r="N40" s="45"/>
      <c r="O40" s="45"/>
      <c r="P40" s="45"/>
      <c r="Q40" s="45"/>
      <c r="R40" s="45"/>
      <c r="S40" s="45"/>
      <c r="T40" s="45"/>
      <c r="U40" s="45"/>
      <c r="V40" s="45"/>
      <c r="W40" s="45"/>
      <c r="X40" s="45"/>
      <c r="Y40" s="45"/>
      <c r="Z40" s="45"/>
      <c r="AA40" s="45"/>
      <c r="AB40" s="110">
        <f>'Final Build Sheet'!AB40</f>
        <v>0</v>
      </c>
      <c r="AC40" s="152"/>
      <c r="AD40" s="543"/>
      <c r="AE40" s="543"/>
      <c r="AF40" s="543"/>
      <c r="AG40" s="560"/>
    </row>
    <row r="41" spans="1:33" ht="15" customHeight="1" thickBot="1">
      <c r="A41" s="30"/>
      <c r="B41" s="109" t="str">
        <f>Contract!B41</f>
        <v/>
      </c>
      <c r="C41" s="24" t="str">
        <f>IF(Quote_Trailer_Model=Highway_Deluxe,Add_Stab_Jacks,IF(Quote_Trailer_Model=Extreme_OffRoad,Add_Airbags,Exclusive_Option))</f>
        <v>This Option is Exclusive to a Different Model</v>
      </c>
      <c r="D41" s="26"/>
      <c r="E41" s="43"/>
      <c r="F41" s="43"/>
      <c r="G41" s="43"/>
      <c r="H41" s="43"/>
      <c r="I41" s="26"/>
      <c r="J41" s="26"/>
      <c r="K41" s="26"/>
      <c r="L41" s="26"/>
      <c r="M41" s="26"/>
      <c r="N41" s="26"/>
      <c r="O41" s="26"/>
      <c r="P41" s="26"/>
      <c r="Q41" s="26"/>
      <c r="R41" s="26"/>
      <c r="S41" s="26"/>
      <c r="T41" s="26"/>
      <c r="U41" s="26"/>
      <c r="V41" s="26"/>
      <c r="W41" s="26"/>
      <c r="X41" s="26"/>
      <c r="Y41" s="26"/>
      <c r="Z41" s="26"/>
      <c r="AA41" s="26"/>
      <c r="AB41" s="110">
        <f>'Final Build Sheet'!AB41</f>
        <v>0</v>
      </c>
      <c r="AC41" s="152"/>
      <c r="AD41" s="543"/>
      <c r="AE41" s="543"/>
      <c r="AF41" s="543"/>
      <c r="AG41" s="560"/>
    </row>
    <row r="42" spans="1:33" ht="15" customHeight="1" thickBot="1">
      <c r="A42" s="27" t="s">
        <v>66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102"/>
      <c r="AC42" s="153"/>
      <c r="AD42" s="561"/>
      <c r="AE42" s="561"/>
      <c r="AF42" s="561"/>
      <c r="AG42" s="562"/>
    </row>
    <row r="43" spans="1:33" ht="15" customHeight="1" thickBot="1">
      <c r="A43" s="32"/>
      <c r="B43" s="108" t="str">
        <f>'Final Build Sheet'!B43</f>
        <v/>
      </c>
      <c r="C43" s="45" t="str">
        <f>IF(Quote_Trailer_Model=Extreme_OffRoad,"Included Toolbox","Add Toolbox")</f>
        <v>Add Toolbox</v>
      </c>
      <c r="D43" s="45"/>
      <c r="E43" s="45"/>
      <c r="F43" s="45"/>
      <c r="G43" s="46" t="s">
        <v>16</v>
      </c>
      <c r="H43" s="239" t="str">
        <f>'Final Build Sheet'!H43</f>
        <v/>
      </c>
      <c r="I43" s="240"/>
      <c r="J43" s="240"/>
      <c r="K43" s="240"/>
      <c r="L43" s="240"/>
      <c r="M43" s="240"/>
      <c r="N43" s="240"/>
      <c r="O43" s="241"/>
      <c r="P43" s="45" t="str">
        <f>IF(B38="x","*Required for a Selected Option",IF(AND(B43="x",B44="x",Quote_Trailer_Model&lt;&gt;Extreme_OffRoad),Occlusion_Message,""))</f>
        <v/>
      </c>
      <c r="Q43" s="45"/>
      <c r="R43" s="45"/>
      <c r="S43" s="45"/>
      <c r="T43" s="45"/>
      <c r="U43" s="45"/>
      <c r="V43" s="45"/>
      <c r="W43" s="45"/>
      <c r="X43" s="45"/>
      <c r="Y43" s="45"/>
      <c r="Z43" s="45"/>
      <c r="AA43" s="45"/>
      <c r="AB43" s="110">
        <f>'Final Build Sheet'!AB43</f>
        <v>0</v>
      </c>
      <c r="AC43" s="524" t="s">
        <v>185</v>
      </c>
      <c r="AD43" s="524"/>
      <c r="AE43" s="525"/>
      <c r="AF43" s="526"/>
      <c r="AG43" s="527"/>
    </row>
    <row r="44" spans="1:33" ht="15" customHeight="1" thickBot="1">
      <c r="A44" s="30"/>
      <c r="B44" s="108" t="str">
        <f>'Final Build Sheet'!B44</f>
        <v/>
      </c>
      <c r="C44" s="26" t="str">
        <f>IF(Quote_Trailer_Model=Highway_Deluxe,"N/A on this Model","Add Fridge Box")</f>
        <v>Add Fridge Box</v>
      </c>
      <c r="D44" s="26"/>
      <c r="E44" s="26"/>
      <c r="F44" s="26"/>
      <c r="G44" s="33"/>
      <c r="H44" s="109" t="str">
        <f>'Final Build Sheet'!H44</f>
        <v/>
      </c>
      <c r="I44" s="50" t="str">
        <f>IF(Quote_Trailer_Model=Highway_Deluxe,"N/A on this Model","Add Fridge Box Storage Rack")</f>
        <v>Add Fridge Box Storage Rack</v>
      </c>
      <c r="J44" s="43"/>
      <c r="K44" s="43"/>
      <c r="L44" s="43"/>
      <c r="M44" s="43"/>
      <c r="N44" s="43"/>
      <c r="O44" s="43"/>
      <c r="P44" s="26"/>
      <c r="Q44" s="26"/>
      <c r="R44" s="26"/>
      <c r="S44" s="26"/>
      <c r="T44" s="26"/>
      <c r="U44" s="26"/>
      <c r="V44" s="26"/>
      <c r="W44" s="26"/>
      <c r="X44" s="26"/>
      <c r="Y44" s="26"/>
      <c r="Z44" s="26"/>
      <c r="AA44" s="31"/>
      <c r="AB44" s="110">
        <f>'Final Build Sheet'!AB44</f>
        <v>0</v>
      </c>
      <c r="AC44" s="515" t="s">
        <v>186</v>
      </c>
      <c r="AD44" s="515"/>
      <c r="AE44" s="515"/>
      <c r="AF44" s="515"/>
      <c r="AG44" s="516"/>
    </row>
    <row r="45" spans="1:33" ht="15" customHeight="1" thickBot="1">
      <c r="A45" s="27" t="s">
        <v>68</v>
      </c>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102"/>
      <c r="AC45" s="517" t="s">
        <v>177</v>
      </c>
      <c r="AD45" s="517"/>
      <c r="AE45" s="518"/>
      <c r="AF45" s="521">
        <f>AF30</f>
        <v>0</v>
      </c>
      <c r="AG45" s="322"/>
    </row>
    <row r="46" spans="1:33" ht="15" customHeight="1" thickBot="1">
      <c r="A46" s="32"/>
      <c r="B46" s="108" t="str">
        <f>'Final Build Sheet'!B46</f>
        <v/>
      </c>
      <c r="C46" s="45" t="s">
        <v>69</v>
      </c>
      <c r="D46" s="45"/>
      <c r="E46" s="45"/>
      <c r="F46" s="45"/>
      <c r="G46" s="45"/>
      <c r="H46" s="45"/>
      <c r="I46" s="45"/>
      <c r="J46" s="45"/>
      <c r="K46" s="46" t="s">
        <v>70</v>
      </c>
      <c r="L46" s="317" t="str">
        <f>'Final Build Sheet'!L46</f>
        <v/>
      </c>
      <c r="M46" s="319"/>
      <c r="N46" s="45"/>
      <c r="O46" s="109" t="str">
        <f>'Final Build Sheet'!O46</f>
        <v/>
      </c>
      <c r="P46" s="45" t="s">
        <v>71</v>
      </c>
      <c r="Q46" s="45"/>
      <c r="R46" s="45"/>
      <c r="S46" s="45" t="str">
        <f>IF(P53&lt;&gt;"","*Required for Heat Option","")</f>
        <v/>
      </c>
      <c r="T46" s="45"/>
      <c r="U46" s="45"/>
      <c r="V46" s="45"/>
      <c r="W46" s="45"/>
      <c r="Y46" s="45"/>
      <c r="Z46" s="45"/>
      <c r="AA46" s="45"/>
      <c r="AB46" s="110">
        <f>'Final Build Sheet'!AB46</f>
        <v>0</v>
      </c>
      <c r="AC46" s="519"/>
      <c r="AD46" s="519"/>
      <c r="AE46" s="520"/>
      <c r="AF46" s="522"/>
      <c r="AG46" s="523"/>
    </row>
    <row r="47" spans="1:33" ht="15" customHeight="1" thickBot="1">
      <c r="A47" s="30"/>
      <c r="B47" s="108" t="str">
        <f>'Final Build Sheet'!B47</f>
        <v/>
      </c>
      <c r="C47" s="24" t="s">
        <v>72</v>
      </c>
      <c r="D47" s="26"/>
      <c r="E47" s="26"/>
      <c r="F47" s="26"/>
      <c r="G47" s="26"/>
      <c r="H47" s="26"/>
      <c r="I47" s="26"/>
      <c r="J47" s="26"/>
      <c r="K47" s="33" t="s">
        <v>70</v>
      </c>
      <c r="L47" s="317" t="str">
        <f>'Final Build Sheet'!L47</f>
        <v/>
      </c>
      <c r="M47" s="319"/>
      <c r="N47" s="30"/>
      <c r="O47" s="109" t="str">
        <f>'Final Build Sheet'!O47</f>
        <v/>
      </c>
      <c r="P47" s="24" t="s">
        <v>71</v>
      </c>
      <c r="Q47" s="26"/>
      <c r="R47" s="26"/>
      <c r="S47" s="26" t="str">
        <f>IF(AND(B80="x",B47&lt;&gt;"x"),"*Required for Shower Option","")</f>
        <v/>
      </c>
      <c r="T47" s="26"/>
      <c r="U47" s="26"/>
      <c r="V47" s="26"/>
      <c r="W47" s="26"/>
      <c r="X47" s="26"/>
      <c r="Y47" s="26"/>
      <c r="Z47" s="26"/>
      <c r="AA47" s="31"/>
      <c r="AB47" s="110">
        <f>'Final Build Sheet'!AB47</f>
        <v>0</v>
      </c>
      <c r="AC47" s="567" t="s">
        <v>187</v>
      </c>
      <c r="AD47" s="567"/>
      <c r="AE47" s="514"/>
      <c r="AF47" s="220" t="s">
        <v>188</v>
      </c>
      <c r="AG47" s="558"/>
    </row>
    <row r="48" spans="1:33" ht="15" customHeight="1" thickBot="1">
      <c r="A48" s="27" t="s">
        <v>73</v>
      </c>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102"/>
      <c r="AC48" s="511" t="s">
        <v>189</v>
      </c>
      <c r="AD48" s="512"/>
      <c r="AE48" s="82" t="str">
        <f>AG6</f>
        <v>CA</v>
      </c>
      <c r="AF48" s="563">
        <f>IF(AE49="N/A","Due at Registration",(AF45*AE49))</f>
        <v>0</v>
      </c>
      <c r="AG48" s="564"/>
    </row>
    <row r="49" spans="1:33" ht="15" customHeight="1" thickBot="1">
      <c r="A49" s="27"/>
      <c r="B49" s="45" t="s">
        <v>74</v>
      </c>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102"/>
      <c r="AC49" s="511" t="s">
        <v>190</v>
      </c>
      <c r="AD49" s="512"/>
      <c r="AE49" s="154">
        <f>VLOOKUP(AE48,State_Tax,2,FALSE)</f>
        <v>0.06</v>
      </c>
      <c r="AF49" s="565"/>
      <c r="AG49" s="566"/>
    </row>
    <row r="50" spans="1:33" ht="15" customHeight="1" thickBot="1">
      <c r="A50" s="32"/>
      <c r="B50" s="45" t="s">
        <v>76</v>
      </c>
      <c r="C50" s="45"/>
      <c r="D50" s="53"/>
      <c r="E50" s="53"/>
      <c r="F50" s="53"/>
      <c r="G50" s="242">
        <f>'Final Build Sheet'!G50</f>
        <v>0</v>
      </c>
      <c r="H50" s="243"/>
      <c r="I50" s="243"/>
      <c r="J50" s="243"/>
      <c r="K50" s="243"/>
      <c r="L50" s="244"/>
      <c r="M50" s="45"/>
      <c r="N50" s="45"/>
      <c r="O50" s="45"/>
      <c r="P50" s="45"/>
      <c r="Q50" s="45"/>
      <c r="R50" s="45"/>
      <c r="S50" s="45"/>
      <c r="T50" s="45"/>
      <c r="U50" s="45"/>
      <c r="V50" s="45"/>
      <c r="W50" s="45"/>
      <c r="X50" s="45"/>
      <c r="Y50" s="45"/>
      <c r="Z50" s="45"/>
      <c r="AA50" s="45"/>
      <c r="AB50" s="110" t="str">
        <f>'Final Build Sheet'!AB50</f>
        <v>Required</v>
      </c>
      <c r="AC50" s="511" t="s">
        <v>191</v>
      </c>
      <c r="AD50" s="511"/>
      <c r="AE50" s="512"/>
      <c r="AF50" s="541"/>
      <c r="AG50" s="514"/>
    </row>
    <row r="51" spans="1:33" ht="15" customHeight="1" thickBot="1">
      <c r="A51" s="32"/>
      <c r="B51" s="108" t="str">
        <f>'Final Build Sheet'!B51</f>
        <v/>
      </c>
      <c r="C51" s="45" t="s">
        <v>77</v>
      </c>
      <c r="D51" s="45"/>
      <c r="E51" s="45"/>
      <c r="F51" s="45"/>
      <c r="G51" s="45"/>
      <c r="H51" s="45"/>
      <c r="I51" s="45"/>
      <c r="J51" s="45"/>
      <c r="K51" s="45"/>
      <c r="L51" s="45"/>
      <c r="M51" s="45"/>
      <c r="N51" s="45"/>
      <c r="O51" s="45"/>
      <c r="P51" s="45"/>
      <c r="Q51" s="45"/>
      <c r="R51" s="45"/>
      <c r="S51" s="45"/>
      <c r="T51" s="45"/>
      <c r="U51" s="45"/>
      <c r="V51" s="45"/>
      <c r="W51" s="45"/>
      <c r="X51" s="45"/>
      <c r="Y51" s="45"/>
      <c r="Z51" s="45"/>
      <c r="AA51" s="45"/>
      <c r="AB51" s="110">
        <f>'Final Build Sheet'!AB51</f>
        <v>0</v>
      </c>
      <c r="AC51" s="530" t="s">
        <v>192</v>
      </c>
      <c r="AD51" s="530"/>
      <c r="AE51" s="531"/>
      <c r="AF51" s="541"/>
      <c r="AG51" s="514"/>
    </row>
    <row r="52" spans="1:33" ht="15" customHeight="1" thickBot="1">
      <c r="A52" s="32"/>
      <c r="B52" s="108" t="str">
        <f>'Final Build Sheet'!B52</f>
        <v/>
      </c>
      <c r="C52" s="45" t="s">
        <v>78</v>
      </c>
      <c r="D52" s="45"/>
      <c r="E52" s="45"/>
      <c r="F52" s="45"/>
      <c r="G52" s="45"/>
      <c r="H52" s="46" t="s">
        <v>16</v>
      </c>
      <c r="I52" s="239" t="str">
        <f>'Final Build Sheet'!I52</f>
        <v/>
      </c>
      <c r="J52" s="240"/>
      <c r="K52" s="240"/>
      <c r="L52" s="240"/>
      <c r="M52" s="240"/>
      <c r="N52" s="240"/>
      <c r="O52" s="241"/>
      <c r="P52" s="45" t="str">
        <f>IF(B31="x","*Unavailable with RTT","")</f>
        <v/>
      </c>
      <c r="Q52" s="45"/>
      <c r="R52" s="45"/>
      <c r="S52" s="45"/>
      <c r="T52" s="45"/>
      <c r="U52" s="45"/>
      <c r="V52" s="45"/>
      <c r="W52" s="45"/>
      <c r="X52" s="45"/>
      <c r="Y52" s="45"/>
      <c r="Z52" s="45"/>
      <c r="AA52" s="45"/>
      <c r="AB52" s="110">
        <f>'Final Build Sheet'!AB52</f>
        <v>0</v>
      </c>
      <c r="AC52" s="528" t="s">
        <v>193</v>
      </c>
      <c r="AD52" s="528"/>
      <c r="AE52" s="528"/>
      <c r="AF52" s="528"/>
      <c r="AG52" s="529"/>
    </row>
    <row r="53" spans="1:33" ht="15" customHeight="1" thickBot="1">
      <c r="A53" s="30"/>
      <c r="B53" s="108" t="str">
        <f>'Final Build Sheet'!B53</f>
        <v/>
      </c>
      <c r="C53" s="24" t="s">
        <v>79</v>
      </c>
      <c r="D53" s="26"/>
      <c r="E53" s="26"/>
      <c r="F53" s="26"/>
      <c r="G53" s="26"/>
      <c r="H53" s="33" t="s">
        <v>16</v>
      </c>
      <c r="I53" s="239" t="str">
        <f>'Final Build Sheet'!I53</f>
        <v/>
      </c>
      <c r="J53" s="240"/>
      <c r="K53" s="240"/>
      <c r="L53" s="240"/>
      <c r="M53" s="240"/>
      <c r="N53" s="240"/>
      <c r="O53" s="241"/>
      <c r="P53" s="24" t="str">
        <f>IF(AND(O16="x",B53="x"),"*Unavailable with Bunk Beds",IF(AND(B53="x",AB46&lt;&gt;Data!KF19),"*11lb Propane Tank and Mount Required",""))</f>
        <v/>
      </c>
      <c r="Q53" s="26"/>
      <c r="R53" s="26"/>
      <c r="S53" s="26"/>
      <c r="T53" s="26"/>
      <c r="U53" s="26"/>
      <c r="V53" s="26"/>
      <c r="W53" s="26"/>
      <c r="X53" s="26"/>
      <c r="Y53" s="26"/>
      <c r="Z53" s="26"/>
      <c r="AA53" s="31"/>
      <c r="AB53" s="110">
        <f>'Final Build Sheet'!AB53</f>
        <v>0</v>
      </c>
      <c r="AC53" s="544">
        <f>AF45-AF33+AF48+AF50+AF51-AF38-AF39-AF40-AF41-AF42</f>
        <v>-500</v>
      </c>
      <c r="AD53" s="545"/>
      <c r="AE53" s="545"/>
      <c r="AF53" s="545"/>
      <c r="AG53" s="546"/>
    </row>
    <row r="54" spans="1:33" ht="15" customHeight="1">
      <c r="A54" s="27" t="s">
        <v>80</v>
      </c>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102"/>
      <c r="AC54" s="547"/>
      <c r="AD54" s="547"/>
      <c r="AE54" s="547"/>
      <c r="AF54" s="547"/>
      <c r="AG54" s="548"/>
    </row>
    <row r="55" spans="1:33" ht="15" customHeight="1" thickBot="1">
      <c r="A55" s="27"/>
      <c r="B55" s="245" t="s">
        <v>82</v>
      </c>
      <c r="C55" s="245"/>
      <c r="D55" s="245"/>
      <c r="E55" s="245"/>
      <c r="F55" s="245"/>
      <c r="G55" s="245"/>
      <c r="H55" s="245"/>
      <c r="I55" s="245"/>
      <c r="J55" s="245"/>
      <c r="K55" s="245"/>
      <c r="L55" s="245"/>
      <c r="M55" s="245"/>
      <c r="N55" s="245"/>
      <c r="O55" s="245"/>
      <c r="P55" s="245"/>
      <c r="Q55" s="245"/>
      <c r="R55" s="245"/>
      <c r="S55" s="245"/>
      <c r="T55" s="245"/>
      <c r="U55" s="245"/>
      <c r="V55" s="245"/>
      <c r="W55" s="245"/>
      <c r="X55" s="245"/>
      <c r="Y55" s="245"/>
      <c r="Z55" s="245"/>
      <c r="AA55" s="245"/>
      <c r="AB55" s="246"/>
      <c r="AC55" s="549"/>
      <c r="AD55" s="549"/>
      <c r="AE55" s="549"/>
      <c r="AF55" s="549"/>
      <c r="AG55" s="550"/>
    </row>
    <row r="56" spans="1:33" ht="15" customHeight="1" thickBot="1">
      <c r="A56" s="32"/>
      <c r="B56" s="245"/>
      <c r="C56" s="245"/>
      <c r="D56" s="245"/>
      <c r="E56" s="245"/>
      <c r="F56" s="245"/>
      <c r="G56" s="245"/>
      <c r="H56" s="245"/>
      <c r="I56" s="245"/>
      <c r="J56" s="245"/>
      <c r="K56" s="245"/>
      <c r="L56" s="245"/>
      <c r="M56" s="245"/>
      <c r="N56" s="245"/>
      <c r="O56" s="245"/>
      <c r="P56" s="245"/>
      <c r="Q56" s="245"/>
      <c r="R56" s="245"/>
      <c r="S56" s="245"/>
      <c r="T56" s="245"/>
      <c r="U56" s="245"/>
      <c r="V56" s="245"/>
      <c r="W56" s="245"/>
      <c r="X56" s="245"/>
      <c r="Y56" s="245"/>
      <c r="Z56" s="245"/>
      <c r="AA56" s="245"/>
      <c r="AB56" s="246"/>
      <c r="AC56" s="551" t="s">
        <v>180</v>
      </c>
      <c r="AD56" s="552"/>
      <c r="AE56" s="618"/>
      <c r="AF56" s="621" t="s">
        <v>167</v>
      </c>
      <c r="AG56" s="552"/>
    </row>
    <row r="57" spans="1:33" ht="15" customHeight="1" thickBot="1">
      <c r="A57" s="32"/>
      <c r="B57" s="108" t="str">
        <f>'Final Build Sheet'!B57</f>
        <v/>
      </c>
      <c r="C57" s="45" t="s">
        <v>83</v>
      </c>
      <c r="D57" s="45"/>
      <c r="E57" s="45"/>
      <c r="F57" s="45"/>
      <c r="G57" s="45"/>
      <c r="H57" s="45"/>
      <c r="I57" s="46" t="s">
        <v>16</v>
      </c>
      <c r="J57" s="239" t="str">
        <f>'Final Build Sheet'!J57</f>
        <v/>
      </c>
      <c r="K57" s="240"/>
      <c r="L57" s="240"/>
      <c r="M57" s="240"/>
      <c r="N57" s="240"/>
      <c r="O57" s="241"/>
      <c r="P57" s="45"/>
      <c r="Q57" s="45"/>
      <c r="R57" s="45"/>
      <c r="S57" s="45"/>
      <c r="T57" s="45"/>
      <c r="U57" s="45"/>
      <c r="V57" s="45"/>
      <c r="W57" s="45"/>
      <c r="X57" s="45"/>
      <c r="Y57" s="45"/>
      <c r="Z57" s="45"/>
      <c r="AA57" s="45"/>
      <c r="AB57" s="110" t="str">
        <f>'Final Build Sheet'!AB57</f>
        <v>Select One</v>
      </c>
      <c r="AC57" s="612"/>
      <c r="AD57" s="613"/>
      <c r="AE57" s="619"/>
      <c r="AF57" s="622"/>
      <c r="AG57" s="613"/>
    </row>
    <row r="58" spans="1:33" ht="15" customHeight="1" thickBot="1">
      <c r="A58" s="32"/>
      <c r="B58" s="45"/>
      <c r="C58" s="108" t="str">
        <f>'Final Build Sheet'!C58</f>
        <v/>
      </c>
      <c r="D58" s="45" t="str">
        <f>IF(Data!MI13=FALSE,"Larger Battery Required","Add a 600W Inverter")</f>
        <v>Larger Battery Required</v>
      </c>
      <c r="E58" s="45"/>
      <c r="F58" s="45"/>
      <c r="G58" s="45"/>
      <c r="H58" s="45"/>
      <c r="I58" s="45"/>
      <c r="J58" s="45"/>
      <c r="K58" s="45"/>
      <c r="L58" s="45"/>
      <c r="M58" s="45"/>
      <c r="N58" s="45"/>
      <c r="O58" s="45"/>
      <c r="P58" s="45"/>
      <c r="Q58" s="45"/>
      <c r="R58" s="45"/>
      <c r="S58" s="45"/>
      <c r="T58" s="45"/>
      <c r="U58" s="45"/>
      <c r="V58" s="45"/>
      <c r="W58" s="45"/>
      <c r="X58" s="45"/>
      <c r="Y58" s="45"/>
      <c r="Z58" s="45"/>
      <c r="AA58" s="45"/>
      <c r="AB58" s="110">
        <f>'Final Build Sheet'!AB58</f>
        <v>0</v>
      </c>
      <c r="AC58" s="614"/>
      <c r="AD58" s="615"/>
      <c r="AE58" s="619"/>
      <c r="AF58" s="623"/>
      <c r="AG58" s="615"/>
    </row>
    <row r="59" spans="1:33" ht="15" customHeight="1" thickBot="1">
      <c r="A59" s="32"/>
      <c r="B59" s="45"/>
      <c r="C59" s="45" t="s">
        <v>85</v>
      </c>
      <c r="D59" s="45"/>
      <c r="E59" s="45"/>
      <c r="F59" s="45"/>
      <c r="G59" s="239" t="str">
        <f>'Final Build Sheet'!G59</f>
        <v>Rear Galley</v>
      </c>
      <c r="H59" s="240"/>
      <c r="I59" s="240"/>
      <c r="J59" s="240"/>
      <c r="K59" s="241"/>
      <c r="L59" s="45"/>
      <c r="M59" s="45"/>
      <c r="N59" s="45"/>
      <c r="O59" s="45"/>
      <c r="P59" s="45"/>
      <c r="Q59" s="45"/>
      <c r="R59" s="45"/>
      <c r="S59" s="45"/>
      <c r="T59" s="45"/>
      <c r="U59" s="45"/>
      <c r="V59" s="45"/>
      <c r="W59" s="45"/>
      <c r="X59" s="45"/>
      <c r="Y59" s="45"/>
      <c r="Z59" s="45"/>
      <c r="AA59" s="45"/>
      <c r="AB59" s="110" t="str">
        <f>'Final Build Sheet'!AB59</f>
        <v>Standard</v>
      </c>
      <c r="AC59" s="616"/>
      <c r="AD59" s="617"/>
      <c r="AE59" s="620"/>
      <c r="AF59" s="624"/>
      <c r="AG59" s="617"/>
    </row>
    <row r="60" spans="1:33" ht="15" customHeight="1" thickBot="1">
      <c r="A60" s="32"/>
      <c r="B60" s="108" t="str">
        <f>'Final Build Sheet'!B60</f>
        <v/>
      </c>
      <c r="C60" s="45" t="s">
        <v>88</v>
      </c>
      <c r="D60" s="45"/>
      <c r="E60" s="45"/>
      <c r="F60" s="45"/>
      <c r="G60" s="45"/>
      <c r="H60" s="45"/>
      <c r="I60" s="45"/>
      <c r="J60" s="46" t="s">
        <v>16</v>
      </c>
      <c r="K60" s="239" t="str">
        <f>'Final Build Sheet'!K60</f>
        <v/>
      </c>
      <c r="L60" s="240"/>
      <c r="M60" s="240"/>
      <c r="N60" s="240"/>
      <c r="O60" s="240"/>
      <c r="P60" s="240"/>
      <c r="Q60" s="241"/>
      <c r="R60" s="45" t="str">
        <f>IF(Data!MO18=TRUE,"Installed in Rear Galley","")</f>
        <v/>
      </c>
      <c r="S60" s="45"/>
      <c r="T60" s="45"/>
      <c r="U60" s="45"/>
      <c r="V60" s="45"/>
      <c r="W60" s="45"/>
      <c r="X60" s="45"/>
      <c r="Y60" s="45"/>
      <c r="Z60" s="45"/>
      <c r="AA60" s="45"/>
      <c r="AB60" s="110">
        <f>'Final Build Sheet'!AB60</f>
        <v>0</v>
      </c>
      <c r="AC60" s="569" t="s">
        <v>194</v>
      </c>
      <c r="AD60" s="569"/>
      <c r="AE60" s="569"/>
      <c r="AF60" s="569"/>
      <c r="AG60" s="570"/>
    </row>
    <row r="61" spans="1:33" ht="15" customHeight="1" thickBot="1">
      <c r="A61" s="32"/>
      <c r="B61" s="45"/>
      <c r="C61" s="108" t="str">
        <f>'Final Build Sheet'!C61</f>
        <v/>
      </c>
      <c r="D61" s="45" t="s">
        <v>89</v>
      </c>
      <c r="E61" s="45"/>
      <c r="F61" s="45"/>
      <c r="G61" s="45"/>
      <c r="H61" s="45"/>
      <c r="I61" s="45"/>
      <c r="J61" s="45"/>
      <c r="K61" s="45"/>
      <c r="L61" s="45"/>
      <c r="M61" s="45"/>
      <c r="N61" s="45"/>
      <c r="O61" s="45"/>
      <c r="P61" s="45"/>
      <c r="Q61" s="45"/>
      <c r="R61" s="45"/>
      <c r="S61" s="45"/>
      <c r="T61" s="45"/>
      <c r="U61" s="45"/>
      <c r="V61" s="45"/>
      <c r="W61" s="45"/>
      <c r="X61" s="45"/>
      <c r="Y61" s="45"/>
      <c r="Z61" s="45"/>
      <c r="AA61" s="45"/>
      <c r="AB61" s="110">
        <f>'Final Build Sheet'!AB61</f>
        <v>0</v>
      </c>
      <c r="AC61" s="571"/>
      <c r="AD61" s="571"/>
      <c r="AE61" s="571"/>
      <c r="AF61" s="571"/>
      <c r="AG61" s="572"/>
    </row>
    <row r="62" spans="1:33" ht="15" customHeight="1" thickBot="1">
      <c r="A62" s="32"/>
      <c r="B62" s="45"/>
      <c r="C62" s="108" t="str">
        <f>'Final Build Sheet'!C62</f>
        <v/>
      </c>
      <c r="D62" s="45" t="s">
        <v>90</v>
      </c>
      <c r="E62" s="45"/>
      <c r="F62" s="45"/>
      <c r="G62" s="45"/>
      <c r="H62" s="45"/>
      <c r="I62" s="45"/>
      <c r="J62" s="45"/>
      <c r="K62" s="45"/>
      <c r="L62" s="45"/>
      <c r="M62" s="45"/>
      <c r="N62" s="45"/>
      <c r="O62" s="46" t="s">
        <v>70</v>
      </c>
      <c r="P62" s="239" t="str">
        <f>'Final Build Sheet'!P62</f>
        <v/>
      </c>
      <c r="Q62" s="240"/>
      <c r="R62" s="240"/>
      <c r="S62" s="240"/>
      <c r="T62" s="241"/>
      <c r="U62" s="45"/>
      <c r="V62" s="45"/>
      <c r="W62" s="45"/>
      <c r="X62" s="45"/>
      <c r="Y62" s="45"/>
      <c r="Z62" s="45"/>
      <c r="AA62" s="45"/>
      <c r="AB62" s="110">
        <f>'Final Build Sheet'!AB62</f>
        <v>0</v>
      </c>
      <c r="AC62" s="573">
        <v>0</v>
      </c>
      <c r="AD62" s="573"/>
      <c r="AE62" s="573"/>
      <c r="AF62" s="573"/>
      <c r="AG62" s="574"/>
    </row>
    <row r="63" spans="1:33" ht="15" customHeight="1" thickBot="1">
      <c r="A63" s="32"/>
      <c r="B63" s="45"/>
      <c r="C63" s="108" t="str">
        <f>'Final Build Sheet'!C63</f>
        <v/>
      </c>
      <c r="D63" s="45" t="s">
        <v>92</v>
      </c>
      <c r="E63" s="45"/>
      <c r="F63" s="45"/>
      <c r="G63" s="45"/>
      <c r="H63" s="45"/>
      <c r="I63" s="45"/>
      <c r="J63" s="45"/>
      <c r="K63" s="45"/>
      <c r="L63" s="45"/>
      <c r="M63" s="45"/>
      <c r="N63" s="45"/>
      <c r="O63" s="45"/>
      <c r="P63" s="45"/>
      <c r="Q63" s="45"/>
      <c r="R63" s="45"/>
      <c r="S63" s="45"/>
      <c r="T63" s="45"/>
      <c r="U63" s="45"/>
      <c r="V63" s="45"/>
      <c r="W63" s="45"/>
      <c r="X63" s="45"/>
      <c r="Y63" s="45"/>
      <c r="Z63" s="45"/>
      <c r="AA63" s="45"/>
      <c r="AB63" s="110">
        <f>'Final Build Sheet'!AB63</f>
        <v>0</v>
      </c>
      <c r="AC63" s="575"/>
      <c r="AD63" s="575"/>
      <c r="AE63" s="575"/>
      <c r="AF63" s="575"/>
      <c r="AG63" s="576"/>
    </row>
    <row r="64" spans="1:33" ht="15" customHeight="1" thickBot="1">
      <c r="A64" s="54"/>
      <c r="B64" s="108" t="str">
        <f>'Final Build Sheet'!B64</f>
        <v/>
      </c>
      <c r="C64" s="45" t="s">
        <v>93</v>
      </c>
      <c r="D64" s="45"/>
      <c r="E64" s="45"/>
      <c r="F64" s="45"/>
      <c r="G64" s="45"/>
      <c r="H64" s="45"/>
      <c r="I64" s="45"/>
      <c r="J64" s="45"/>
      <c r="K64" s="45"/>
      <c r="L64" s="45"/>
      <c r="M64" s="45"/>
      <c r="N64" s="45"/>
      <c r="O64" s="45"/>
      <c r="P64" s="45"/>
      <c r="Q64" s="45"/>
      <c r="R64" s="45"/>
      <c r="S64" s="45" t="s">
        <v>63</v>
      </c>
      <c r="T64" s="45"/>
      <c r="U64" s="45"/>
      <c r="V64" s="45"/>
      <c r="W64" s="45"/>
      <c r="X64" s="45"/>
      <c r="Y64" s="45"/>
      <c r="Z64" s="45"/>
      <c r="AA64" s="45"/>
      <c r="AB64" s="110">
        <f>'Final Build Sheet'!AB64</f>
        <v>0</v>
      </c>
      <c r="AC64" s="577"/>
      <c r="AD64" s="577"/>
      <c r="AE64" s="577"/>
      <c r="AF64" s="577"/>
      <c r="AG64" s="578"/>
    </row>
    <row r="65" spans="1:33" ht="15" customHeight="1" thickBot="1">
      <c r="A65" s="24"/>
      <c r="B65" s="108" t="str">
        <f>'Final Build Sheet'!B65</f>
        <v/>
      </c>
      <c r="C65" s="24" t="s">
        <v>94</v>
      </c>
      <c r="D65" s="26"/>
      <c r="E65" s="26"/>
      <c r="F65" s="26"/>
      <c r="G65" s="26"/>
      <c r="H65" s="108" t="str">
        <f>'Final Build Sheet'!H65</f>
        <v/>
      </c>
      <c r="I65" s="163" t="str">
        <f>'Final Build Sheet'!I65</f>
        <v>N/A</v>
      </c>
      <c r="J65" s="26"/>
      <c r="K65" s="26"/>
      <c r="L65" s="26"/>
      <c r="M65" s="26"/>
      <c r="N65" s="26"/>
      <c r="O65" s="108" t="str">
        <f>'Final Build Sheet'!O65</f>
        <v/>
      </c>
      <c r="P65" s="163" t="str">
        <f>'Final Build Sheet'!P65</f>
        <v>N/A</v>
      </c>
      <c r="Q65" s="26"/>
      <c r="R65" s="26"/>
      <c r="S65" s="26"/>
      <c r="T65" s="26"/>
      <c r="U65" s="26"/>
      <c r="V65" s="26"/>
      <c r="W65" s="26"/>
      <c r="X65" s="26"/>
      <c r="Y65" s="26"/>
      <c r="Z65" s="26"/>
      <c r="AA65" s="31"/>
      <c r="AB65" s="110">
        <f>'Final Build Sheet'!AB65</f>
        <v>0</v>
      </c>
      <c r="AC65" s="589" t="s">
        <v>99</v>
      </c>
      <c r="AD65" s="590"/>
      <c r="AE65" s="590"/>
      <c r="AF65" s="590"/>
      <c r="AG65" s="591"/>
    </row>
    <row r="66" spans="1:33" ht="15" customHeight="1" thickBot="1">
      <c r="A66" s="27" t="s">
        <v>95</v>
      </c>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102"/>
      <c r="AC66" s="592"/>
      <c r="AD66" s="593"/>
      <c r="AE66" s="593"/>
      <c r="AF66" s="593"/>
      <c r="AG66" s="594"/>
    </row>
    <row r="67" spans="1:33" ht="15" customHeight="1" thickBot="1">
      <c r="A67" s="27"/>
      <c r="B67" s="45" t="s">
        <v>96</v>
      </c>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102"/>
      <c r="AC67" s="128" t="s">
        <v>102</v>
      </c>
      <c r="AD67" s="4" t="e">
        <f>'Final Build Sheet'!AD71</f>
        <v>#N/A</v>
      </c>
      <c r="AE67" s="4" t="s">
        <v>103</v>
      </c>
      <c r="AF67" s="259" t="s">
        <v>104</v>
      </c>
      <c r="AG67" s="325" t="str">
        <f>'Final Build Sheet'!AG71</f>
        <v>7-Pin</v>
      </c>
    </row>
    <row r="68" spans="1:33" ht="15" customHeight="1" thickBot="1">
      <c r="A68" s="32"/>
      <c r="B68" s="45" t="s">
        <v>97</v>
      </c>
      <c r="C68" s="45"/>
      <c r="D68" s="45"/>
      <c r="E68" s="45"/>
      <c r="F68" s="239">
        <f>'Final Build Sheet'!F68</f>
        <v>0</v>
      </c>
      <c r="G68" s="240"/>
      <c r="H68" s="241"/>
      <c r="I68" s="45"/>
      <c r="J68" s="45"/>
      <c r="K68" s="45"/>
      <c r="L68" s="45"/>
      <c r="M68" s="45"/>
      <c r="N68" s="45"/>
      <c r="O68" s="45"/>
      <c r="P68" s="45"/>
      <c r="Q68" s="45"/>
      <c r="R68" s="45"/>
      <c r="S68" s="45"/>
      <c r="T68" s="45"/>
      <c r="U68" s="45"/>
      <c r="V68" s="45"/>
      <c r="W68" s="45"/>
      <c r="X68" s="45"/>
      <c r="Y68" s="45"/>
      <c r="Z68" s="45"/>
      <c r="AA68" s="45"/>
      <c r="AB68" s="110" t="str">
        <f>'Final Build Sheet'!AB68</f>
        <v>Error</v>
      </c>
      <c r="AC68" s="129" t="s">
        <v>107</v>
      </c>
      <c r="AD68" s="3" t="e">
        <f>'Final Build Sheet'!AD72</f>
        <v>#N/A</v>
      </c>
      <c r="AE68" s="3" t="s">
        <v>103</v>
      </c>
      <c r="AF68" s="260"/>
      <c r="AG68" s="326"/>
    </row>
    <row r="69" spans="1:33" ht="15" customHeight="1" thickBot="1">
      <c r="A69" s="32"/>
      <c r="B69" s="108" t="str">
        <f>'Final Build Sheet'!B69</f>
        <v/>
      </c>
      <c r="C69" s="45" t="s">
        <v>98</v>
      </c>
      <c r="D69" s="45"/>
      <c r="E69" s="45"/>
      <c r="F69" s="45"/>
      <c r="G69" s="45"/>
      <c r="H69" s="46" t="s">
        <v>16</v>
      </c>
      <c r="I69" s="239" t="str">
        <f>'Final Build Sheet'!I69</f>
        <v/>
      </c>
      <c r="J69" s="240"/>
      <c r="K69" s="247"/>
      <c r="L69" s="247"/>
      <c r="M69" s="248"/>
      <c r="N69" s="45"/>
      <c r="O69" s="45"/>
      <c r="P69" s="45"/>
      <c r="Q69" s="45"/>
      <c r="R69" s="45"/>
      <c r="S69" s="45"/>
      <c r="T69" s="45"/>
      <c r="U69" s="45"/>
      <c r="V69" s="45"/>
      <c r="W69" s="45"/>
      <c r="X69" s="45"/>
      <c r="Y69" s="45"/>
      <c r="Z69" s="45"/>
      <c r="AA69" s="45"/>
      <c r="AB69" s="110">
        <f>'Final Build Sheet'!AB69</f>
        <v>0</v>
      </c>
      <c r="AC69" s="130" t="s">
        <v>109</v>
      </c>
      <c r="AD69" s="59"/>
      <c r="AE69" s="60"/>
      <c r="AF69" s="61"/>
      <c r="AG69" s="44" t="str">
        <f>'Final Build Sheet'!AG73</f>
        <v>No</v>
      </c>
    </row>
    <row r="70" spans="1:33" ht="15" customHeight="1" thickBot="1">
      <c r="A70" s="32"/>
      <c r="B70" s="108" t="str">
        <f>'Final Build Sheet'!B70</f>
        <v/>
      </c>
      <c r="C70" s="45" t="s">
        <v>100</v>
      </c>
      <c r="D70" s="45"/>
      <c r="E70" s="45"/>
      <c r="F70" s="45"/>
      <c r="G70" s="45"/>
      <c r="H70" s="45"/>
      <c r="I70" s="45"/>
      <c r="J70" s="46" t="s">
        <v>16</v>
      </c>
      <c r="K70" s="239" t="str">
        <f>'Final Build Sheet'!K70</f>
        <v/>
      </c>
      <c r="L70" s="240"/>
      <c r="M70" s="240"/>
      <c r="N70" s="241"/>
      <c r="O70" s="45" t="str">
        <f>IF(K70=Basic_Light,Switch_EXT,IF(OR(K70=Flood_Light,K70=Spot_Light),Switch_EXT,""))</f>
        <v/>
      </c>
      <c r="P70" s="45"/>
      <c r="Q70" s="45"/>
      <c r="R70" s="45"/>
      <c r="S70" s="45"/>
      <c r="T70" s="45"/>
      <c r="U70" s="45"/>
      <c r="V70" s="45"/>
      <c r="W70" s="45"/>
      <c r="X70" s="45"/>
      <c r="Y70" s="45"/>
      <c r="Z70" s="45"/>
      <c r="AA70" s="45"/>
      <c r="AB70" s="110">
        <f>'Final Build Sheet'!AB70</f>
        <v>0</v>
      </c>
      <c r="AC70" s="131" t="s">
        <v>111</v>
      </c>
      <c r="AD70" s="56"/>
      <c r="AE70" s="55"/>
      <c r="AF70" s="56"/>
      <c r="AG70" s="126" t="e">
        <f>'Final Build Sheet'!AG74</f>
        <v>#N/A</v>
      </c>
    </row>
    <row r="71" spans="1:33" ht="15" customHeight="1" thickBot="1">
      <c r="A71" s="32"/>
      <c r="B71" s="108" t="str">
        <f>'Final Build Sheet'!B71</f>
        <v/>
      </c>
      <c r="C71" s="45" t="s">
        <v>101</v>
      </c>
      <c r="D71" s="45"/>
      <c r="E71" s="45"/>
      <c r="F71" s="45"/>
      <c r="G71" s="45"/>
      <c r="H71" s="45"/>
      <c r="I71" s="45"/>
      <c r="J71" s="46" t="s">
        <v>16</v>
      </c>
      <c r="K71" s="239" t="str">
        <f>'Final Build Sheet'!K71</f>
        <v/>
      </c>
      <c r="L71" s="240"/>
      <c r="M71" s="240"/>
      <c r="N71" s="241"/>
      <c r="O71" s="45" t="str">
        <f>IF(K71=Basic_Light,Switch_EXT,IF(OR(K71=Flood_Light,K71=Spot_Light),Switch_EXT,""))</f>
        <v/>
      </c>
      <c r="P71" s="45"/>
      <c r="Q71" s="45"/>
      <c r="R71" s="45"/>
      <c r="S71" s="45"/>
      <c r="T71" s="45"/>
      <c r="U71" s="45"/>
      <c r="V71" s="45"/>
      <c r="W71" s="45"/>
      <c r="X71" s="45"/>
      <c r="Y71" s="45"/>
      <c r="Z71" s="45"/>
      <c r="AA71" s="45"/>
      <c r="AB71" s="110">
        <f>'Final Build Sheet'!AB71</f>
        <v>0</v>
      </c>
      <c r="AC71" s="132" t="s">
        <v>114</v>
      </c>
      <c r="AD71" s="58"/>
      <c r="AE71" s="57"/>
      <c r="AF71" s="58"/>
      <c r="AG71" s="127" t="e">
        <f>'Final Build Sheet'!AG75</f>
        <v>#N/A</v>
      </c>
    </row>
    <row r="72" spans="1:33" ht="15" customHeight="1" thickBot="1">
      <c r="A72" s="30"/>
      <c r="B72" s="108" t="str">
        <f>'Final Build Sheet'!B72</f>
        <v/>
      </c>
      <c r="C72" s="24" t="s">
        <v>106</v>
      </c>
      <c r="D72" s="26"/>
      <c r="E72" s="26"/>
      <c r="F72" s="26"/>
      <c r="G72" s="26"/>
      <c r="H72" s="26"/>
      <c r="I72" s="26"/>
      <c r="J72" s="33" t="s">
        <v>16</v>
      </c>
      <c r="K72" s="239" t="str">
        <f>'Final Build Sheet'!K72</f>
        <v/>
      </c>
      <c r="L72" s="240"/>
      <c r="M72" s="240"/>
      <c r="N72" s="241"/>
      <c r="O72" s="24" t="str">
        <f>IF(K72=Basic_Light,Switch_EXT,IF(OR(K72=Flood_Light,K72=Spot_Light),Switch_EXT,""))</f>
        <v/>
      </c>
      <c r="P72" s="26"/>
      <c r="Q72" s="26"/>
      <c r="R72" s="26"/>
      <c r="S72" s="26"/>
      <c r="T72" s="26"/>
      <c r="U72" s="26"/>
      <c r="V72" s="26"/>
      <c r="W72" s="26"/>
      <c r="X72" s="26"/>
      <c r="Y72" s="26"/>
      <c r="Z72" s="26"/>
      <c r="AA72" s="26"/>
      <c r="AB72" s="110">
        <f>'Final Build Sheet'!AB72</f>
        <v>0</v>
      </c>
      <c r="AC72" s="133" t="s">
        <v>116</v>
      </c>
      <c r="AD72" s="134"/>
      <c r="AE72" s="135"/>
      <c r="AF72" s="509" t="str">
        <f>'Final Build Sheet'!AF76</f>
        <v>13/16th or 19mm</v>
      </c>
      <c r="AG72" s="510"/>
    </row>
    <row r="73" spans="1:33" ht="15" customHeight="1" thickBot="1">
      <c r="A73" s="27" t="s">
        <v>108</v>
      </c>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102"/>
      <c r="AC73" s="335" t="s">
        <v>118</v>
      </c>
      <c r="AD73" s="335"/>
      <c r="AE73" s="335"/>
      <c r="AF73" s="335"/>
      <c r="AG73" s="336"/>
    </row>
    <row r="74" spans="1:33" ht="15" customHeight="1" thickBot="1">
      <c r="A74" s="32"/>
      <c r="B74" s="108" t="str">
        <f>'Final Build Sheet'!B74</f>
        <v/>
      </c>
      <c r="C74" s="45" t="s">
        <v>110</v>
      </c>
      <c r="D74" s="45"/>
      <c r="E74" s="45"/>
      <c r="F74" s="45"/>
      <c r="G74" s="45"/>
      <c r="H74" s="45"/>
      <c r="I74" s="46" t="s">
        <v>16</v>
      </c>
      <c r="J74" s="239" t="str">
        <f>'Final Build Sheet'!J74</f>
        <v/>
      </c>
      <c r="K74" s="240"/>
      <c r="L74" s="240"/>
      <c r="M74" s="240"/>
      <c r="N74" s="240"/>
      <c r="O74" s="240"/>
      <c r="P74" s="241"/>
      <c r="Q74" s="45" t="str">
        <f>IF(J74&lt;&gt;"","Connection Type","")</f>
        <v/>
      </c>
      <c r="R74" s="45"/>
      <c r="S74" s="45"/>
      <c r="T74" s="45"/>
      <c r="U74" s="45" t="str">
        <f>IF(Data!ON34=TRUE,Data!OO33,IF(Data!ON37=TRUE,Data!OO36,IF(Data!ON40=TRUE,Data!OO39,IF(Data!ON43=TRUE,Data!OO42,""))))</f>
        <v/>
      </c>
      <c r="V74" s="45"/>
      <c r="W74" s="45"/>
      <c r="X74" s="45"/>
      <c r="Y74" s="45"/>
      <c r="Z74" s="45"/>
      <c r="AA74" s="45"/>
      <c r="AB74" s="110">
        <f>'Final Build Sheet'!AB74</f>
        <v>0</v>
      </c>
      <c r="AC74" s="335"/>
      <c r="AD74" s="335"/>
      <c r="AE74" s="335"/>
      <c r="AF74" s="335"/>
      <c r="AG74" s="336"/>
    </row>
    <row r="75" spans="1:33" ht="15" customHeight="1" thickBot="1">
      <c r="A75" s="119"/>
      <c r="B75" s="108" t="str">
        <f>'Final Build Sheet'!B75</f>
        <v/>
      </c>
      <c r="C75" s="45" t="s">
        <v>112</v>
      </c>
      <c r="D75" s="45"/>
      <c r="E75" s="45"/>
      <c r="F75" s="45"/>
      <c r="G75" s="45"/>
      <c r="H75" s="45"/>
      <c r="I75" s="46" t="s">
        <v>16</v>
      </c>
      <c r="J75" s="239" t="str">
        <f>'Final Build Sheet'!J75</f>
        <v/>
      </c>
      <c r="K75" s="240"/>
      <c r="L75" s="240"/>
      <c r="M75" s="240"/>
      <c r="N75" s="240"/>
      <c r="O75" s="240"/>
      <c r="P75" s="241"/>
      <c r="Q75" s="45"/>
      <c r="R75" s="45"/>
      <c r="S75" s="120" t="s">
        <v>113</v>
      </c>
      <c r="T75" s="239" t="str">
        <f>'Final Build Sheet'!T75</f>
        <v/>
      </c>
      <c r="U75" s="240"/>
      <c r="V75" s="240"/>
      <c r="W75" s="240"/>
      <c r="X75" s="241"/>
      <c r="Y75" s="45" t="str">
        <f>IF(AND(B75="x",J75&lt;&gt;"",T75=""),"Required","")</f>
        <v/>
      </c>
      <c r="Z75" s="45"/>
      <c r="AA75" s="45"/>
      <c r="AB75" s="110">
        <f>'Final Build Sheet'!AB75</f>
        <v>0</v>
      </c>
      <c r="AC75" s="335"/>
      <c r="AD75" s="335"/>
      <c r="AE75" s="335"/>
      <c r="AF75" s="335"/>
      <c r="AG75" s="336"/>
    </row>
    <row r="76" spans="1:33" ht="15" customHeight="1" thickBot="1">
      <c r="A76" s="30"/>
      <c r="B76" s="108" t="str">
        <f>'Final Build Sheet'!B76</f>
        <v/>
      </c>
      <c r="C76" s="24" t="s">
        <v>115</v>
      </c>
      <c r="D76" s="26"/>
      <c r="E76" s="26"/>
      <c r="F76" s="26"/>
      <c r="G76" s="26"/>
      <c r="H76" s="26"/>
      <c r="I76" s="33" t="s">
        <v>16</v>
      </c>
      <c r="J76" s="239" t="str">
        <f>'Final Build Sheet'!J76</f>
        <v/>
      </c>
      <c r="K76" s="240"/>
      <c r="L76" s="240"/>
      <c r="M76" s="240"/>
      <c r="N76" s="240"/>
      <c r="O76" s="240"/>
      <c r="P76" s="241"/>
      <c r="Q76" s="24"/>
      <c r="R76" s="26"/>
      <c r="S76" s="26"/>
      <c r="T76" s="26"/>
      <c r="U76" s="26"/>
      <c r="V76" s="26"/>
      <c r="W76" s="26"/>
      <c r="X76" s="26"/>
      <c r="Y76" s="26"/>
      <c r="Z76" s="26"/>
      <c r="AA76" s="31"/>
      <c r="AB76" s="110">
        <f>'Final Build Sheet'!AB76</f>
        <v>0</v>
      </c>
      <c r="AC76" s="335"/>
      <c r="AD76" s="335"/>
      <c r="AE76" s="335"/>
      <c r="AF76" s="335"/>
      <c r="AG76" s="336"/>
    </row>
    <row r="77" spans="1:33" ht="15" customHeight="1" thickBot="1">
      <c r="A77" s="27" t="s">
        <v>117</v>
      </c>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102"/>
      <c r="AC77" s="335"/>
      <c r="AD77" s="335"/>
      <c r="AE77" s="335"/>
      <c r="AF77" s="335"/>
      <c r="AG77" s="336"/>
    </row>
    <row r="78" spans="1:33" ht="15" customHeight="1" thickBot="1">
      <c r="A78" s="27"/>
      <c r="B78" s="108" t="str">
        <f>'Final Build Sheet'!B78</f>
        <v/>
      </c>
      <c r="C78" s="45" t="s">
        <v>119</v>
      </c>
      <c r="D78" s="45"/>
      <c r="E78" s="45"/>
      <c r="F78" s="45"/>
      <c r="G78" s="45"/>
      <c r="H78" s="45"/>
      <c r="I78" s="45"/>
      <c r="J78" s="45"/>
      <c r="K78" s="45"/>
      <c r="L78" s="45"/>
      <c r="M78" s="45"/>
      <c r="N78" s="45"/>
      <c r="O78" s="45"/>
      <c r="P78" s="45"/>
      <c r="Q78" s="45"/>
      <c r="R78" s="45"/>
      <c r="S78" s="45"/>
      <c r="T78" s="45"/>
      <c r="U78" s="45"/>
      <c r="V78" s="45"/>
      <c r="W78" s="45"/>
      <c r="X78" s="45"/>
      <c r="Y78" s="45"/>
      <c r="Z78" s="45"/>
      <c r="AA78" s="45"/>
      <c r="AB78" s="110">
        <f>'Final Build Sheet'!AB78</f>
        <v>0</v>
      </c>
      <c r="AC78" s="338"/>
      <c r="AD78" s="338"/>
      <c r="AE78" s="338"/>
      <c r="AF78" s="338"/>
      <c r="AG78" s="339"/>
    </row>
    <row r="79" spans="1:33" ht="15" customHeight="1" thickBot="1">
      <c r="A79" s="119"/>
      <c r="B79" s="108" t="str">
        <f>'Final Build Sheet'!B79</f>
        <v/>
      </c>
      <c r="C79" s="45" t="str">
        <f>IF(Data!PF40=TRUE,Data!PF43,Data!PF44)</f>
        <v>Undermount Water Not Available on This Model or Size</v>
      </c>
      <c r="D79" s="45"/>
      <c r="E79" s="45"/>
      <c r="F79" s="45"/>
      <c r="G79" s="45"/>
      <c r="H79" s="45"/>
      <c r="I79" s="45"/>
      <c r="J79" s="45"/>
      <c r="K79" s="45"/>
      <c r="L79" s="45"/>
      <c r="M79" s="45"/>
      <c r="N79" s="45"/>
      <c r="O79" s="45"/>
      <c r="P79" s="45"/>
      <c r="Q79" s="45"/>
      <c r="R79" s="45"/>
      <c r="S79" s="45"/>
      <c r="T79" s="45"/>
      <c r="U79" s="45"/>
      <c r="V79" s="45"/>
      <c r="W79" s="45"/>
      <c r="X79" s="45"/>
      <c r="Y79" s="45"/>
      <c r="Z79" s="45"/>
      <c r="AA79" s="45"/>
      <c r="AB79" s="110" t="str">
        <f>'Final Build Sheet'!AB79</f>
        <v>N/A</v>
      </c>
      <c r="AC79" s="579" t="s">
        <v>195</v>
      </c>
      <c r="AD79" s="580"/>
      <c r="AE79" s="583">
        <f>'Final Build Sheet'!AF14</f>
        <v>0</v>
      </c>
      <c r="AF79" s="584"/>
      <c r="AG79" s="585"/>
    </row>
    <row r="80" spans="1:33" ht="15" customHeight="1" thickBot="1">
      <c r="A80" s="24"/>
      <c r="B80" s="108" t="str">
        <f>'Final Build Sheet'!B80</f>
        <v/>
      </c>
      <c r="C80" s="24" t="s">
        <v>120</v>
      </c>
      <c r="D80" s="26"/>
      <c r="E80" s="26"/>
      <c r="F80" s="26"/>
      <c r="G80" s="26"/>
      <c r="H80" s="26"/>
      <c r="I80" s="26"/>
      <c r="J80" s="26" t="str">
        <f>IF(AND(B80="x",B79=""),"*Requires Constant Pressure to Operate","")</f>
        <v/>
      </c>
      <c r="K80" s="26"/>
      <c r="L80" s="26"/>
      <c r="M80" s="26"/>
      <c r="N80" s="26"/>
      <c r="O80" s="26"/>
      <c r="P80" s="26"/>
      <c r="Q80" s="26"/>
      <c r="R80" s="26"/>
      <c r="S80" s="26"/>
      <c r="T80" s="26"/>
      <c r="U80" s="26"/>
      <c r="V80" s="26"/>
      <c r="W80" s="26"/>
      <c r="X80" s="26"/>
      <c r="Y80" s="26"/>
      <c r="Z80" s="26"/>
      <c r="AA80" s="26"/>
      <c r="AB80" s="110">
        <f>'Final Build Sheet'!AB80</f>
        <v>0</v>
      </c>
      <c r="AC80" s="581"/>
      <c r="AD80" s="582"/>
      <c r="AE80" s="586"/>
      <c r="AF80" s="587"/>
      <c r="AG80" s="588"/>
    </row>
    <row r="81" spans="1:33" ht="15" customHeight="1" thickBot="1">
      <c r="A81" s="27" t="s">
        <v>121</v>
      </c>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102"/>
      <c r="AC81" s="84"/>
      <c r="AD81" s="84"/>
      <c r="AE81" s="84"/>
      <c r="AF81" s="84"/>
      <c r="AG81" s="85"/>
    </row>
    <row r="82" spans="1:33" ht="15" customHeight="1" thickBot="1">
      <c r="A82" s="32"/>
      <c r="B82" s="108" t="str">
        <f>'Final Build Sheet'!B82</f>
        <v/>
      </c>
      <c r="C82" s="45" t="s">
        <v>122</v>
      </c>
      <c r="D82" s="45"/>
      <c r="E82" s="45"/>
      <c r="F82" s="45"/>
      <c r="G82" s="45"/>
      <c r="H82" s="45"/>
      <c r="I82" s="46" t="s">
        <v>16</v>
      </c>
      <c r="J82" s="239" t="str">
        <f>'Final Build Sheet'!J82</f>
        <v/>
      </c>
      <c r="K82" s="240"/>
      <c r="L82" s="240"/>
      <c r="M82" s="240"/>
      <c r="N82" s="240"/>
      <c r="O82" s="240"/>
      <c r="P82" s="240"/>
      <c r="Q82" s="240"/>
      <c r="R82" s="241"/>
      <c r="S82" s="45" t="str">
        <f>IF(Data!PL38=TRUE,IF(Data!PL31=TRUE,Data!PL34,Data!PL35),"")</f>
        <v/>
      </c>
      <c r="T82" s="45"/>
      <c r="U82" s="45"/>
      <c r="V82" s="45"/>
      <c r="W82" s="45"/>
      <c r="X82" s="45"/>
      <c r="Y82" s="45"/>
      <c r="Z82" s="45"/>
      <c r="AA82" s="45"/>
      <c r="AB82" s="110">
        <f>'Final Build Sheet'!AB82</f>
        <v>0</v>
      </c>
      <c r="AC82" s="86"/>
      <c r="AD82" s="86"/>
      <c r="AE82" s="86"/>
      <c r="AF82" s="86"/>
      <c r="AG82" s="87"/>
    </row>
    <row r="83" spans="1:33" ht="15" customHeight="1" thickBot="1">
      <c r="A83" s="30"/>
      <c r="B83" s="108" t="str">
        <f>'Final Build Sheet'!B83</f>
        <v/>
      </c>
      <c r="C83" s="24" t="str">
        <f>IF(Data!PL41=TRUE,Data!PL45,Data!PL44)</f>
        <v>Fridge Box Required for Slide Add On</v>
      </c>
      <c r="D83" s="26"/>
      <c r="E83" s="26"/>
      <c r="F83" s="26"/>
      <c r="G83" s="26"/>
      <c r="H83" s="26"/>
      <c r="I83" s="26"/>
      <c r="J83" s="26"/>
      <c r="K83" s="26"/>
      <c r="L83" s="26"/>
      <c r="M83" s="26"/>
      <c r="N83" s="26"/>
      <c r="O83" s="26"/>
      <c r="P83" s="26"/>
      <c r="Q83" s="26"/>
      <c r="R83" s="26"/>
      <c r="S83" s="26"/>
      <c r="T83" s="26"/>
      <c r="U83" s="26"/>
      <c r="V83" s="26"/>
      <c r="W83" s="26"/>
      <c r="X83" s="26"/>
      <c r="Y83" s="26"/>
      <c r="Z83" s="26"/>
      <c r="AA83" s="31"/>
      <c r="AB83" s="110" t="str">
        <f>'Final Build Sheet'!AB83</f>
        <v>N/A</v>
      </c>
      <c r="AC83" s="346" t="s">
        <v>196</v>
      </c>
      <c r="AD83" s="347"/>
      <c r="AE83" s="347"/>
      <c r="AF83" s="347"/>
      <c r="AG83" s="348"/>
    </row>
    <row r="84" spans="1:33" ht="15" customHeight="1" thickBot="1">
      <c r="A84" s="27" t="s">
        <v>124</v>
      </c>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105"/>
      <c r="AC84" s="340"/>
      <c r="AD84" s="335"/>
      <c r="AE84" s="335"/>
      <c r="AF84" s="335"/>
      <c r="AG84" s="336"/>
    </row>
    <row r="85" spans="1:33" ht="15" customHeight="1" thickBot="1">
      <c r="A85" s="32"/>
      <c r="B85" s="108" t="str">
        <f>'Final Build Sheet'!B85</f>
        <v/>
      </c>
      <c r="C85" s="45" t="s">
        <v>125</v>
      </c>
      <c r="D85" s="45"/>
      <c r="E85" s="45"/>
      <c r="F85" s="45"/>
      <c r="G85" s="45"/>
      <c r="H85" s="45"/>
      <c r="I85" s="45"/>
      <c r="J85" s="46"/>
      <c r="K85" s="45"/>
      <c r="L85" s="45"/>
      <c r="M85" s="45"/>
      <c r="N85" s="45"/>
      <c r="O85" s="45"/>
      <c r="P85" s="45"/>
      <c r="Q85" s="45"/>
      <c r="R85" s="45"/>
      <c r="S85" s="45"/>
      <c r="T85" s="45"/>
      <c r="U85" s="45"/>
      <c r="V85" s="45"/>
      <c r="W85" s="45"/>
      <c r="X85" s="45"/>
      <c r="Y85" s="45"/>
      <c r="Z85" s="45"/>
      <c r="AA85" s="45"/>
      <c r="AB85" s="110">
        <f>'Final Build Sheet'!AB85</f>
        <v>0</v>
      </c>
      <c r="AC85" s="340"/>
      <c r="AD85" s="335"/>
      <c r="AE85" s="335"/>
      <c r="AF85" s="335"/>
      <c r="AG85" s="336"/>
    </row>
    <row r="86" spans="1:33" ht="15" customHeight="1" thickBot="1">
      <c r="A86" s="32"/>
      <c r="B86" s="108" t="str">
        <f>'Final Build Sheet'!B86</f>
        <v/>
      </c>
      <c r="C86" s="45" t="s">
        <v>126</v>
      </c>
      <c r="D86" s="45"/>
      <c r="E86" s="45"/>
      <c r="F86" s="45"/>
      <c r="G86" s="45"/>
      <c r="H86" s="45"/>
      <c r="I86" s="45"/>
      <c r="J86" s="45"/>
      <c r="K86" s="45"/>
      <c r="L86" s="45"/>
      <c r="M86" s="45"/>
      <c r="N86" s="45"/>
      <c r="O86" s="45"/>
      <c r="P86" s="45"/>
      <c r="Q86" s="45"/>
      <c r="R86" s="45"/>
      <c r="S86" s="45"/>
      <c r="T86" s="45"/>
      <c r="U86" s="45"/>
      <c r="V86" s="45"/>
      <c r="W86" s="45"/>
      <c r="X86" s="45"/>
      <c r="Y86" s="45"/>
      <c r="Z86" s="45"/>
      <c r="AA86" s="45"/>
      <c r="AB86" s="110">
        <f>'Final Build Sheet'!AB86</f>
        <v>0</v>
      </c>
      <c r="AC86" s="340"/>
      <c r="AD86" s="335"/>
      <c r="AE86" s="335"/>
      <c r="AF86" s="335"/>
      <c r="AG86" s="336"/>
    </row>
    <row r="87" spans="1:33" ht="15" customHeight="1" thickBot="1">
      <c r="A87" s="32"/>
      <c r="B87" s="108" t="str">
        <f>'Final Build Sheet'!B87</f>
        <v/>
      </c>
      <c r="C87" s="45" t="s">
        <v>128</v>
      </c>
      <c r="D87" s="45"/>
      <c r="E87" s="45"/>
      <c r="F87" s="45"/>
      <c r="G87" s="45"/>
      <c r="H87" s="45"/>
      <c r="I87" s="45"/>
      <c r="J87" s="45"/>
      <c r="K87" s="45"/>
      <c r="L87" s="45"/>
      <c r="M87" s="45"/>
      <c r="N87" s="45"/>
      <c r="O87" s="45"/>
      <c r="P87" s="45"/>
      <c r="Q87" s="45"/>
      <c r="R87" s="45"/>
      <c r="S87" s="45"/>
      <c r="T87" s="45"/>
      <c r="U87" s="45"/>
      <c r="V87" s="45"/>
      <c r="W87" s="45"/>
      <c r="X87" s="45"/>
      <c r="Y87" s="45"/>
      <c r="Z87" s="45"/>
      <c r="AA87" s="45"/>
      <c r="AB87" s="110">
        <f>'Final Build Sheet'!AB87</f>
        <v>0</v>
      </c>
      <c r="AC87" s="340"/>
      <c r="AD87" s="335"/>
      <c r="AE87" s="335"/>
      <c r="AF87" s="335"/>
      <c r="AG87" s="336"/>
    </row>
    <row r="88" spans="1:33" ht="15" customHeight="1" thickBot="1">
      <c r="A88" s="32"/>
      <c r="B88" s="108" t="str">
        <f>'Final Build Sheet'!B88</f>
        <v/>
      </c>
      <c r="C88" s="45" t="s">
        <v>129</v>
      </c>
      <c r="D88" s="45"/>
      <c r="E88" s="45"/>
      <c r="F88" s="45"/>
      <c r="G88" s="45"/>
      <c r="H88" s="45" t="str">
        <f>IF(AND(B88="x",B37="x"),"*Brakes will not function with this adapter","")</f>
        <v/>
      </c>
      <c r="I88" s="45"/>
      <c r="J88" s="46"/>
      <c r="K88" s="45"/>
      <c r="L88" s="45"/>
      <c r="M88" s="45"/>
      <c r="N88" s="45"/>
      <c r="O88" s="45"/>
      <c r="P88" s="45"/>
      <c r="Q88" s="45"/>
      <c r="R88" s="45"/>
      <c r="S88" s="45"/>
      <c r="T88" s="45"/>
      <c r="U88" s="45"/>
      <c r="V88" s="45"/>
      <c r="W88" s="45"/>
      <c r="X88" s="45"/>
      <c r="Y88" s="45"/>
      <c r="Z88" s="45"/>
      <c r="AA88" s="45"/>
      <c r="AB88" s="110">
        <f>'Final Build Sheet'!AB88</f>
        <v>0</v>
      </c>
      <c r="AC88" s="340"/>
      <c r="AD88" s="335"/>
      <c r="AE88" s="335"/>
      <c r="AF88" s="335"/>
      <c r="AG88" s="336"/>
    </row>
    <row r="89" spans="1:33" ht="15" customHeight="1" thickBot="1">
      <c r="A89" s="32"/>
      <c r="B89" s="108" t="str">
        <f>'Final Build Sheet'!B89</f>
        <v/>
      </c>
      <c r="C89" s="45" t="s">
        <v>130</v>
      </c>
      <c r="D89" s="45"/>
      <c r="E89" s="45"/>
      <c r="F89" s="45"/>
      <c r="G89" s="45"/>
      <c r="H89" s="45"/>
      <c r="I89" s="45"/>
      <c r="J89" s="46"/>
      <c r="K89" s="47"/>
      <c r="L89" s="47"/>
      <c r="M89" s="47"/>
      <c r="N89" s="47"/>
      <c r="O89" s="47"/>
      <c r="P89" s="47"/>
      <c r="Q89" s="45"/>
      <c r="R89" s="45"/>
      <c r="S89" s="45"/>
      <c r="T89" s="45"/>
      <c r="U89" s="45"/>
      <c r="V89" s="45"/>
      <c r="W89" s="45"/>
      <c r="X89" s="45"/>
      <c r="Y89" s="45"/>
      <c r="Z89" s="45"/>
      <c r="AA89" s="45"/>
      <c r="AB89" s="110">
        <f>'Final Build Sheet'!AB89</f>
        <v>0</v>
      </c>
      <c r="AC89" s="340"/>
      <c r="AD89" s="335"/>
      <c r="AE89" s="335"/>
      <c r="AF89" s="335"/>
      <c r="AG89" s="336"/>
    </row>
    <row r="90" spans="1:33" ht="15" customHeight="1" thickBot="1">
      <c r="A90" s="30"/>
      <c r="B90" s="108" t="str">
        <f>'Final Build Sheet'!B90</f>
        <v/>
      </c>
      <c r="C90" s="24" t="s">
        <v>131</v>
      </c>
      <c r="D90" s="26"/>
      <c r="E90" s="26"/>
      <c r="F90" s="26"/>
      <c r="G90" s="26"/>
      <c r="H90" s="26"/>
      <c r="I90" s="26"/>
      <c r="J90" s="65"/>
      <c r="K90" s="43"/>
      <c r="L90" s="43"/>
      <c r="M90" s="43"/>
      <c r="N90" s="43"/>
      <c r="O90" s="43"/>
      <c r="P90" s="43"/>
      <c r="Q90" s="26"/>
      <c r="R90" s="26"/>
      <c r="S90" s="26"/>
      <c r="T90" s="26"/>
      <c r="U90" s="26"/>
      <c r="V90" s="26"/>
      <c r="W90" s="26"/>
      <c r="X90" s="26"/>
      <c r="Y90" s="26"/>
      <c r="Z90" s="26"/>
      <c r="AA90" s="31"/>
      <c r="AB90" s="110">
        <f>'Final Build Sheet'!AB90</f>
        <v>0</v>
      </c>
      <c r="AC90" s="340"/>
      <c r="AD90" s="335"/>
      <c r="AE90" s="335"/>
      <c r="AF90" s="335"/>
      <c r="AG90" s="336"/>
    </row>
    <row r="91" spans="1:33" ht="15" customHeight="1">
      <c r="A91" s="27" t="s">
        <v>133</v>
      </c>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105"/>
      <c r="AC91" s="340"/>
      <c r="AD91" s="335"/>
      <c r="AE91" s="335"/>
      <c r="AF91" s="335"/>
      <c r="AG91" s="336"/>
    </row>
    <row r="92" spans="1:33" ht="15" customHeight="1">
      <c r="A92" s="27"/>
      <c r="B92" s="45" t="s">
        <v>135</v>
      </c>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105"/>
      <c r="AC92" s="340"/>
      <c r="AD92" s="335"/>
      <c r="AE92" s="335"/>
      <c r="AF92" s="335"/>
      <c r="AG92" s="336"/>
    </row>
    <row r="93" spans="1:33" ht="15" customHeight="1">
      <c r="A93" s="32"/>
      <c r="B93" s="45"/>
      <c r="C93" s="66" t="s">
        <v>136</v>
      </c>
      <c r="D93" s="45"/>
      <c r="E93" s="45"/>
      <c r="F93" s="45"/>
      <c r="G93" s="45"/>
      <c r="H93" s="45"/>
      <c r="I93" s="66" t="s">
        <v>137</v>
      </c>
      <c r="J93" s="45"/>
      <c r="K93" s="45"/>
      <c r="L93" s="45"/>
      <c r="M93" s="45"/>
      <c r="N93" s="45"/>
      <c r="O93" s="45"/>
      <c r="P93" s="45"/>
      <c r="Q93" s="45"/>
      <c r="R93" s="45"/>
      <c r="S93" s="66" t="s">
        <v>138</v>
      </c>
      <c r="T93" s="45"/>
      <c r="U93" s="45"/>
      <c r="V93" s="45"/>
      <c r="W93" s="45"/>
      <c r="X93" s="45"/>
      <c r="Y93" s="45"/>
      <c r="Z93" s="45"/>
      <c r="AA93" s="45"/>
      <c r="AB93" s="105"/>
      <c r="AC93" s="340"/>
      <c r="AD93" s="335"/>
      <c r="AE93" s="335"/>
      <c r="AF93" s="335"/>
      <c r="AG93" s="336"/>
    </row>
    <row r="94" spans="1:33" ht="15" customHeight="1" thickBot="1">
      <c r="A94" s="48"/>
      <c r="B94" s="45"/>
      <c r="C94" s="66" t="s">
        <v>140</v>
      </c>
      <c r="D94" s="45"/>
      <c r="E94" s="45"/>
      <c r="F94" s="45"/>
      <c r="G94" s="45"/>
      <c r="H94" s="45"/>
      <c r="I94" s="66" t="s">
        <v>141</v>
      </c>
      <c r="J94" s="45"/>
      <c r="K94" s="45"/>
      <c r="L94" s="45"/>
      <c r="M94" s="45"/>
      <c r="N94" s="45"/>
      <c r="O94" s="45"/>
      <c r="P94" s="45"/>
      <c r="Q94" s="45"/>
      <c r="R94" s="45"/>
      <c r="S94" s="66" t="s">
        <v>142</v>
      </c>
      <c r="T94" s="45"/>
      <c r="U94" s="45"/>
      <c r="V94" s="45"/>
      <c r="W94" s="45"/>
      <c r="X94" s="45"/>
      <c r="Y94" s="45"/>
      <c r="Z94" s="45"/>
      <c r="AA94" s="45"/>
      <c r="AB94" s="105"/>
      <c r="AC94" s="340"/>
      <c r="AD94" s="335"/>
      <c r="AE94" s="335"/>
      <c r="AF94" s="335"/>
      <c r="AG94" s="336"/>
    </row>
    <row r="95" spans="1:33" ht="15" customHeight="1" thickBot="1">
      <c r="A95" s="24"/>
      <c r="B95" s="108" t="str">
        <f>'Final Build Sheet'!B95</f>
        <v/>
      </c>
      <c r="C95" s="24" t="s">
        <v>143</v>
      </c>
      <c r="D95" s="26"/>
      <c r="E95" s="26"/>
      <c r="F95" s="26"/>
      <c r="G95" s="26"/>
      <c r="H95" s="26"/>
      <c r="I95" s="65" t="s">
        <v>144</v>
      </c>
      <c r="J95" s="239" t="str">
        <f>'Final Build Sheet'!J95</f>
        <v/>
      </c>
      <c r="K95" s="241"/>
      <c r="L95" s="26"/>
      <c r="M95" s="26"/>
      <c r="N95" s="65" t="s">
        <v>145</v>
      </c>
      <c r="O95" s="239" t="str">
        <f>'Final Build Sheet'!O95</f>
        <v/>
      </c>
      <c r="P95" s="241"/>
      <c r="Q95" s="26"/>
      <c r="R95" s="26"/>
      <c r="S95" s="26"/>
      <c r="T95" s="26"/>
      <c r="U95" s="26"/>
      <c r="V95" s="26"/>
      <c r="W95" s="26"/>
      <c r="X95" s="26"/>
      <c r="Y95" s="26"/>
      <c r="Z95" s="26"/>
      <c r="AA95" s="26"/>
      <c r="AB95" s="110" t="str">
        <f>'Final Build Sheet'!AB95</f>
        <v>Coming Soon</v>
      </c>
      <c r="AC95" s="340"/>
      <c r="AD95" s="335"/>
      <c r="AE95" s="335"/>
      <c r="AF95" s="335"/>
      <c r="AG95" s="336"/>
    </row>
    <row r="96" spans="1:33" ht="15" customHeight="1">
      <c r="A96" s="27" t="s">
        <v>146</v>
      </c>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105"/>
      <c r="AC96" s="340"/>
      <c r="AD96" s="335"/>
      <c r="AE96" s="335"/>
      <c r="AF96" s="335"/>
      <c r="AG96" s="336"/>
    </row>
    <row r="97" spans="1:33" ht="15" customHeight="1" thickBot="1">
      <c r="A97" s="27"/>
      <c r="B97" s="124" t="s">
        <v>147</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105"/>
      <c r="AC97" s="340"/>
      <c r="AD97" s="335"/>
      <c r="AE97" s="335"/>
      <c r="AF97" s="335"/>
      <c r="AG97" s="336"/>
    </row>
    <row r="98" spans="1:33" ht="15.75" thickBot="1">
      <c r="A98" s="30"/>
      <c r="B98" s="317" t="str">
        <f>'Final Build Sheet'!B98</f>
        <v>Columbus, IN</v>
      </c>
      <c r="C98" s="318"/>
      <c r="D98" s="318"/>
      <c r="E98" s="318"/>
      <c r="F98" s="319"/>
      <c r="G98" s="24"/>
      <c r="H98" s="26"/>
      <c r="I98" s="26"/>
      <c r="J98" s="26"/>
      <c r="K98" s="26"/>
      <c r="L98" s="26"/>
      <c r="M98" s="26"/>
      <c r="N98" s="26"/>
      <c r="O98" s="26"/>
      <c r="P98" s="26"/>
      <c r="Q98" s="26"/>
      <c r="R98" s="26"/>
      <c r="S98" s="26"/>
      <c r="T98" s="26"/>
      <c r="U98" s="26"/>
      <c r="V98" s="26"/>
      <c r="W98" s="26"/>
      <c r="X98" s="26"/>
      <c r="Y98" s="26"/>
      <c r="Z98" s="26"/>
      <c r="AA98" s="31"/>
      <c r="AB98" s="110" t="str">
        <f>'Final Build Sheet'!AB98</f>
        <v>Free</v>
      </c>
      <c r="AC98" s="340"/>
      <c r="AD98" s="335"/>
      <c r="AE98" s="335"/>
      <c r="AF98" s="335"/>
      <c r="AG98" s="336"/>
    </row>
    <row r="99" spans="1:33" ht="15.75" thickBot="1">
      <c r="A99" s="27" t="s">
        <v>150</v>
      </c>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105"/>
      <c r="AC99" s="340"/>
      <c r="AD99" s="335"/>
      <c r="AE99" s="335"/>
      <c r="AF99" s="335"/>
      <c r="AG99" s="336"/>
    </row>
    <row r="100" spans="1:33" ht="15.75" thickBot="1">
      <c r="A100" s="34"/>
      <c r="B100" s="123" t="s">
        <v>151</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6"/>
      <c r="AB100" s="110" t="str">
        <f>'Final Build Sheet'!AB100</f>
        <v>Included</v>
      </c>
      <c r="AC100" s="337"/>
      <c r="AD100" s="338"/>
      <c r="AE100" s="338"/>
      <c r="AF100" s="338"/>
      <c r="AG100" s="339"/>
    </row>
    <row r="101" spans="1:33">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147"/>
    </row>
    <row r="102" spans="1:33">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147"/>
    </row>
    <row r="103" spans="1:33">
      <c r="A103" s="70" t="s">
        <v>197</v>
      </c>
      <c r="B103" s="45"/>
      <c r="C103" s="83" t="s">
        <v>198</v>
      </c>
      <c r="D103" s="45"/>
      <c r="E103" s="45"/>
      <c r="F103" s="45"/>
      <c r="G103" s="45"/>
      <c r="H103" s="45" t="s">
        <v>199</v>
      </c>
      <c r="I103" s="45"/>
      <c r="J103" s="45"/>
      <c r="K103" s="45"/>
      <c r="L103" s="45"/>
      <c r="M103" s="45"/>
      <c r="N103" s="45"/>
      <c r="O103" s="45"/>
      <c r="P103" s="45"/>
      <c r="Q103" s="45"/>
      <c r="R103" s="45"/>
      <c r="S103" s="45"/>
      <c r="T103" s="45"/>
      <c r="U103" s="45"/>
      <c r="V103" s="45"/>
      <c r="W103" s="45"/>
      <c r="X103" s="45"/>
      <c r="Y103" s="45"/>
      <c r="Z103" s="45"/>
      <c r="AA103" s="45"/>
      <c r="AB103" s="147"/>
      <c r="AC103" s="1" t="s">
        <v>160</v>
      </c>
    </row>
    <row r="104" spans="1:33">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147"/>
    </row>
    <row r="105" spans="1:33">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147"/>
    </row>
    <row r="106" spans="1:33">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147"/>
    </row>
    <row r="107" spans="1:33">
      <c r="A107" s="45" t="s">
        <v>200</v>
      </c>
      <c r="B107" s="45"/>
      <c r="C107" s="45"/>
      <c r="D107" s="83" t="s">
        <v>201</v>
      </c>
      <c r="E107" s="45"/>
      <c r="F107" s="45"/>
      <c r="G107" s="45"/>
      <c r="H107" s="45" t="s">
        <v>202</v>
      </c>
      <c r="I107" s="45"/>
      <c r="J107" s="45"/>
      <c r="K107" s="45"/>
      <c r="L107" s="45"/>
      <c r="M107" s="45"/>
      <c r="N107" s="45"/>
      <c r="O107" s="45"/>
      <c r="P107" s="45"/>
      <c r="Q107" s="45"/>
      <c r="R107" s="45"/>
      <c r="S107" s="45"/>
      <c r="T107" s="45"/>
      <c r="U107" s="45"/>
      <c r="V107" s="45"/>
      <c r="W107" s="45"/>
      <c r="X107" s="45"/>
      <c r="Y107" s="45"/>
      <c r="Z107" s="45"/>
      <c r="AA107" s="45"/>
      <c r="AB107" s="147"/>
      <c r="AC107" s="1" t="s">
        <v>160</v>
      </c>
    </row>
    <row r="108" spans="1:33">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147"/>
    </row>
    <row r="109" spans="1:33">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147"/>
    </row>
    <row r="110" spans="1:33">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147"/>
    </row>
    <row r="111" spans="1:33">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147"/>
    </row>
    <row r="112" spans="1:33" ht="1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48"/>
    </row>
    <row r="113" spans="1:28" ht="1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148"/>
    </row>
    <row r="114" spans="1:28" ht="1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148"/>
    </row>
    <row r="115" spans="1:28" ht="18">
      <c r="AB115" s="148"/>
    </row>
    <row r="116" spans="1:28">
      <c r="AB116" s="143"/>
    </row>
    <row r="117" spans="1:28">
      <c r="AB117" s="143"/>
    </row>
  </sheetData>
  <sheetProtection selectLockedCells="1"/>
  <mergeCells count="134">
    <mergeCell ref="AC57:AD59"/>
    <mergeCell ref="AE56:AE59"/>
    <mergeCell ref="AF56:AG56"/>
    <mergeCell ref="AF57:AG59"/>
    <mergeCell ref="AD4:AG4"/>
    <mergeCell ref="J5:P5"/>
    <mergeCell ref="AC5:AC6"/>
    <mergeCell ref="AD5:AG5"/>
    <mergeCell ref="AD6:AE6"/>
    <mergeCell ref="G7:M7"/>
    <mergeCell ref="AC7:AD7"/>
    <mergeCell ref="P8:S8"/>
    <mergeCell ref="AC25:AF25"/>
    <mergeCell ref="AC26:AF26"/>
    <mergeCell ref="J26:O26"/>
    <mergeCell ref="K27:Q27"/>
    <mergeCell ref="K28:Q28"/>
    <mergeCell ref="AC21:AF21"/>
    <mergeCell ref="AC22:AF22"/>
    <mergeCell ref="AC23:AF23"/>
    <mergeCell ref="AC24:AF24"/>
    <mergeCell ref="I52:O52"/>
    <mergeCell ref="I53:O53"/>
    <mergeCell ref="B55:AB56"/>
    <mergeCell ref="A1:AB1"/>
    <mergeCell ref="AC1:AG1"/>
    <mergeCell ref="AD2:AG2"/>
    <mergeCell ref="B3:G3"/>
    <mergeCell ref="J3:M3"/>
    <mergeCell ref="AD3:AG3"/>
    <mergeCell ref="B14:AB15"/>
    <mergeCell ref="E16:F16"/>
    <mergeCell ref="AC19:AG20"/>
    <mergeCell ref="G17:M17"/>
    <mergeCell ref="AC16:AG16"/>
    <mergeCell ref="AC8:AD9"/>
    <mergeCell ref="AC10:AG10"/>
    <mergeCell ref="K11:Q11"/>
    <mergeCell ref="S11:U11"/>
    <mergeCell ref="AC11:AG13"/>
    <mergeCell ref="H18:M18"/>
    <mergeCell ref="C20:G20"/>
    <mergeCell ref="AC17:AG18"/>
    <mergeCell ref="AE7:AF7"/>
    <mergeCell ref="AE8:AF9"/>
    <mergeCell ref="AG8:AG9"/>
    <mergeCell ref="J20:M20"/>
    <mergeCell ref="J57:O57"/>
    <mergeCell ref="G59:K59"/>
    <mergeCell ref="AC60:AG61"/>
    <mergeCell ref="AC62:AG64"/>
    <mergeCell ref="B98:F98"/>
    <mergeCell ref="AC73:AG78"/>
    <mergeCell ref="AC83:AG100"/>
    <mergeCell ref="AC79:AD80"/>
    <mergeCell ref="AE79:AG80"/>
    <mergeCell ref="AC65:AG66"/>
    <mergeCell ref="AF67:AF68"/>
    <mergeCell ref="AG67:AG68"/>
    <mergeCell ref="K60:Q60"/>
    <mergeCell ref="P62:T62"/>
    <mergeCell ref="F68:H68"/>
    <mergeCell ref="I69:M69"/>
    <mergeCell ref="K70:N70"/>
    <mergeCell ref="K71:N71"/>
    <mergeCell ref="K72:N72"/>
    <mergeCell ref="J74:P74"/>
    <mergeCell ref="J75:P75"/>
    <mergeCell ref="T75:X75"/>
    <mergeCell ref="J76:P76"/>
    <mergeCell ref="J82:R82"/>
    <mergeCell ref="AC53:AG55"/>
    <mergeCell ref="AC56:AD56"/>
    <mergeCell ref="AC33:AE34"/>
    <mergeCell ref="AF33:AG34"/>
    <mergeCell ref="AF35:AG35"/>
    <mergeCell ref="AF40:AG40"/>
    <mergeCell ref="AF41:AG41"/>
    <mergeCell ref="AF42:AG42"/>
    <mergeCell ref="AC36:AG36"/>
    <mergeCell ref="AD37:AE37"/>
    <mergeCell ref="AC49:AD49"/>
    <mergeCell ref="AF47:AG47"/>
    <mergeCell ref="AF48:AG49"/>
    <mergeCell ref="AC50:AE50"/>
    <mergeCell ref="AC51:AE51"/>
    <mergeCell ref="AF50:AG50"/>
    <mergeCell ref="AF51:AG51"/>
    <mergeCell ref="AC47:AE47"/>
    <mergeCell ref="AC48:AD48"/>
    <mergeCell ref="AF38:AG38"/>
    <mergeCell ref="AF39:AG39"/>
    <mergeCell ref="AD40:AE40"/>
    <mergeCell ref="AD41:AE41"/>
    <mergeCell ref="AD42:AE42"/>
    <mergeCell ref="AC44:AG44"/>
    <mergeCell ref="AC45:AE46"/>
    <mergeCell ref="AF45:AG46"/>
    <mergeCell ref="AC43:AE43"/>
    <mergeCell ref="AF43:AG43"/>
    <mergeCell ref="AC52:AG52"/>
    <mergeCell ref="AF28:AG28"/>
    <mergeCell ref="AC29:AE29"/>
    <mergeCell ref="AF29:AG29"/>
    <mergeCell ref="AC30:AE31"/>
    <mergeCell ref="AF30:AG31"/>
    <mergeCell ref="AC32:AG32"/>
    <mergeCell ref="AF37:AG37"/>
    <mergeCell ref="AD38:AE38"/>
    <mergeCell ref="AD39:AE39"/>
    <mergeCell ref="J95:K95"/>
    <mergeCell ref="O95:P95"/>
    <mergeCell ref="AF72:AG72"/>
    <mergeCell ref="J23:M23"/>
    <mergeCell ref="J21:M21"/>
    <mergeCell ref="K12:Q12"/>
    <mergeCell ref="V11:AA11"/>
    <mergeCell ref="G16:M16"/>
    <mergeCell ref="G8:M8"/>
    <mergeCell ref="H19:M19"/>
    <mergeCell ref="N36:S36"/>
    <mergeCell ref="G50:L50"/>
    <mergeCell ref="L47:M47"/>
    <mergeCell ref="E36:I36"/>
    <mergeCell ref="K29:Q29"/>
    <mergeCell ref="K30:Q30"/>
    <mergeCell ref="K31:Q31"/>
    <mergeCell ref="L46:M46"/>
    <mergeCell ref="H43:O43"/>
    <mergeCell ref="B33:AB34"/>
    <mergeCell ref="J35:Q35"/>
    <mergeCell ref="AC27:AE27"/>
    <mergeCell ref="AF27:AG27"/>
    <mergeCell ref="AC28:AE28"/>
  </mergeCells>
  <conditionalFormatting sqref="C39">
    <cfRule type="expression" dxfId="0" priority="1">
      <formula>"EOR Exclusive Option"</formula>
    </cfRule>
  </conditionalFormatting>
  <dataValidations count="46">
    <dataValidation type="list" allowBlank="1" showInputMessage="1" showErrorMessage="1" sqref="AG6" xr:uid="{C0B183B8-11E6-44C6-8170-33F55F256D80}">
      <formula1>States_List</formula1>
    </dataValidation>
    <dataValidation type="list" allowBlank="1" showInputMessage="1" showErrorMessage="1" sqref="B3:G3" xr:uid="{90ED4812-8461-45B1-B3BD-F5486C33AF03}">
      <formula1>Trailer_Model_List</formula1>
    </dataValidation>
    <dataValidation type="list" allowBlank="1" showInputMessage="1" showErrorMessage="1" sqref="J5:P5" xr:uid="{37B37886-DE22-4C9E-B0E1-765A952F6669}">
      <formula1>IF(Quote_Color_Standard="x",Standard_Color_List,IF(Quote_Color_Premium="x",Premium_Color_List,"Select One"))</formula1>
    </dataValidation>
    <dataValidation type="list" allowBlank="1" showInputMessage="1" showErrorMessage="1" sqref="G7:M7" xr:uid="{02C0606F-4449-4B5C-B078-D941877E780A}">
      <formula1>Front_DPlate_List</formula1>
    </dataValidation>
    <dataValidation type="list" allowBlank="1" showInputMessage="1" showErrorMessage="1" sqref="G8:M8" xr:uid="{47943733-D872-4922-8EA3-BD64F34F1737}">
      <formula1>Side_DPlate_List</formula1>
    </dataValidation>
    <dataValidation type="list" allowBlank="1" showInputMessage="1" showErrorMessage="1" sqref="P8:S8" xr:uid="{E9A61DA2-FC57-4CFF-A555-ABD3255C9E70}">
      <formula1>DPlate_Color</formula1>
    </dataValidation>
    <dataValidation type="list" allowBlank="1" showInputMessage="1" showErrorMessage="1" sqref="K11:Q11" xr:uid="{5895056B-018A-4491-8CAE-C2C4F69333AF}">
      <formula1>IF(Quote_Add_2nd_Door="x",Second_Door_List,Single_Door_List)</formula1>
    </dataValidation>
    <dataValidation type="list" allowBlank="1" showInputMessage="1" showErrorMessage="1" sqref="S11:U11" xr:uid="{5ABE60EA-76B4-493B-BEFA-915CF72F796B}">
      <formula1>Door_Color_List</formula1>
    </dataValidation>
    <dataValidation type="list" allowBlank="1" showInputMessage="1" showErrorMessage="1" sqref="E16:F16" xr:uid="{B8FA5A0C-F5C5-4DF6-9D2F-F0FAFCC79073}">
      <formula1>IF(Quote_Trailer_Size&lt;&gt;"5' x 8'",Galley_Depth_List,Galley_Standard)</formula1>
    </dataValidation>
    <dataValidation type="list" allowBlank="1" showInputMessage="1" showErrorMessage="1" sqref="H18:M18" xr:uid="{598DA1E2-B627-4382-9A69-1FF119A71156}">
      <formula1>Drawer_List</formula1>
    </dataValidation>
    <dataValidation type="list" allowBlank="1" showInputMessage="1" showErrorMessage="1" sqref="G17:M17" xr:uid="{C8DB2DC3-F9D3-42DF-9C38-F5DF2CFC090A}">
      <formula1>IF(Logic_Bunk_Bed=TRUE,Galley_SolidWall_Required,IF(Logic_Drawers=TRUE,Galley_CloseOFF_Required,Galley_CloseOFF_List))</formula1>
    </dataValidation>
    <dataValidation type="list" allowBlank="1" showInputMessage="1" showErrorMessage="1" sqref="H19:M19" xr:uid="{F6FD04E3-27E3-4582-85EE-E3A5674AABF6}">
      <formula1>IF(Logic_Bunk_Bed=TRUE,Cabinet_Door_FrontOnly,Cabinet_Doors_List)</formula1>
    </dataValidation>
    <dataValidation type="list" allowBlank="1" showInputMessage="1" showErrorMessage="1" sqref="J20:M20" xr:uid="{D6B3B775-C756-4BF9-9721-B45C80969E2C}">
      <formula1>Slide_Out_List</formula1>
    </dataValidation>
    <dataValidation type="list" allowBlank="1" showInputMessage="1" showErrorMessage="1" sqref="J21:M21" xr:uid="{87715C04-3007-4E68-B895-56C24211B15A}">
      <formula1>Side_Table_List</formula1>
    </dataValidation>
    <dataValidation type="list" allowBlank="1" showInputMessage="1" showErrorMessage="1" sqref="J23:M23" xr:uid="{A2F4E069-EB04-409B-AF97-35484CFBC85E}">
      <formula1>Rear_Shelf_List</formula1>
    </dataValidation>
    <dataValidation type="list" allowBlank="1" showInputMessage="1" showErrorMessage="1" sqref="K27:Q27" xr:uid="{7B09167D-7B95-4EA4-AE89-59586DDAF788}">
      <formula1>PAS_Awning_List</formula1>
    </dataValidation>
    <dataValidation type="list" allowBlank="1" showInputMessage="1" showErrorMessage="1" sqref="K28:Q28" xr:uid="{0FC53085-A866-44B6-82F9-F6408BB230CB}">
      <formula1>DVR_Awning_List</formula1>
    </dataValidation>
    <dataValidation type="list" allowBlank="1" showInputMessage="1" showErrorMessage="1" sqref="K29:Q29" xr:uid="{BF87F997-90DF-4772-878B-6EBDDA7EEA88}">
      <formula1>Rooftop_Water_List</formula1>
    </dataValidation>
    <dataValidation type="list" allowBlank="1" showInputMessage="1" showErrorMessage="1" sqref="K30:Q30" xr:uid="{C65D166A-4217-47AF-85BE-F505FA3C99AF}">
      <formula1>Rooftop_Storage_List</formula1>
    </dataValidation>
    <dataValidation type="list" allowBlank="1" showInputMessage="1" showErrorMessage="1" sqref="K31:Q31" xr:uid="{03BFDC76-75F8-4239-B8D9-85DE2C4330FF}">
      <formula1>RTT_List</formula1>
    </dataValidation>
    <dataValidation type="list" allowBlank="1" showInputMessage="1" showErrorMessage="1" sqref="J26:O26" xr:uid="{BB13EF83-5FD6-4211-8AD1-7A6662BB31AF}">
      <formula1>IF(RTT_List_Logic=TRUE,Roof_Rack_RTT_List,IF(Logic_Roof_Rack_Required=TRUE,Roof_Rack_Required,Roof_Rack_List))</formula1>
    </dataValidation>
    <dataValidation type="list" allowBlank="1" showInputMessage="1" showErrorMessage="1" sqref="J35:Q35" xr:uid="{CB5C8FE4-4F16-4788-9332-3C907F0A9B35}">
      <formula1>IF(Quote_Trailer_Model=Highway_Deluxe,HD_Spare_List,IF(Quote_Trailer_Model=MidRange_Deluxe,MR_Spare_List,IF(Quote_Trailer_Model=MidRange_XL,XL_Spare_List,EOR_Spare_List)))</formula1>
    </dataValidation>
    <dataValidation type="list" allowBlank="1" showInputMessage="1" showErrorMessage="1" sqref="E36:I36" xr:uid="{46B2A16A-804F-49FA-8E21-AC3B76A036A5}">
      <formula1>IF(Quote_Trailer_Model=Highway_Deluxe,Ball_Only,Trailer_Hitch_List)</formula1>
    </dataValidation>
    <dataValidation type="list" allowBlank="1" showInputMessage="1" showErrorMessage="1" sqref="N36" xr:uid="{BB88F009-074A-430D-B0EE-DFA26B84850E}">
      <formula1>IF(OR(Quote_Trailer_Model=Highway_Deluxe,$E$36=Ball_Only),Customer_Provided,Vehicle_Hitch_List)</formula1>
    </dataValidation>
    <dataValidation type="list" allowBlank="1" showInputMessage="1" showErrorMessage="1" sqref="H43:O43" xr:uid="{D73A62A2-8EB6-419B-9650-B84976750B70}">
      <formula1>IF(Quote_Trailer_Model=Extreme_OffRoad,EOR_Toolbox,HD_Toolbox)</formula1>
    </dataValidation>
    <dataValidation type="list" allowBlank="1" showInputMessage="1" showErrorMessage="1" sqref="L46:M47" xr:uid="{0AE1C182-3644-4581-B9D6-80AED83F267E}">
      <formula1>TankMount_List</formula1>
    </dataValidation>
    <dataValidation type="list" allowBlank="1" showInputMessage="1" showErrorMessage="1" sqref="G50:L50" xr:uid="{12E666F4-B165-4282-8244-2DBE95DDDAD4}">
      <formula1>Fan_Type_List</formula1>
    </dataValidation>
    <dataValidation type="list" allowBlank="1" showInputMessage="1" showErrorMessage="1" sqref="I52:O52" xr:uid="{051BAC14-077D-4101-A4D2-0E36882B134E}">
      <formula1>Rooftop_AC_List</formula1>
    </dataValidation>
    <dataValidation type="list" allowBlank="1" showInputMessage="1" showErrorMessage="1" sqref="I53:O53" xr:uid="{929ADAAA-5A32-476B-B632-850A31254B4A}">
      <formula1>Heat_List</formula1>
    </dataValidation>
    <dataValidation type="list" allowBlank="1" showInputMessage="1" showErrorMessage="1" sqref="J57:O57" xr:uid="{1AFD11BB-807D-4407-B320-41FB0F5A22FE}">
      <formula1>Battery_List</formula1>
    </dataValidation>
    <dataValidation type="list" allowBlank="1" showInputMessage="1" showErrorMessage="1" sqref="G59:K59" xr:uid="{3E9EACC8-F182-40F6-B996-A50D17859341}">
      <formula1>Battery_Location_List</formula1>
    </dataValidation>
    <dataValidation type="list" allowBlank="1" showInputMessage="1" showErrorMessage="1" sqref="K60:Q60" xr:uid="{FBC0972F-2649-41DB-83BC-5CD99BBD34D6}">
      <formula1>GoalZero_List</formula1>
    </dataValidation>
    <dataValidation type="list" allowBlank="1" showInputMessage="1" showErrorMessage="1" sqref="P62:T62" xr:uid="{D302B9E3-1FCB-4272-AFA8-0B6D6C639F48}">
      <formula1>GoalZero_Mount_List</formula1>
    </dataValidation>
    <dataValidation type="list" allowBlank="1" showInputMessage="1" showErrorMessage="1" sqref="F68:H68" xr:uid="{A66A076A-8C20-4758-9C67-1157AAFCD6DE}">
      <formula1>Cabin_Light_list</formula1>
    </dataValidation>
    <dataValidation type="list" allowBlank="1" showInputMessage="1" showErrorMessage="1" sqref="I69:M69" xr:uid="{BB761D6E-5098-4BE8-B867-F086A64AA601}">
      <formula1>Reading_Light_List</formula1>
    </dataValidation>
    <dataValidation type="list" allowBlank="1" showInputMessage="1" showErrorMessage="1" sqref="K70:N72" xr:uid="{F9D3D7F0-2161-44B1-87CB-E04F45893823}">
      <formula1>EXT_Light_List</formula1>
    </dataValidation>
    <dataValidation type="list" allowBlank="1" showInputMessage="1" showErrorMessage="1" sqref="J74:P74" xr:uid="{45912459-D0D1-491B-839C-A2EE783ACF75}">
      <formula1>Portable_Solar_List</formula1>
    </dataValidation>
    <dataValidation type="list" allowBlank="1" showInputMessage="1" showErrorMessage="1" sqref="J75:P75" xr:uid="{38602700-5C83-4527-96B7-852BA47F6446}">
      <formula1>Permanent_Solar_List</formula1>
    </dataValidation>
    <dataValidation type="list" allowBlank="1" showInputMessage="1" showErrorMessage="1" sqref="T75:X75" xr:uid="{B0E8FD3A-B2E6-4BE1-94CD-DFEF49A37D3A}">
      <formula1>Permanent_Install_List</formula1>
    </dataValidation>
    <dataValidation type="list" allowBlank="1" showInputMessage="1" showErrorMessage="1" sqref="J76:P76" xr:uid="{EEBC2030-F4BF-4570-A6BA-E3EEC50FEEF3}">
      <formula1>Solar_Adapters</formula1>
    </dataValidation>
    <dataValidation type="list" allowBlank="1" showInputMessage="1" showErrorMessage="1" sqref="J82:R82" xr:uid="{8A4AD837-2F9D-43FC-A1B3-43670490272C}">
      <formula1>Fridge_List</formula1>
    </dataValidation>
    <dataValidation type="list" allowBlank="1" showInputMessage="1" showErrorMessage="1" sqref="J95:K95 O95:P95" xr:uid="{C9968F65-A356-4111-BAF6-C5BC7C8882D6}">
      <formula1>Shirt_Size</formula1>
    </dataValidation>
    <dataValidation type="list" allowBlank="1" showInputMessage="1" showErrorMessage="1" sqref="B98:F98" xr:uid="{19989C25-B312-4A4A-92CF-10D1764A03F3}">
      <formula1>Pick_Up_List</formula1>
    </dataValidation>
    <dataValidation type="list" allowBlank="1" showInputMessage="1" showErrorMessage="1" sqref="AF35:AG35 AF57:AG59" xr:uid="{F33FF94A-3D69-4051-AAE2-8D808B818156}">
      <formula1>Payment_Methods</formula1>
    </dataValidation>
    <dataValidation type="list" allowBlank="1" showInputMessage="1" showErrorMessage="1" sqref="AF43:AG43" xr:uid="{3AF14EFB-8D35-485E-AA87-E4A55741C3D2}">
      <formula1>Yes_No</formula1>
    </dataValidation>
    <dataValidation type="list" allowBlank="1" showInputMessage="1" showErrorMessage="1" sqref="AG8:AG9" xr:uid="{0A7BFFB1-C172-49BA-8D27-636F12242CAD}">
      <formula1>Delivery_Type</formula1>
    </dataValidation>
  </dataValidations>
  <pageMargins left="0.75" right="0.75" top="1" bottom="0.25" header="0" footer="0"/>
  <pageSetup scale="37" orientation="portrait" horizontalDpi="300" verticalDpi="300" r:id="rId1"/>
  <headerFooter alignWithMargins="0">
    <oddHeader xml:space="preserve">&amp;L&amp;"Roboto,Regular"&amp;11Hiker Trailers
2860 N National Rd.  Suite B
Columbus, IN 47201&amp;C&amp;"Roboto,Bold"&amp;36Hiker Trailer&amp;"Roboto,Regular"
&amp;24- Bill of Sale -&amp;R&amp;"Roboto,Regular"&amp;11hikertrailers@numagroupinc.com
812-975-5300
M-F 9a-4p (est)
Sat. by Appt. 
</oddHead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D545723-56D4-4A7F-B2B1-3A97ABA0922A}">
          <x14:formula1>
            <xm:f>IF($B$3=Data!$D$6,EOR_Trailer_Size,Trailer_Size)</xm:f>
          </x14:formula1>
          <xm:sqref>J3:M3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D8CF3-1332-4F79-88E1-50273014B8CE}">
  <dimension ref="A1:EE28"/>
  <sheetViews>
    <sheetView view="pageLayout" topLeftCell="T1" zoomScaleNormal="100" workbookViewId="0">
      <selection activeCell="AI21" sqref="AI21"/>
    </sheetView>
  </sheetViews>
  <sheetFormatPr defaultColWidth="8.625" defaultRowHeight="20.25"/>
  <cols>
    <col min="1" max="2" width="9" style="8" customWidth="1"/>
    <col min="3" max="3" width="5.875" style="8" customWidth="1"/>
    <col min="4" max="4" width="9.125" style="8" bestFit="1" customWidth="1"/>
    <col min="5" max="9" width="9" style="8"/>
    <col min="10" max="18" width="9" style="8" customWidth="1"/>
    <col min="19" max="20" width="9" style="8"/>
    <col min="21" max="21" width="9.125" style="8" bestFit="1" customWidth="1"/>
    <col min="22" max="22" width="10.25" style="8" bestFit="1" customWidth="1"/>
    <col min="23" max="23" width="9.125" style="8" bestFit="1" customWidth="1"/>
    <col min="24" max="27" width="9" style="8"/>
    <col min="28" max="28" width="9.375" style="8" customWidth="1"/>
    <col min="29" max="29" width="9.125" style="8" bestFit="1" customWidth="1"/>
    <col min="30" max="30" width="10.625" style="8" customWidth="1"/>
    <col min="31" max="31" width="9.125" style="8" bestFit="1" customWidth="1"/>
    <col min="32" max="32" width="9" style="8"/>
    <col min="33" max="33" width="9.125" style="8" bestFit="1" customWidth="1"/>
    <col min="34" max="37" width="9" style="8"/>
    <col min="38" max="41" width="9.125" style="8" bestFit="1" customWidth="1"/>
    <col min="42" max="46" width="9" style="8"/>
    <col min="47" max="47" width="9.5" style="8" customWidth="1"/>
    <col min="48" max="54" width="9.125" style="8" bestFit="1" customWidth="1"/>
    <col min="55" max="55" width="10.125" style="8" customWidth="1"/>
    <col min="56" max="57" width="9.125" style="8" bestFit="1" customWidth="1"/>
    <col min="58" max="58" width="8.5" style="8" customWidth="1"/>
    <col min="59" max="59" width="9.125" style="8" bestFit="1" customWidth="1"/>
    <col min="60" max="60" width="9.375" style="8" customWidth="1"/>
    <col min="61" max="61" width="11.125" style="8" bestFit="1" customWidth="1"/>
    <col min="62" max="62" width="9.125" style="8" bestFit="1" customWidth="1"/>
    <col min="63" max="63" width="9" style="8" customWidth="1"/>
    <col min="64" max="64" width="9" style="8"/>
    <col min="65" max="65" width="14" style="8" customWidth="1"/>
    <col min="66" max="66" width="9.5" style="8" customWidth="1"/>
    <col min="67" max="67" width="10.75" style="8" customWidth="1"/>
    <col min="68" max="69" width="9.125" style="8" bestFit="1" customWidth="1"/>
    <col min="70" max="135" width="9" style="8" customWidth="1"/>
    <col min="136" max="16384" width="8.625" style="159"/>
  </cols>
  <sheetData>
    <row r="1" spans="1:72">
      <c r="C1" s="158" t="str">
        <f>Loc_ABV</f>
        <v>IN -</v>
      </c>
      <c r="D1" s="632">
        <f>'Final Build Sheet'!AC11</f>
        <v>23000</v>
      </c>
      <c r="E1" s="632"/>
      <c r="F1" s="632"/>
      <c r="L1" s="158" t="str">
        <f>C1</f>
        <v>IN -</v>
      </c>
      <c r="M1" s="632">
        <f>D1</f>
        <v>23000</v>
      </c>
      <c r="N1" s="632"/>
      <c r="O1" s="632"/>
      <c r="U1" s="158" t="str">
        <f>C1</f>
        <v>IN -</v>
      </c>
      <c r="V1" s="632">
        <f>D1</f>
        <v>23000</v>
      </c>
      <c r="W1" s="632"/>
      <c r="X1" s="632"/>
      <c r="AD1" s="158" t="str">
        <f>L1</f>
        <v>IN -</v>
      </c>
      <c r="AE1" s="632">
        <f>D1</f>
        <v>23000</v>
      </c>
      <c r="AF1" s="632"/>
      <c r="AG1" s="632"/>
      <c r="AM1" s="158" t="str">
        <f>U1</f>
        <v>IN -</v>
      </c>
      <c r="AN1" s="632">
        <f>D1</f>
        <v>23000</v>
      </c>
      <c r="AO1" s="632"/>
      <c r="AP1" s="632"/>
      <c r="AV1" s="158" t="str">
        <f>AD1</f>
        <v>IN -</v>
      </c>
      <c r="AW1" s="632">
        <f>D1</f>
        <v>23000</v>
      </c>
      <c r="AX1" s="632"/>
      <c r="AY1" s="632"/>
      <c r="BE1" s="158" t="str">
        <f>AM1</f>
        <v>IN -</v>
      </c>
      <c r="BF1" s="632">
        <f>D1</f>
        <v>23000</v>
      </c>
      <c r="BG1" s="632"/>
      <c r="BH1" s="632"/>
      <c r="BN1" s="158" t="str">
        <f>AV1</f>
        <v>IN -</v>
      </c>
      <c r="BO1" s="632">
        <f>D1</f>
        <v>23000</v>
      </c>
      <c r="BP1" s="632"/>
      <c r="BQ1" s="632"/>
    </row>
    <row r="2" spans="1:72">
      <c r="D2" s="632">
        <f>FBS_Size</f>
        <v>0</v>
      </c>
      <c r="E2" s="632"/>
      <c r="F2" s="8">
        <f>FBS_Model</f>
        <v>0</v>
      </c>
      <c r="M2" s="632">
        <f>FBS_Size</f>
        <v>0</v>
      </c>
      <c r="N2" s="632"/>
      <c r="O2" s="8">
        <f>FBS_Model</f>
        <v>0</v>
      </c>
      <c r="V2" s="632">
        <f>D2</f>
        <v>0</v>
      </c>
      <c r="W2" s="632"/>
      <c r="X2" s="8">
        <f>F2</f>
        <v>0</v>
      </c>
      <c r="AE2" s="632">
        <f>D2</f>
        <v>0</v>
      </c>
      <c r="AF2" s="632"/>
      <c r="AG2" s="8">
        <f>F2</f>
        <v>0</v>
      </c>
      <c r="AN2" s="632">
        <f>D2</f>
        <v>0</v>
      </c>
      <c r="AO2" s="632"/>
      <c r="AP2" s="8">
        <f>F2</f>
        <v>0</v>
      </c>
      <c r="AW2" s="632">
        <f>D2</f>
        <v>0</v>
      </c>
      <c r="AX2" s="632"/>
      <c r="AY2" s="8">
        <f>F2</f>
        <v>0</v>
      </c>
      <c r="BF2" s="632">
        <f>D2</f>
        <v>0</v>
      </c>
      <c r="BG2" s="632"/>
      <c r="BH2" s="8">
        <f>F2</f>
        <v>0</v>
      </c>
      <c r="BO2" s="632">
        <f>D2</f>
        <v>0</v>
      </c>
      <c r="BP2" s="632"/>
      <c r="BQ2" s="8">
        <f>F2</f>
        <v>0</v>
      </c>
    </row>
    <row r="3" spans="1:72">
      <c r="A3" s="632" t="s">
        <v>203</v>
      </c>
      <c r="B3" s="632"/>
      <c r="C3" s="632"/>
      <c r="D3" s="632"/>
      <c r="E3" s="632"/>
      <c r="F3" s="632"/>
      <c r="G3" s="632"/>
      <c r="H3" s="632"/>
      <c r="I3" s="632"/>
      <c r="J3" s="632" t="s">
        <v>204</v>
      </c>
      <c r="K3" s="632"/>
      <c r="L3" s="632"/>
      <c r="M3" s="632"/>
      <c r="N3" s="632"/>
      <c r="O3" s="632"/>
      <c r="P3" s="632"/>
      <c r="Q3" s="632"/>
      <c r="R3" s="632"/>
      <c r="S3" s="632" t="s">
        <v>205</v>
      </c>
      <c r="T3" s="632"/>
      <c r="U3" s="632"/>
      <c r="V3" s="632"/>
      <c r="W3" s="632"/>
      <c r="X3" s="632"/>
      <c r="Y3" s="632"/>
      <c r="Z3" s="632"/>
      <c r="AA3" s="632"/>
      <c r="AB3" s="632" t="s">
        <v>206</v>
      </c>
      <c r="AC3" s="632"/>
      <c r="AD3" s="632"/>
      <c r="AE3" s="632"/>
      <c r="AF3" s="632"/>
      <c r="AG3" s="632"/>
      <c r="AH3" s="632"/>
      <c r="AI3" s="632"/>
      <c r="AJ3" s="632"/>
      <c r="AK3" s="632" t="s">
        <v>207</v>
      </c>
      <c r="AL3" s="632"/>
      <c r="AM3" s="632"/>
      <c r="AN3" s="632"/>
      <c r="AO3" s="632"/>
      <c r="AP3" s="632"/>
      <c r="AQ3" s="632"/>
      <c r="AR3" s="632"/>
      <c r="AS3" s="632"/>
      <c r="AT3" s="632" t="s">
        <v>208</v>
      </c>
      <c r="AU3" s="632"/>
      <c r="AV3" s="632"/>
      <c r="AW3" s="632"/>
      <c r="AX3" s="632"/>
      <c r="AY3" s="632"/>
      <c r="AZ3" s="632"/>
      <c r="BA3" s="632"/>
      <c r="BB3" s="632"/>
      <c r="BC3" s="632" t="s">
        <v>209</v>
      </c>
      <c r="BD3" s="632"/>
      <c r="BE3" s="632"/>
      <c r="BF3" s="632"/>
      <c r="BG3" s="632"/>
      <c r="BH3" s="632"/>
      <c r="BI3" s="632"/>
      <c r="BJ3" s="632"/>
      <c r="BK3" s="632"/>
      <c r="BL3" s="632" t="s">
        <v>210</v>
      </c>
      <c r="BM3" s="632"/>
      <c r="BN3" s="632"/>
      <c r="BO3" s="632"/>
      <c r="BP3" s="632"/>
      <c r="BQ3" s="632"/>
      <c r="BR3" s="632"/>
      <c r="BS3" s="632"/>
      <c r="BT3" s="632"/>
    </row>
    <row r="4" spans="1:72">
      <c r="J4" s="8" t="s">
        <v>211</v>
      </c>
      <c r="L4" s="8" t="s">
        <v>105</v>
      </c>
      <c r="S4" s="8" t="s">
        <v>212</v>
      </c>
      <c r="U4" s="8" t="str">
        <f>IF(FBS_SecondDoor="x","2","1")</f>
        <v>1</v>
      </c>
      <c r="AB4" s="8" t="s">
        <v>213</v>
      </c>
      <c r="AC4" s="8" t="str">
        <f>FBS_GalleyDepth</f>
        <v>17"</v>
      </c>
      <c r="AK4" s="8" t="s">
        <v>172</v>
      </c>
      <c r="AL4" s="8" t="str">
        <f>FBS_Color</f>
        <v/>
      </c>
      <c r="AO4" s="8" t="s">
        <v>214</v>
      </c>
      <c r="AQ4" s="8" t="s">
        <v>215</v>
      </c>
      <c r="AT4" s="8" t="s">
        <v>216</v>
      </c>
      <c r="AV4" s="8" t="str">
        <f>IF(FBS_FrontAC="x","Yes","No")</f>
        <v>No</v>
      </c>
      <c r="BC4" s="8" t="s">
        <v>211</v>
      </c>
      <c r="BE4" s="8" t="s">
        <v>105</v>
      </c>
      <c r="BL4" s="8" t="s">
        <v>217</v>
      </c>
      <c r="BN4" s="8" t="str">
        <f>IF(FBS_SlideOut="","No",FBS_SlideOut)</f>
        <v>No</v>
      </c>
    </row>
    <row r="5" spans="1:72">
      <c r="A5" s="633" t="s">
        <v>218</v>
      </c>
      <c r="B5" s="633"/>
      <c r="C5" s="633"/>
      <c r="D5" s="8" t="str">
        <f>IF(Data!GW19=TRUE,FBS_SpareTire,"No")</f>
        <v>No</v>
      </c>
      <c r="O5" s="8" t="s">
        <v>219</v>
      </c>
      <c r="P5" s="8">
        <f>FBS_TrailerHitch</f>
        <v>0</v>
      </c>
      <c r="AT5" s="8" t="s">
        <v>220</v>
      </c>
      <c r="AV5" s="8" t="str">
        <f>IF(FBS_RoofRack="","No",FBS_RoofRack)</f>
        <v>No</v>
      </c>
      <c r="AY5" s="8" t="str">
        <f>IF(AV5="No","",IF(AND(AV5&lt;&gt;"No",AV11&lt;&gt;"No"),"*Check Placement AC",""))</f>
        <v/>
      </c>
      <c r="BC5" s="8" t="s">
        <v>221</v>
      </c>
      <c r="BE5" s="8" t="str">
        <f>IF(FBS_Brakes="x","Yes","No")</f>
        <v>No</v>
      </c>
      <c r="BG5" s="8" t="s">
        <v>222</v>
      </c>
      <c r="BI5" s="8" t="str">
        <f>IF(FBS_Toolbox="","No",FBS_Toolbox)</f>
        <v>No</v>
      </c>
      <c r="BL5" s="8" t="s">
        <v>223</v>
      </c>
      <c r="BN5" s="8" t="str">
        <f>IF(FBS_Drawers="","No",FBS_Drawers)</f>
        <v>No</v>
      </c>
    </row>
    <row r="6" spans="1:72">
      <c r="A6" s="9"/>
      <c r="B6" s="9"/>
      <c r="C6" s="9"/>
      <c r="J6" s="8" t="s">
        <v>224</v>
      </c>
      <c r="M6" s="8" t="str">
        <f>IF(FBS_BattLocation="","N/A",FBS_BattLocation)</f>
        <v>Rear Galley</v>
      </c>
      <c r="S6" s="8" t="s">
        <v>225</v>
      </c>
      <c r="U6" s="8" t="str">
        <f>IF(Data!OH27&lt;&gt;FALSE,"Yes","No")</f>
        <v>No</v>
      </c>
      <c r="AB6" s="8" t="s">
        <v>226</v>
      </c>
      <c r="AD6" s="8" t="str">
        <f>FBS_GalleyType</f>
        <v>Open</v>
      </c>
      <c r="AK6" s="8" t="s">
        <v>227</v>
      </c>
      <c r="AN6" s="8" t="str">
        <f>IF(FBS_FrontDPlate="","No",FBS_FrontDPlate)</f>
        <v>No</v>
      </c>
      <c r="AT6" s="8" t="s">
        <v>228</v>
      </c>
      <c r="AV6" s="8" t="str">
        <f>IF(FBS_PASAwning="","No",FBS_PASAwning)</f>
        <v>No</v>
      </c>
      <c r="BC6" s="8" t="s">
        <v>229</v>
      </c>
      <c r="BE6" s="8" t="str">
        <f>IF(FBS_AutowBrake="x","Yes","No")</f>
        <v>No</v>
      </c>
      <c r="BG6" s="8" t="s">
        <v>230</v>
      </c>
      <c r="BH6" s="8">
        <f>FBS_Fan</f>
        <v>0</v>
      </c>
      <c r="BL6" s="8" t="s">
        <v>231</v>
      </c>
      <c r="BN6" s="8" t="str">
        <f>IF(FBS_PortSolar="","No",FBS_PortSolar)</f>
        <v>No</v>
      </c>
    </row>
    <row r="7" spans="1:72">
      <c r="A7" s="633" t="s">
        <v>232</v>
      </c>
      <c r="B7" s="633"/>
      <c r="C7" s="633"/>
      <c r="D7" s="8" t="str">
        <f>Data!JR27</f>
        <v>None</v>
      </c>
      <c r="O7" s="8" t="s">
        <v>233</v>
      </c>
      <c r="Q7" s="8" t="str">
        <f>IF(FBS_CargoPan="x","Yes","No")</f>
        <v>No</v>
      </c>
      <c r="AT7" s="8" t="s">
        <v>234</v>
      </c>
      <c r="AV7" s="8" t="str">
        <f>IF(FBS_DVRAwning="","No",FBS_DVRAwning)</f>
        <v>No</v>
      </c>
      <c r="BL7" s="8" t="s">
        <v>235</v>
      </c>
      <c r="BN7" s="8" t="str">
        <f>IF(FBS_SolarAdapter="","No",FBS_SolarAdapter)</f>
        <v>No</v>
      </c>
    </row>
    <row r="8" spans="1:72">
      <c r="J8" s="8" t="s">
        <v>236</v>
      </c>
      <c r="M8" s="8" t="str">
        <f>IF(Data!LZ25=TRUE,"Yes","No")</f>
        <v>No</v>
      </c>
      <c r="S8" s="8" t="s">
        <v>237</v>
      </c>
      <c r="U8" s="8" t="str">
        <f>IF(Data!OH30&lt;&gt;FALSE,"Yes","No")</f>
        <v>No</v>
      </c>
      <c r="AB8" s="8" t="s">
        <v>223</v>
      </c>
      <c r="AD8" s="8" t="str">
        <f>IF(FBS_Drawers="","No",FBS_Drawers)</f>
        <v>No</v>
      </c>
      <c r="AK8" s="8" t="s">
        <v>238</v>
      </c>
      <c r="AN8" s="8" t="str">
        <f>IF(FBS_SideDPlate="","No",FBS_SideDPlate)</f>
        <v>No</v>
      </c>
      <c r="AT8" s="8" t="s">
        <v>239</v>
      </c>
      <c r="AV8" s="8" t="str">
        <f>IF(FBS_RoofWater="","No",FBS_RoofWater)</f>
        <v>No</v>
      </c>
      <c r="BC8" s="8" t="s">
        <v>240</v>
      </c>
      <c r="BE8" s="8" t="str">
        <f>IF(FBS_BattSelection="","None",FBS_BattSelection)</f>
        <v>None</v>
      </c>
      <c r="BL8" s="8" t="s">
        <v>241</v>
      </c>
      <c r="BN8" s="8" t="str">
        <f>IF(AND(FBS_Model=Highway_Deluxe,FBS_AirBags=""),"No","Yes")</f>
        <v>Yes</v>
      </c>
    </row>
    <row r="9" spans="1:72">
      <c r="AT9" s="8" t="s">
        <v>242</v>
      </c>
      <c r="AV9" s="8" t="str">
        <f>IF(FBS_RoofStorage="","No",FBS_RoofStorage)</f>
        <v>No</v>
      </c>
      <c r="BC9" s="8" t="s">
        <v>243</v>
      </c>
      <c r="BE9" s="8" t="str">
        <f>IF(Data!MF39=TRUE,"Box",IF(Data!MF30=TRUE,"Tray","None"))</f>
        <v>None</v>
      </c>
      <c r="BL9" s="8" t="s">
        <v>244</v>
      </c>
      <c r="BN9" s="8" t="str">
        <f>IF(FBS_Cover="x","Yes","No")</f>
        <v>No</v>
      </c>
    </row>
    <row r="10" spans="1:72">
      <c r="J10" s="8" t="s">
        <v>245</v>
      </c>
      <c r="L10" s="8" t="str">
        <f>IF(FBS_Inverter="x","Yes","No")</f>
        <v>No</v>
      </c>
      <c r="S10" s="8" t="s">
        <v>246</v>
      </c>
      <c r="U10" s="8" t="str">
        <f>IF(Data!OH33&lt;&gt;FALSE,"Yes","No")</f>
        <v>No</v>
      </c>
      <c r="AB10" s="8" t="s">
        <v>247</v>
      </c>
      <c r="AD10" s="8" t="str">
        <f>IF(FBS_CabinetDoors="","No",FBS_CabinetDoors)</f>
        <v>No</v>
      </c>
      <c r="AK10" s="8" t="s">
        <v>248</v>
      </c>
      <c r="AN10" s="8" t="str">
        <f>IF(FBS_DPlateColor="","None",FBS_DPlateColor)</f>
        <v>None</v>
      </c>
      <c r="AT10" s="8" t="s">
        <v>249</v>
      </c>
      <c r="AV10" s="8" t="str">
        <f>IF(FBS_RTT="","No",FBS_RTT)</f>
        <v>No</v>
      </c>
      <c r="BC10" s="8" t="s">
        <v>224</v>
      </c>
      <c r="BF10" s="8" t="str">
        <f>FBS_BattLocation</f>
        <v>Rear Galley</v>
      </c>
      <c r="BL10" s="8" t="s">
        <v>250</v>
      </c>
      <c r="BN10" s="8" t="str">
        <f>IF(FBS_Controller="x","Yes","No")</f>
        <v>No</v>
      </c>
    </row>
    <row r="11" spans="1:72">
      <c r="AT11" s="8" t="s">
        <v>251</v>
      </c>
      <c r="AV11" s="8" t="str">
        <f>IF(FBS_RTAC=Data!LN4,"Yes","No")</f>
        <v>No</v>
      </c>
      <c r="BC11" s="8" t="s">
        <v>245</v>
      </c>
      <c r="BE11" s="8" t="str">
        <f>IF(FBS_Inverter="x","Yes","No")</f>
        <v>No</v>
      </c>
      <c r="BL11" s="8" t="s">
        <v>252</v>
      </c>
      <c r="BN11" s="8" t="str">
        <f>IF(FBS_Dolly="x","Yes","No")</f>
        <v>No</v>
      </c>
    </row>
    <row r="12" spans="1:72">
      <c r="J12" s="8" t="s">
        <v>253</v>
      </c>
      <c r="M12" s="8" t="str">
        <f>IF(FBS_110Front="x","Yes","No")</f>
        <v>No</v>
      </c>
      <c r="S12" s="8" t="s">
        <v>254</v>
      </c>
      <c r="U12" s="8" t="str">
        <f>IF(AND(Data!LN28,Data!LN25=TRUE),"CUT OUT",IF(Data!LN25=TRUE,"PREP ONLY","NO"))</f>
        <v>NO</v>
      </c>
      <c r="AB12" s="8" t="s">
        <v>255</v>
      </c>
      <c r="AE12" s="8" t="str">
        <f>IF(FBS_FrontShelf="x","Yes","No")</f>
        <v>No</v>
      </c>
      <c r="AK12" s="8" t="s">
        <v>212</v>
      </c>
      <c r="AM12" s="8" t="str">
        <f>IF(FBS_SecondDoor="x","2","1")</f>
        <v>1</v>
      </c>
      <c r="AO12" s="8" t="s">
        <v>256</v>
      </c>
      <c r="AQ12" s="8">
        <f>FBS_DoorColor</f>
        <v>0</v>
      </c>
      <c r="BC12" s="8" t="s">
        <v>257</v>
      </c>
      <c r="BD12" s="8" t="str">
        <f>IF(BE8="None","No","Yes")</f>
        <v>No</v>
      </c>
      <c r="BL12" s="8" t="s">
        <v>258</v>
      </c>
      <c r="BN12" s="8" t="str">
        <f>IF(FBS_7pinAdapter="x","Yes","No")</f>
        <v>No</v>
      </c>
    </row>
    <row r="13" spans="1:72">
      <c r="AT13" s="8" t="s">
        <v>222</v>
      </c>
      <c r="AV13" s="8" t="str">
        <f>IF(FBS_Toolbox="","No",FBS_Toolbox)</f>
        <v>No</v>
      </c>
      <c r="BL13" s="8" t="s">
        <v>259</v>
      </c>
      <c r="BN13" s="8" t="str">
        <f>IF(FBS_Extension="x","Yes","No")</f>
        <v>No</v>
      </c>
    </row>
    <row r="14" spans="1:72">
      <c r="J14" s="8" t="s">
        <v>260</v>
      </c>
      <c r="L14" s="8" t="str">
        <f>IF(FBS_Model=Highway_Deluxe,Data!IS12,IF(FBS_Model=MidRange_Deluxe,Data!IS13,IF(FBS_Model=MidRange_XL,Data!IS14,IF(AND(FBS_Model=Extreme_OffRoad,FBS_AirBags="x"),Data!IS16,Data!IS15))))</f>
        <v>Straight w/ shocks</v>
      </c>
      <c r="S14" s="8" t="s">
        <v>233</v>
      </c>
      <c r="U14" s="8" t="str">
        <f>IF(FBS_CargoPan="x","Yes","No")</f>
        <v>No</v>
      </c>
      <c r="AB14" s="8" t="s">
        <v>261</v>
      </c>
      <c r="AD14" s="8" t="str">
        <f>IF(FBS_SlideOut="","No",FBS_SlideOut)</f>
        <v>No</v>
      </c>
      <c r="AK14" s="8" t="s">
        <v>262</v>
      </c>
      <c r="AM14" s="8">
        <f>FBS_DoorType</f>
        <v>0</v>
      </c>
      <c r="AT14" s="8" t="s">
        <v>263</v>
      </c>
      <c r="AV14" s="8" t="str">
        <f>IF(FBS_FridgeBox="x","Yes","No")</f>
        <v>No</v>
      </c>
      <c r="AX14" s="8" t="s">
        <v>264</v>
      </c>
      <c r="AZ14" s="8" t="str">
        <f>IF(FBS_FridgeRack="x","Yes","No")</f>
        <v>No</v>
      </c>
      <c r="BC14" s="8" t="s">
        <v>265</v>
      </c>
      <c r="BE14" s="8" t="str">
        <f>IF(FBS_GoalZeroType="","No",FBS_GoalZeroType)</f>
        <v>No</v>
      </c>
      <c r="BH14" s="8" t="s">
        <v>266</v>
      </c>
      <c r="BJ14" s="8" t="str">
        <f>IF(FBS_GoalZeroMount="x","Yes","No")</f>
        <v>No</v>
      </c>
      <c r="BL14" s="8" t="s">
        <v>267</v>
      </c>
      <c r="BN14" s="8">
        <f>FBS_VehicleHitch</f>
        <v>0</v>
      </c>
    </row>
    <row r="15" spans="1:72">
      <c r="AT15" s="8" t="s">
        <v>268</v>
      </c>
      <c r="AV15" s="8" t="str">
        <f>IF(FBS_FridgeSlide="x","Yes","No")</f>
        <v>No</v>
      </c>
      <c r="AX15" s="8" t="s">
        <v>269</v>
      </c>
      <c r="AY15" s="8" t="str">
        <f>IF(FBS_Fridge="","No",FBS_Fridge)</f>
        <v>No</v>
      </c>
      <c r="BC15" s="8" t="s">
        <v>270</v>
      </c>
      <c r="BE15" s="8" t="str">
        <f>IF(FBS_12VPlug="x","Yes","No")</f>
        <v>No</v>
      </c>
      <c r="BH15" s="8" t="s">
        <v>271</v>
      </c>
      <c r="BJ15" s="8" t="str">
        <f>IF(FBS_DCDC="x","Yes","No")</f>
        <v>No</v>
      </c>
      <c r="BL15" s="8" t="s">
        <v>272</v>
      </c>
      <c r="BN15" s="8" t="str">
        <f>IF(FBS_HitchExtend="x","Yes","No")</f>
        <v>No</v>
      </c>
    </row>
    <row r="16" spans="1:72">
      <c r="J16" s="8" t="s">
        <v>273</v>
      </c>
      <c r="L16" s="8" t="str">
        <f>IF(OR(FBS_Model=Highway_Deluxe,FBS_Model=MidRange_Deluxe),Data!HX3,IF(FBS_Model=MidRange_XL,Data!IA3,IF(FBS_Lug="x",Data!ID4,Data!ID3)))</f>
        <v>5 on 5</v>
      </c>
      <c r="S16" s="8" t="s">
        <v>274</v>
      </c>
      <c r="V16" s="8" t="str">
        <f>IF(Data!ND19=TRUE,"Yes","No")</f>
        <v>No</v>
      </c>
      <c r="AB16" s="8" t="s">
        <v>275</v>
      </c>
      <c r="AD16" s="8" t="str">
        <f>IF(FBS_RearShelf="","No",FBS_RearShelf)</f>
        <v>No</v>
      </c>
      <c r="BL16" s="8" t="s">
        <v>276</v>
      </c>
      <c r="BO16" s="8" t="str">
        <f>IF(FBS_Shirt1="","No",FBS_Shirt1)</f>
        <v>No</v>
      </c>
    </row>
    <row r="17" spans="10:67">
      <c r="AT17" s="8" t="s">
        <v>233</v>
      </c>
      <c r="AV17" s="8" t="str">
        <f>IF(FBS_CargoPan="x","Yes","No")</f>
        <v>No</v>
      </c>
      <c r="BC17" s="8" t="s">
        <v>277</v>
      </c>
      <c r="BE17" s="8">
        <f>FBS_CabinLight</f>
        <v>0</v>
      </c>
      <c r="BH17" s="8" t="s">
        <v>225</v>
      </c>
      <c r="BJ17" s="8" t="str">
        <f>IF(FBS_PASLight="","No",FBS_PASLight)</f>
        <v>No</v>
      </c>
      <c r="BL17" s="8" t="s">
        <v>278</v>
      </c>
      <c r="BO17" s="8" t="str">
        <f>IF(FBS_Shirt2="","No",FBS_Shirt2)</f>
        <v>No</v>
      </c>
    </row>
    <row r="18" spans="10:67">
      <c r="J18" s="8" t="s">
        <v>279</v>
      </c>
      <c r="L18" s="8" t="str">
        <f>IF(FBS_Model=Highway_Deluxe,"14",IF(FBS_Model=MidRange_Deluxe,"15",IF(FBS_Model=MidRange_XL,"16","17")))</f>
        <v>17</v>
      </c>
      <c r="AB18" s="8" t="s">
        <v>274</v>
      </c>
      <c r="AE18" s="8" t="str">
        <f>V16</f>
        <v>No</v>
      </c>
      <c r="BC18" s="8" t="s">
        <v>280</v>
      </c>
      <c r="BE18" s="8" t="str">
        <f>IF(FBS_RearUSB="x","Yes","No")</f>
        <v>No</v>
      </c>
      <c r="BH18" s="8" t="s">
        <v>237</v>
      </c>
      <c r="BJ18" s="161" t="str">
        <f>IF(FBS_DVRLight="","No",FBS_DVRLight)</f>
        <v>No</v>
      </c>
      <c r="BK18" s="161"/>
    </row>
    <row r="19" spans="10:67">
      <c r="O19" s="8" t="s">
        <v>281</v>
      </c>
      <c r="Q19" s="8" t="str">
        <f>IF(FBS_AddTire="x","Yes","No")</f>
        <v>No</v>
      </c>
      <c r="AT19" s="8" t="s">
        <v>282</v>
      </c>
      <c r="AV19" s="8" t="str">
        <f>IF(FBS_PAS_TankSize="","No",FBS_PAS_TankSize)</f>
        <v>No</v>
      </c>
      <c r="AX19" s="8" t="s">
        <v>283</v>
      </c>
      <c r="AZ19" s="8" t="str">
        <f>IF(FBS_DVR_TankSize="","No",FBS_DVR_TankSize)</f>
        <v>No</v>
      </c>
      <c r="BC19" s="162" t="s">
        <v>284</v>
      </c>
      <c r="BE19" s="8" t="str">
        <f>IF(FBS_110Front="x","Yes","No")</f>
        <v>No</v>
      </c>
      <c r="BH19" s="8" t="s">
        <v>246</v>
      </c>
      <c r="BI19" s="160"/>
      <c r="BJ19" s="8" t="str">
        <f>IF(FBS_RearLight="","No",FBS_RearLight)</f>
        <v>No</v>
      </c>
      <c r="BL19" s="8" t="s">
        <v>285</v>
      </c>
      <c r="BN19" s="8" t="str">
        <f>IF(FBS_PULocation=PickUP_CO,"Yes","No")</f>
        <v>No</v>
      </c>
    </row>
    <row r="20" spans="10:67">
      <c r="J20" s="8" t="s">
        <v>218</v>
      </c>
      <c r="M20" s="8" t="str">
        <f>D5</f>
        <v>No</v>
      </c>
      <c r="AB20" s="8" t="s">
        <v>286</v>
      </c>
      <c r="AC20" s="8" t="str">
        <f>IF(FBS_Bunks="x","Yes","No")</f>
        <v>No</v>
      </c>
      <c r="AT20" s="8" t="s">
        <v>287</v>
      </c>
      <c r="AV20" s="8" t="str">
        <f>IF(FBS_PAS_WithTank="x","Yes","No")</f>
        <v>No</v>
      </c>
      <c r="AX20" s="8" t="s">
        <v>288</v>
      </c>
      <c r="AZ20" s="8" t="str">
        <f>IF(FBS_DVR_WithTank="x","Yes","No")</f>
        <v>No</v>
      </c>
      <c r="BC20" s="8" t="s">
        <v>289</v>
      </c>
      <c r="BF20" s="8" t="str">
        <f>IF(Data!NJ21=TRUE,"110V &amp; 12V",IF(Data!NJ15=TRUE,"12V",IF(Data!NJ18=TRUE,"110V","No")))</f>
        <v>No</v>
      </c>
    </row>
    <row r="21" spans="10:67">
      <c r="BI21" s="162"/>
    </row>
    <row r="22" spans="10:67">
      <c r="J22" s="8" t="s">
        <v>221</v>
      </c>
      <c r="L22" s="8" t="str">
        <f>IF(FBS_Brakes="x","Yes","No")</f>
        <v>No</v>
      </c>
      <c r="AT22" s="8" t="s">
        <v>290</v>
      </c>
      <c r="AV22" s="8" t="str">
        <f>IF(FBS_ShowerRoom="x","Yes","No")</f>
        <v>No</v>
      </c>
      <c r="BC22" s="8" t="s">
        <v>291</v>
      </c>
      <c r="BE22" s="9" t="str">
        <f>IF(FBS_ReadingLights="","No",FBS_ReadingLights)</f>
        <v>No</v>
      </c>
    </row>
    <row r="23" spans="10:67">
      <c r="AT23" s="8" t="s">
        <v>292</v>
      </c>
      <c r="AV23" s="8" t="str">
        <f>IF(FBS_SideTable="","No",FBS_SideTable)</f>
        <v>No</v>
      </c>
    </row>
    <row r="24" spans="10:67">
      <c r="J24" s="8" t="s">
        <v>293</v>
      </c>
      <c r="L24" s="8" t="str">
        <f>IF(FBS_DCDC="x","Yes","No")</f>
        <v>No</v>
      </c>
      <c r="AT24" s="8" t="s">
        <v>294</v>
      </c>
      <c r="AV24" s="8" t="str">
        <f>IF(FBS_Heat="","No",FBS_Heat)</f>
        <v>No</v>
      </c>
      <c r="BC24" s="8" t="s">
        <v>295</v>
      </c>
      <c r="BD24" s="8" t="str">
        <f>IF(FBS_WaterTank="x","Yes","No")</f>
        <v>No</v>
      </c>
      <c r="BG24" s="8" t="s">
        <v>296</v>
      </c>
      <c r="BI24" s="8" t="str">
        <f>IF(FBS_PermPanelType="","No",FBS_PermPanelType)</f>
        <v>No</v>
      </c>
    </row>
    <row r="25" spans="10:67">
      <c r="AT25" s="8" t="s">
        <v>297</v>
      </c>
      <c r="AV25" s="8" t="str">
        <f>IF(FBS_Bungies="x","Yes","No")</f>
        <v>No</v>
      </c>
      <c r="BC25" s="8" t="s">
        <v>298</v>
      </c>
      <c r="BD25" s="8" t="str">
        <f>IF(FBS_HotShower="x","Yes","No")</f>
        <v>No</v>
      </c>
      <c r="BG25" s="8" t="s">
        <v>299</v>
      </c>
      <c r="BI25" s="8" t="str">
        <f>IF(FBS_PermPanelWiring="","No",FBS_PermPanelWiring)</f>
        <v>No</v>
      </c>
    </row>
    <row r="26" spans="10:67">
      <c r="J26" s="8" t="s">
        <v>300</v>
      </c>
      <c r="L26" s="8" t="str">
        <f>IF(FBS_WaterTank="x","Yes","No")</f>
        <v>No</v>
      </c>
    </row>
    <row r="27" spans="10:67">
      <c r="BC27" s="8" t="s">
        <v>251</v>
      </c>
      <c r="BE27" s="8" t="str">
        <f>IF(FBS_RTAC="","No",FBS_RTAC)</f>
        <v>No</v>
      </c>
    </row>
    <row r="28" spans="10:67">
      <c r="J28" s="8" t="s">
        <v>301</v>
      </c>
      <c r="L28" s="8" t="str">
        <f>IF(FBS_WheelJack="x","ARK","Stationary")</f>
        <v>Stationary</v>
      </c>
    </row>
  </sheetData>
  <mergeCells count="26">
    <mergeCell ref="M1:O1"/>
    <mergeCell ref="V2:W2"/>
    <mergeCell ref="S3:AA3"/>
    <mergeCell ref="A5:C5"/>
    <mergeCell ref="V1:X1"/>
    <mergeCell ref="D1:F1"/>
    <mergeCell ref="A7:C7"/>
    <mergeCell ref="M2:N2"/>
    <mergeCell ref="J3:R3"/>
    <mergeCell ref="A3:I3"/>
    <mergeCell ref="D2:E2"/>
    <mergeCell ref="BO2:BP2"/>
    <mergeCell ref="BL3:BT3"/>
    <mergeCell ref="BO1:BQ1"/>
    <mergeCell ref="AW2:AX2"/>
    <mergeCell ref="AT3:BB3"/>
    <mergeCell ref="AE2:AF2"/>
    <mergeCell ref="AB3:AJ3"/>
    <mergeCell ref="BF2:BG2"/>
    <mergeCell ref="BC3:BK3"/>
    <mergeCell ref="AE1:AG1"/>
    <mergeCell ref="BF1:BH1"/>
    <mergeCell ref="AN1:AP1"/>
    <mergeCell ref="AW1:AY1"/>
    <mergeCell ref="AN2:AO2"/>
    <mergeCell ref="AK3:AS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5B7EA-256A-4AE8-9EE3-C53AC0F0BF11}">
  <dimension ref="A1:RZ155"/>
  <sheetViews>
    <sheetView topLeftCell="LI3" zoomScale="120" zoomScaleNormal="120" workbookViewId="0">
      <selection activeCell="LO28" sqref="LO28"/>
    </sheetView>
  </sheetViews>
  <sheetFormatPr defaultColWidth="9" defaultRowHeight="15.75"/>
  <cols>
    <col min="1" max="1" width="10.875" style="13" customWidth="1"/>
    <col min="2" max="4" width="26.125" style="13" customWidth="1"/>
    <col min="5" max="5" width="9" style="13"/>
    <col min="6" max="6" width="13.5" style="13" bestFit="1" customWidth="1"/>
    <col min="7" max="7" width="13.5" style="13" customWidth="1"/>
    <col min="8" max="10" width="9" style="13"/>
    <col min="11" max="11" width="8.375" style="13" customWidth="1"/>
    <col min="12" max="12" width="13.75" style="13" bestFit="1" customWidth="1"/>
    <col min="13" max="13" width="13.75" style="13" customWidth="1"/>
    <col min="14" max="17" width="8.375" style="13" customWidth="1"/>
    <col min="18" max="18" width="13.125" style="13" bestFit="1" customWidth="1"/>
    <col min="19" max="19" width="13.125" style="13" customWidth="1"/>
    <col min="20" max="23" width="8.375" style="13" customWidth="1"/>
    <col min="24" max="24" width="14.5" style="13" bestFit="1" customWidth="1"/>
    <col min="25" max="25" width="14.5" style="13" customWidth="1"/>
    <col min="26" max="29" width="8.375" style="13" customWidth="1"/>
    <col min="30" max="30" width="20.5" style="13" bestFit="1" customWidth="1"/>
    <col min="31" max="31" width="11" style="13" customWidth="1"/>
    <col min="32" max="34" width="9" style="13"/>
    <col min="35" max="35" width="8.375" style="13" customWidth="1"/>
    <col min="36" max="36" width="17.125" style="13" bestFit="1" customWidth="1"/>
    <col min="37" max="37" width="17.125" style="13" customWidth="1"/>
    <col min="38" max="40" width="9" style="13" customWidth="1"/>
    <col min="41" max="41" width="9" style="13"/>
    <col min="42" max="42" width="28" style="13" bestFit="1" customWidth="1"/>
    <col min="43" max="43" width="10.5" style="13" customWidth="1"/>
    <col min="44" max="46" width="9" style="13"/>
    <col min="47" max="47" width="8.375" style="13" customWidth="1"/>
    <col min="48" max="48" width="26.25" style="13" bestFit="1" customWidth="1"/>
    <col min="49" max="50" width="9" style="13"/>
    <col min="51" max="51" width="25.875" style="13" bestFit="1" customWidth="1"/>
    <col min="52" max="52" width="8.25" style="13" customWidth="1"/>
    <col min="53" max="56" width="9" style="13"/>
    <col min="57" max="57" width="16.375" style="13" bestFit="1" customWidth="1"/>
    <col min="58" max="58" width="11.375" style="13" customWidth="1"/>
    <col min="59" max="62" width="9" style="13"/>
    <col min="63" max="63" width="22.375" style="13" bestFit="1" customWidth="1"/>
    <col min="64" max="64" width="10.875" style="13" customWidth="1"/>
    <col min="65" max="68" width="9" style="13"/>
    <col min="69" max="69" width="24.125" style="13" bestFit="1" customWidth="1"/>
    <col min="70" max="70" width="11.125" style="13" customWidth="1"/>
    <col min="71" max="74" width="9" style="13"/>
    <col min="75" max="75" width="16.125" style="13" bestFit="1" customWidth="1"/>
    <col min="76" max="77" width="9" style="13"/>
    <col min="78" max="78" width="15.25" style="13" bestFit="1" customWidth="1"/>
    <col min="79" max="79" width="8.625" style="13" customWidth="1"/>
    <col min="80" max="83" width="9" style="13"/>
    <col min="84" max="84" width="15.125" style="13" bestFit="1" customWidth="1"/>
    <col min="85" max="85" width="15.125" style="13" customWidth="1"/>
    <col min="86" max="89" width="9" style="13"/>
    <col min="90" max="90" width="22.5" style="13" bestFit="1" customWidth="1"/>
    <col min="91" max="92" width="9" style="13"/>
    <col min="93" max="93" width="27.875" style="13" bestFit="1" customWidth="1"/>
    <col min="94" max="94" width="13" style="13" customWidth="1"/>
    <col min="95" max="98" width="9" style="13"/>
    <col min="99" max="99" width="27.875" style="13" bestFit="1" customWidth="1"/>
    <col min="100" max="101" width="9" style="13"/>
    <col min="102" max="102" width="22.375" style="13" bestFit="1" customWidth="1"/>
    <col min="103" max="104" width="9" style="13"/>
    <col min="105" max="105" width="16.375" style="13" bestFit="1" customWidth="1"/>
    <col min="106" max="106" width="8.25" style="13" customWidth="1"/>
    <col min="107" max="110" width="9" style="13"/>
    <col min="111" max="111" width="16.25" style="13" bestFit="1" customWidth="1"/>
    <col min="112" max="112" width="8.875" style="13" customWidth="1"/>
    <col min="113" max="113" width="19.125" style="13" bestFit="1" customWidth="1"/>
    <col min="114" max="116" width="9" style="13"/>
    <col min="117" max="117" width="22.875" style="13" bestFit="1" customWidth="1"/>
    <col min="118" max="118" width="10.75" style="13" customWidth="1"/>
    <col min="119" max="122" width="9" style="13"/>
    <col min="123" max="123" width="21.375" style="13" bestFit="1" customWidth="1"/>
    <col min="124" max="125" width="9" style="13"/>
    <col min="126" max="126" width="12.125" style="13" bestFit="1" customWidth="1"/>
    <col min="127" max="127" width="12.125" style="13" customWidth="1"/>
    <col min="128" max="131" width="9" style="13"/>
    <col min="132" max="132" width="14.5" style="13" bestFit="1" customWidth="1"/>
    <col min="133" max="133" width="10.125" style="13" customWidth="1"/>
    <col min="134" max="137" width="9" style="13"/>
    <col min="138" max="138" width="13.875" style="13" bestFit="1" customWidth="1"/>
    <col min="139" max="139" width="13.875" style="13" customWidth="1"/>
    <col min="140" max="143" width="9" style="13"/>
    <col min="144" max="144" width="25.375" style="13" bestFit="1" customWidth="1"/>
    <col min="145" max="145" width="13.375" style="13" customWidth="1"/>
    <col min="146" max="149" width="9" style="13"/>
    <col min="150" max="150" width="38.375" style="13" bestFit="1" customWidth="1"/>
    <col min="151" max="151" width="15" style="13" customWidth="1"/>
    <col min="152" max="155" width="9" style="13"/>
    <col min="156" max="156" width="45.25" style="13" bestFit="1" customWidth="1"/>
    <col min="157" max="161" width="9" style="13"/>
    <col min="162" max="162" width="23.375" style="13" bestFit="1" customWidth="1"/>
    <col min="163" max="163" width="14.875" style="13" customWidth="1"/>
    <col min="164" max="167" width="9" style="13"/>
    <col min="168" max="168" width="19.875" style="13" bestFit="1" customWidth="1"/>
    <col min="169" max="169" width="13.375" style="13" customWidth="1"/>
    <col min="170" max="173" width="9" style="13"/>
    <col min="174" max="174" width="25.5" style="13" bestFit="1" customWidth="1"/>
    <col min="175" max="175" width="15.625" style="13" customWidth="1"/>
    <col min="176" max="179" width="9" style="13"/>
    <col min="180" max="180" width="18.125" style="13" bestFit="1" customWidth="1"/>
    <col min="181" max="182" width="9" style="13"/>
    <col min="183" max="183" width="24.625" style="13" bestFit="1" customWidth="1"/>
    <col min="184" max="184" width="14.75" style="13" customWidth="1"/>
    <col min="185" max="188" width="9" style="13"/>
    <col min="189" max="189" width="18.875" style="13" bestFit="1" customWidth="1"/>
    <col min="190" max="190" width="18.875" style="13" customWidth="1"/>
    <col min="191" max="195" width="9" style="13"/>
    <col min="196" max="196" width="93.25" style="13" customWidth="1"/>
    <col min="197" max="198" width="9" style="13"/>
    <col min="199" max="199" width="20.5" style="13" bestFit="1" customWidth="1"/>
    <col min="200" max="200" width="20.5" style="13" customWidth="1"/>
    <col min="201" max="204" width="9" style="13"/>
    <col min="205" max="205" width="17.375" style="13" bestFit="1" customWidth="1"/>
    <col min="206" max="206" width="17.375" style="13" customWidth="1"/>
    <col min="207" max="210" width="9" style="13"/>
    <col min="211" max="211" width="17.375" style="13" bestFit="1" customWidth="1"/>
    <col min="212" max="212" width="17.375" style="13" customWidth="1"/>
    <col min="213" max="216" width="9" style="13"/>
    <col min="217" max="217" width="17.375" style="13" bestFit="1" customWidth="1"/>
    <col min="218" max="218" width="17.375" style="13" customWidth="1"/>
    <col min="219" max="221" width="9.125" style="13" customWidth="1"/>
    <col min="222" max="222" width="9" style="13"/>
    <col min="223" max="223" width="12.125" style="13" bestFit="1" customWidth="1"/>
    <col min="224" max="225" width="9" style="13"/>
    <col min="226" max="226" width="21.625" style="13" bestFit="1" customWidth="1"/>
    <col min="227" max="227" width="18.375" style="13" customWidth="1"/>
    <col min="228" max="228" width="16.375" style="13" bestFit="1" customWidth="1"/>
    <col min="229" max="231" width="9" style="13"/>
    <col min="232" max="232" width="14.5" style="13" bestFit="1" customWidth="1"/>
    <col min="233" max="234" width="9" style="13"/>
    <col min="235" max="235" width="10.5" style="13" bestFit="1" customWidth="1"/>
    <col min="236" max="237" width="9" style="13"/>
    <col min="238" max="238" width="11.875" style="13" bestFit="1" customWidth="1"/>
    <col min="239" max="239" width="11.875" style="13" customWidth="1"/>
    <col min="240" max="243" width="9" style="13"/>
    <col min="244" max="244" width="25.125" style="13" bestFit="1" customWidth="1"/>
    <col min="245" max="246" width="9" style="13"/>
    <col min="247" max="247" width="17.125" style="13" bestFit="1" customWidth="1"/>
    <col min="248" max="249" width="9" style="13"/>
    <col min="250" max="250" width="17.625" style="13" bestFit="1" customWidth="1"/>
    <col min="251" max="252" width="9" style="13"/>
    <col min="253" max="253" width="38" style="13" bestFit="1" customWidth="1"/>
    <col min="254" max="254" width="54.75" style="13" bestFit="1" customWidth="1"/>
    <col min="255" max="256" width="9" style="13"/>
    <col min="257" max="257" width="19.375" style="13" bestFit="1" customWidth="1"/>
    <col min="258" max="258" width="12.875" style="13" customWidth="1"/>
    <col min="259" max="262" width="9" style="13"/>
    <col min="263" max="263" width="23.375" style="13" bestFit="1" customWidth="1"/>
    <col min="264" max="264" width="10.625" style="13" customWidth="1"/>
    <col min="265" max="268" width="9" style="13"/>
    <col min="269" max="269" width="36.75" style="13" bestFit="1" customWidth="1"/>
    <col min="270" max="270" width="15.625" style="13" customWidth="1"/>
    <col min="271" max="271" width="10.375" style="13" bestFit="1" customWidth="1"/>
    <col min="272" max="277" width="9" style="13"/>
    <col min="278" max="278" width="20.875" style="13" bestFit="1" customWidth="1"/>
    <col min="279" max="279" width="15.875" style="13" customWidth="1"/>
    <col min="280" max="282" width="9.75" style="13" customWidth="1"/>
    <col min="283" max="283" width="9" style="13"/>
    <col min="284" max="284" width="44.5" style="13" bestFit="1" customWidth="1"/>
    <col min="285" max="285" width="9.875" style="13" customWidth="1"/>
    <col min="286" max="289" width="9" style="13"/>
    <col min="290" max="290" width="15.875" style="13" bestFit="1" customWidth="1"/>
    <col min="291" max="291" width="15.875" style="13" customWidth="1"/>
    <col min="292" max="295" width="9" style="13"/>
    <col min="296" max="296" width="22.125" style="13" bestFit="1" customWidth="1"/>
    <col min="297" max="297" width="22.125" style="13" customWidth="1"/>
    <col min="298" max="301" width="9" style="13"/>
    <col min="302" max="302" width="24.875" style="13" bestFit="1" customWidth="1"/>
    <col min="303" max="303" width="24.875" style="13" customWidth="1"/>
    <col min="304" max="307" width="9" style="13"/>
    <col min="308" max="308" width="21.125" style="13" bestFit="1" customWidth="1"/>
    <col min="309" max="309" width="21.125" style="13" customWidth="1"/>
    <col min="310" max="313" width="9" style="13"/>
    <col min="314" max="314" width="12.25" style="13" bestFit="1" customWidth="1"/>
    <col min="315" max="315" width="12.25" style="13" customWidth="1"/>
    <col min="316" max="325" width="9" style="13"/>
    <col min="326" max="326" width="15.375" style="13" bestFit="1" customWidth="1"/>
    <col min="327" max="327" width="14.375" style="13" customWidth="1"/>
    <col min="328" max="331" width="9" style="13"/>
    <col min="332" max="332" width="14.625" style="13" bestFit="1" customWidth="1"/>
    <col min="333" max="333" width="14.625" style="13" customWidth="1"/>
    <col min="334" max="337" width="9" style="13"/>
    <col min="338" max="338" width="22.375" style="13" bestFit="1" customWidth="1"/>
    <col min="339" max="339" width="22.375" style="13" customWidth="1"/>
    <col min="340" max="343" width="9" style="13"/>
    <col min="344" max="344" width="16.375" style="13" bestFit="1" customWidth="1"/>
    <col min="345" max="346" width="9" style="13"/>
    <col min="347" max="347" width="10.625" style="13" bestFit="1" customWidth="1"/>
    <col min="348" max="348" width="10.625" style="13" customWidth="1"/>
    <col min="349" max="352" width="9" style="13"/>
    <col min="353" max="353" width="16" style="13" bestFit="1" customWidth="1"/>
    <col min="354" max="354" width="16" style="13" customWidth="1"/>
    <col min="355" max="357" width="9" style="13"/>
    <col min="358" max="358" width="14.375" style="13" bestFit="1" customWidth="1"/>
    <col min="359" max="362" width="9" style="13"/>
    <col min="363" max="363" width="23.25" style="13" bestFit="1" customWidth="1"/>
    <col min="364" max="367" width="9" style="13"/>
    <col min="368" max="368" width="19.625" style="13" bestFit="1" customWidth="1"/>
    <col min="369" max="369" width="19.625" style="13" customWidth="1"/>
    <col min="370" max="373" width="9" style="13"/>
    <col min="374" max="374" width="15.125" style="13" bestFit="1" customWidth="1"/>
    <col min="375" max="375" width="12.5" style="13" customWidth="1"/>
    <col min="376" max="379" width="9" style="13"/>
    <col min="380" max="380" width="13.25" style="13" bestFit="1" customWidth="1"/>
    <col min="381" max="381" width="13.25" style="13" customWidth="1"/>
    <col min="382" max="385" width="9" style="13"/>
    <col min="386" max="386" width="10" style="13" bestFit="1" customWidth="1"/>
    <col min="387" max="391" width="9" style="13"/>
    <col min="392" max="392" width="17" style="13" bestFit="1" customWidth="1"/>
    <col min="393" max="393" width="17" style="13" customWidth="1"/>
    <col min="394" max="397" width="9" style="13"/>
    <col min="398" max="398" width="13.625" style="13" bestFit="1" customWidth="1"/>
    <col min="399" max="399" width="13.625" style="13" customWidth="1"/>
    <col min="400" max="400" width="9" style="13"/>
    <col min="402" max="403" width="9" style="13"/>
    <col min="404" max="404" width="20.875" style="13" bestFit="1" customWidth="1"/>
    <col min="405" max="405" width="11.875" style="13" customWidth="1"/>
    <col min="406" max="409" width="9" style="13"/>
    <col min="410" max="410" width="12.625" style="13" bestFit="1" customWidth="1"/>
    <col min="411" max="415" width="9" style="13"/>
    <col min="416" max="416" width="20.625" style="13" bestFit="1" customWidth="1"/>
    <col min="417" max="417" width="18.625" style="13" customWidth="1"/>
    <col min="418" max="421" width="9" style="13"/>
    <col min="422" max="422" width="45.625" style="13" bestFit="1" customWidth="1"/>
    <col min="423" max="423" width="18.875" style="13" customWidth="1"/>
    <col min="424" max="427" width="9" style="13"/>
    <col min="428" max="428" width="30.75" style="13" bestFit="1" customWidth="1"/>
    <col min="429" max="433" width="9" style="13"/>
    <col min="434" max="434" width="15.375" style="13" bestFit="1" customWidth="1"/>
    <col min="435" max="436" width="9.5" style="13" customWidth="1"/>
    <col min="437" max="437" width="9" style="13"/>
    <col min="438" max="438" width="19.25" style="13" bestFit="1" customWidth="1"/>
    <col min="439" max="443" width="9" style="13"/>
    <col min="444" max="444" width="28.875" style="13" bestFit="1" customWidth="1"/>
    <col min="445" max="449" width="9" style="13"/>
    <col min="450" max="450" width="16.125" style="13" bestFit="1" customWidth="1"/>
    <col min="451" max="455" width="9" style="13"/>
    <col min="456" max="456" width="11.875" style="13" bestFit="1" customWidth="1"/>
    <col min="457" max="461" width="9" style="13"/>
    <col min="462" max="462" width="26.125" style="13" bestFit="1" customWidth="1"/>
    <col min="463" max="472" width="9" style="13"/>
    <col min="473" max="473" width="12.625" style="13" customWidth="1"/>
    <col min="474" max="474" width="21.375" style="13" bestFit="1" customWidth="1"/>
    <col min="475" max="475" width="9.75" style="13" bestFit="1" customWidth="1"/>
    <col min="476" max="476" width="9.875" style="13" bestFit="1" customWidth="1"/>
    <col min="477" max="477" width="15.375" style="13" bestFit="1" customWidth="1"/>
    <col min="478" max="478" width="10.875" style="13" bestFit="1" customWidth="1"/>
    <col min="479" max="479" width="14.875" style="13" bestFit="1" customWidth="1"/>
    <col min="480" max="480" width="9" style="13"/>
    <col min="481" max="481" width="15.625" style="13" bestFit="1" customWidth="1"/>
    <col min="482" max="489" width="9" style="13"/>
    <col min="490" max="490" width="18.375" style="13" bestFit="1" customWidth="1"/>
    <col min="491" max="491" width="30.625" style="13" bestFit="1" customWidth="1"/>
    <col min="492" max="16384" width="9" style="13"/>
  </cols>
  <sheetData>
    <row r="1" spans="1:494">
      <c r="A1" s="14"/>
      <c r="B1" s="14"/>
      <c r="C1" s="14"/>
      <c r="D1" s="14" t="s">
        <v>302</v>
      </c>
      <c r="E1" s="14"/>
      <c r="F1" s="14" t="s">
        <v>303</v>
      </c>
      <c r="G1" s="14"/>
      <c r="H1" s="14" t="s">
        <v>304</v>
      </c>
      <c r="I1" s="14"/>
      <c r="J1" s="14"/>
      <c r="K1" s="14"/>
      <c r="L1" s="14" t="s">
        <v>305</v>
      </c>
      <c r="M1" s="14"/>
      <c r="N1" s="14" t="s">
        <v>304</v>
      </c>
      <c r="O1" s="14"/>
      <c r="P1" s="14"/>
      <c r="Q1" s="14"/>
      <c r="R1" s="14" t="s">
        <v>306</v>
      </c>
      <c r="S1" s="14"/>
      <c r="T1" s="14" t="s">
        <v>304</v>
      </c>
      <c r="U1" s="14"/>
      <c r="V1" s="14"/>
      <c r="W1" s="14"/>
      <c r="X1" s="14" t="s">
        <v>307</v>
      </c>
      <c r="Y1" s="14"/>
      <c r="Z1" s="14" t="s">
        <v>304</v>
      </c>
      <c r="AA1" s="14"/>
      <c r="AB1" s="14"/>
      <c r="AC1" s="14"/>
      <c r="AD1" s="13" t="s">
        <v>308</v>
      </c>
      <c r="AE1" s="13" t="s">
        <v>309</v>
      </c>
      <c r="AJ1" s="13" t="s">
        <v>310</v>
      </c>
      <c r="AP1" s="13" t="s">
        <v>311</v>
      </c>
      <c r="AR1" s="13" t="s">
        <v>304</v>
      </c>
      <c r="AV1" s="13" t="s">
        <v>312</v>
      </c>
      <c r="AW1" s="13" t="s">
        <v>304</v>
      </c>
      <c r="AY1" s="13" t="s">
        <v>313</v>
      </c>
      <c r="BA1" s="13" t="s">
        <v>304</v>
      </c>
      <c r="BE1" s="13" t="s">
        <v>314</v>
      </c>
      <c r="BG1" s="13" t="s">
        <v>304</v>
      </c>
      <c r="BK1" s="13" t="s">
        <v>315</v>
      </c>
      <c r="BM1" s="13" t="s">
        <v>304</v>
      </c>
      <c r="BQ1" s="13" t="s">
        <v>316</v>
      </c>
      <c r="BS1" s="13" t="s">
        <v>304</v>
      </c>
      <c r="BW1" s="13" t="s">
        <v>317</v>
      </c>
      <c r="BX1" s="13" t="s">
        <v>304</v>
      </c>
      <c r="BZ1" s="13" t="s">
        <v>26</v>
      </c>
      <c r="CB1" s="13" t="s">
        <v>304</v>
      </c>
      <c r="CF1" s="13" t="s">
        <v>318</v>
      </c>
      <c r="CH1" s="13" t="s">
        <v>304</v>
      </c>
      <c r="CL1" s="13" t="s">
        <v>319</v>
      </c>
      <c r="CM1" s="13" t="s">
        <v>304</v>
      </c>
      <c r="CO1" s="13" t="s">
        <v>320</v>
      </c>
      <c r="CU1" s="13" t="s">
        <v>321</v>
      </c>
      <c r="CX1" s="13" t="s">
        <v>322</v>
      </c>
      <c r="DA1" s="13" t="s">
        <v>323</v>
      </c>
      <c r="DG1" s="13" t="s">
        <v>324</v>
      </c>
      <c r="DM1" s="13" t="s">
        <v>325</v>
      </c>
      <c r="DS1" s="13" t="s">
        <v>326</v>
      </c>
      <c r="DV1" s="13" t="s">
        <v>327</v>
      </c>
      <c r="EB1" s="13" t="s">
        <v>328</v>
      </c>
      <c r="EH1" s="13" t="s">
        <v>329</v>
      </c>
      <c r="EN1" s="13" t="s">
        <v>330</v>
      </c>
      <c r="ET1" s="13" t="s">
        <v>331</v>
      </c>
      <c r="EZ1" s="13" t="s">
        <v>332</v>
      </c>
      <c r="FF1" s="13" t="s">
        <v>333</v>
      </c>
      <c r="FL1" s="13" t="s">
        <v>334</v>
      </c>
      <c r="FR1" s="13" t="s">
        <v>335</v>
      </c>
      <c r="FX1" s="13" t="s">
        <v>336</v>
      </c>
      <c r="GA1" s="13" t="s">
        <v>337</v>
      </c>
      <c r="GG1" s="13" t="s">
        <v>338</v>
      </c>
      <c r="GN1" s="13" t="s">
        <v>339</v>
      </c>
      <c r="GQ1" s="13" t="s">
        <v>340</v>
      </c>
      <c r="GW1" s="13" t="s">
        <v>341</v>
      </c>
      <c r="HC1" s="13" t="s">
        <v>342</v>
      </c>
      <c r="HI1" s="13" t="s">
        <v>343</v>
      </c>
      <c r="HO1" s="13" t="s">
        <v>344</v>
      </c>
      <c r="HR1" s="13" t="s">
        <v>345</v>
      </c>
      <c r="HX1" s="13" t="s">
        <v>346</v>
      </c>
      <c r="IA1" s="13" t="s">
        <v>347</v>
      </c>
      <c r="ID1" s="13" t="s">
        <v>348</v>
      </c>
      <c r="IJ1" s="13" t="s">
        <v>349</v>
      </c>
      <c r="IM1" s="13" t="s">
        <v>350</v>
      </c>
      <c r="IP1" s="13" t="s">
        <v>351</v>
      </c>
      <c r="IS1" s="13" t="s">
        <v>352</v>
      </c>
      <c r="IW1" s="13" t="s">
        <v>353</v>
      </c>
      <c r="JC1" s="13" t="s">
        <v>354</v>
      </c>
      <c r="JI1" s="13" t="s">
        <v>355</v>
      </c>
      <c r="JO1" s="13" t="s">
        <v>356</v>
      </c>
      <c r="JR1" s="13" t="s">
        <v>357</v>
      </c>
      <c r="JX1" s="13" t="s">
        <v>358</v>
      </c>
      <c r="KD1" s="13" t="s">
        <v>359</v>
      </c>
      <c r="KJ1" s="13" t="s">
        <v>360</v>
      </c>
      <c r="KP1" s="13" t="s">
        <v>361</v>
      </c>
      <c r="KV1" s="13" t="s">
        <v>362</v>
      </c>
      <c r="LB1" s="13" t="s">
        <v>363</v>
      </c>
      <c r="LH1" s="13" t="s">
        <v>364</v>
      </c>
      <c r="LN1" s="13" t="s">
        <v>365</v>
      </c>
      <c r="LT1" s="13" t="s">
        <v>366</v>
      </c>
      <c r="LZ1" s="13" t="s">
        <v>367</v>
      </c>
      <c r="MF1" s="13" t="s">
        <v>368</v>
      </c>
      <c r="MI1" s="13" t="s">
        <v>369</v>
      </c>
      <c r="MO1" s="13" t="s">
        <v>370</v>
      </c>
      <c r="MT1" s="13" t="s">
        <v>371</v>
      </c>
      <c r="MY1" s="13" t="s">
        <v>372</v>
      </c>
      <c r="ND1" s="13" t="s">
        <v>373</v>
      </c>
      <c r="NJ1" s="13" t="s">
        <v>374</v>
      </c>
      <c r="NP1" s="13" t="s">
        <v>375</v>
      </c>
      <c r="NV1" s="13" t="s">
        <v>376</v>
      </c>
      <c r="OB1" s="13" t="s">
        <v>377</v>
      </c>
      <c r="OH1" s="13" t="s">
        <v>378</v>
      </c>
      <c r="ON1" s="13" t="s">
        <v>379</v>
      </c>
      <c r="OT1" s="13" t="s">
        <v>380</v>
      </c>
      <c r="OZ1" s="13" t="s">
        <v>381</v>
      </c>
      <c r="PF1" s="13" t="s">
        <v>382</v>
      </c>
      <c r="PL1" s="13" t="s">
        <v>383</v>
      </c>
      <c r="PR1" s="13" t="s">
        <v>384</v>
      </c>
      <c r="PV1" s="13" t="s">
        <v>385</v>
      </c>
      <c r="QB1" s="13" t="s">
        <v>386</v>
      </c>
      <c r="QH1" s="13" t="s">
        <v>387</v>
      </c>
      <c r="QN1" s="13" t="s">
        <v>388</v>
      </c>
      <c r="RA1" s="13" t="s">
        <v>389</v>
      </c>
      <c r="RD1" s="13" t="s">
        <v>390</v>
      </c>
      <c r="RF1" s="13" t="s">
        <v>391</v>
      </c>
      <c r="RG1" s="13" t="s">
        <v>392</v>
      </c>
      <c r="RM1" s="13" t="s">
        <v>393</v>
      </c>
      <c r="RO1" s="13" t="s">
        <v>394</v>
      </c>
      <c r="RQ1" s="13" t="s">
        <v>395</v>
      </c>
      <c r="RT1" s="13" t="s">
        <v>396</v>
      </c>
      <c r="RV1" s="13" t="s">
        <v>397</v>
      </c>
    </row>
    <row r="2" spans="1:494">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F2" s="13" t="s">
        <v>398</v>
      </c>
      <c r="AK2" s="13" t="s">
        <v>309</v>
      </c>
      <c r="AL2" s="13" t="s">
        <v>399</v>
      </c>
      <c r="AM2" s="13" t="s">
        <v>400</v>
      </c>
      <c r="AN2" s="13" t="s">
        <v>401</v>
      </c>
      <c r="AQ2" s="13" t="s">
        <v>309</v>
      </c>
      <c r="AR2" s="13" t="s">
        <v>399</v>
      </c>
      <c r="AS2" s="13" t="s">
        <v>400</v>
      </c>
      <c r="AT2" s="13" t="s">
        <v>401</v>
      </c>
      <c r="AZ2" s="13" t="s">
        <v>402</v>
      </c>
      <c r="BC2" s="88"/>
      <c r="BF2" s="13" t="s">
        <v>309</v>
      </c>
      <c r="BG2" s="13" t="s">
        <v>399</v>
      </c>
      <c r="BH2" s="13" t="s">
        <v>400</v>
      </c>
      <c r="BI2" s="13" t="s">
        <v>401</v>
      </c>
      <c r="BL2" s="13" t="s">
        <v>309</v>
      </c>
      <c r="BM2" s="13" t="s">
        <v>399</v>
      </c>
      <c r="BN2" s="13" t="s">
        <v>400</v>
      </c>
      <c r="BO2" s="13" t="s">
        <v>401</v>
      </c>
      <c r="CA2" s="13" t="s">
        <v>309</v>
      </c>
      <c r="CB2" s="13" t="s">
        <v>399</v>
      </c>
      <c r="CC2" s="13" t="s">
        <v>400</v>
      </c>
      <c r="CD2" s="13" t="s">
        <v>401</v>
      </c>
      <c r="CG2" s="13" t="s">
        <v>309</v>
      </c>
      <c r="CH2" s="13" t="s">
        <v>399</v>
      </c>
      <c r="CI2" s="13" t="s">
        <v>400</v>
      </c>
      <c r="CJ2" s="13" t="s">
        <v>401</v>
      </c>
      <c r="EU2" s="13" t="s">
        <v>309</v>
      </c>
      <c r="EV2" s="13" t="s">
        <v>399</v>
      </c>
      <c r="EW2" s="13" t="s">
        <v>403</v>
      </c>
      <c r="EX2" s="13" t="s">
        <v>401</v>
      </c>
      <c r="MG2" s="13">
        <v>0</v>
      </c>
    </row>
    <row r="3" spans="1:494" ht="14.25">
      <c r="A3" s="14"/>
      <c r="B3" s="14"/>
      <c r="C3" s="14"/>
      <c r="D3" s="14" t="s">
        <v>404</v>
      </c>
      <c r="E3" s="14"/>
      <c r="F3" s="14" t="s">
        <v>405</v>
      </c>
      <c r="G3" s="14"/>
      <c r="H3" s="99">
        <v>5999</v>
      </c>
      <c r="I3" s="20">
        <f>H3-G3</f>
        <v>5999</v>
      </c>
      <c r="J3" s="88">
        <f>(H3-G3)/H3</f>
        <v>1</v>
      </c>
      <c r="K3" s="14"/>
      <c r="L3" s="14" t="s">
        <v>405</v>
      </c>
      <c r="M3" s="14"/>
      <c r="N3" s="99">
        <v>8499</v>
      </c>
      <c r="O3" s="20">
        <f>N3-M3</f>
        <v>8499</v>
      </c>
      <c r="P3" s="88">
        <f>(N3-M3)/N3</f>
        <v>1</v>
      </c>
      <c r="Q3" s="15"/>
      <c r="R3" s="14" t="s">
        <v>405</v>
      </c>
      <c r="S3" s="14"/>
      <c r="T3" s="99">
        <v>9699</v>
      </c>
      <c r="U3" s="20">
        <f>T3-S3</f>
        <v>9699</v>
      </c>
      <c r="V3" s="88">
        <f>(T3-S3)/T3</f>
        <v>1</v>
      </c>
      <c r="W3" s="15"/>
      <c r="X3" s="15" t="s">
        <v>405</v>
      </c>
      <c r="Y3" s="15"/>
      <c r="Z3" s="114">
        <v>13999</v>
      </c>
      <c r="AA3" s="20">
        <f>Z3-Y3</f>
        <v>13999</v>
      </c>
      <c r="AB3" s="88">
        <f>(Z3-Y3)/Z3</f>
        <v>1</v>
      </c>
      <c r="AC3" s="15"/>
      <c r="AD3" s="13" t="s">
        <v>406</v>
      </c>
      <c r="AE3" s="13">
        <v>216.84</v>
      </c>
      <c r="AF3" s="89">
        <v>216.84</v>
      </c>
      <c r="AG3" s="20">
        <f>AF3-AE3</f>
        <v>0</v>
      </c>
      <c r="AH3" s="88">
        <f>(AF3-AE3)/AF3</f>
        <v>0</v>
      </c>
      <c r="AJ3" s="13" t="s">
        <v>215</v>
      </c>
      <c r="AK3" s="13">
        <v>0</v>
      </c>
      <c r="AL3" s="90">
        <v>100</v>
      </c>
      <c r="AM3" s="20">
        <f>AL3-AK3</f>
        <v>100</v>
      </c>
      <c r="AN3" s="88">
        <f>(AL3-AK3)/AL3</f>
        <v>1</v>
      </c>
      <c r="AP3" s="13" t="s">
        <v>407</v>
      </c>
      <c r="AQ3" s="13">
        <v>18.559999999999999</v>
      </c>
      <c r="AR3" s="90">
        <v>90</v>
      </c>
      <c r="AS3" s="20">
        <f>AR3-AQ3</f>
        <v>71.44</v>
      </c>
      <c r="AT3" s="88">
        <f>(AR3-AQ3)/AR3</f>
        <v>0.7937777777777778</v>
      </c>
      <c r="AV3" s="13" t="s">
        <v>215</v>
      </c>
      <c r="AW3" s="13" t="s">
        <v>408</v>
      </c>
      <c r="AY3" s="13" t="s">
        <v>409</v>
      </c>
      <c r="AZ3" s="13">
        <f>BB7</f>
        <v>74.789999999999992</v>
      </c>
      <c r="BA3" s="90">
        <v>225</v>
      </c>
      <c r="BB3" s="20">
        <f>BA3-AZ3</f>
        <v>150.21</v>
      </c>
      <c r="BC3" s="88">
        <f>(BA3-AZ3)/BA3</f>
        <v>0.66760000000000008</v>
      </c>
      <c r="BE3" s="13" t="s">
        <v>410</v>
      </c>
      <c r="BF3" s="13">
        <v>192.53</v>
      </c>
      <c r="BG3" s="90">
        <v>325</v>
      </c>
      <c r="BH3" s="20">
        <f>BG3-BF3</f>
        <v>132.47</v>
      </c>
      <c r="BI3" s="88">
        <f>(BG3-BF3)/BG3</f>
        <v>0.40760000000000002</v>
      </c>
      <c r="BK3" s="13" t="s">
        <v>411</v>
      </c>
      <c r="BL3" s="13">
        <v>192.53</v>
      </c>
      <c r="BM3" s="13" t="s">
        <v>9</v>
      </c>
      <c r="BN3" s="20" t="e">
        <f>BM3-BL3</f>
        <v>#VALUE!</v>
      </c>
      <c r="BO3" s="88" t="e">
        <f>(BM3-BL3)/BM3</f>
        <v>#VALUE!</v>
      </c>
      <c r="BQ3" s="13" t="s">
        <v>412</v>
      </c>
      <c r="BR3" s="13">
        <v>192.53</v>
      </c>
      <c r="BS3" s="13">
        <v>325</v>
      </c>
      <c r="BT3" s="20">
        <f>BS3-BR3</f>
        <v>132.47</v>
      </c>
      <c r="BU3" s="88">
        <f>(BS3-BR3)/BS3</f>
        <v>0.40760000000000002</v>
      </c>
      <c r="BW3" s="13" t="s">
        <v>215</v>
      </c>
      <c r="BX3" s="90">
        <v>0</v>
      </c>
      <c r="BZ3" s="13" t="s">
        <v>413</v>
      </c>
      <c r="CA3" s="13">
        <v>8.74</v>
      </c>
      <c r="CB3" s="90">
        <v>60</v>
      </c>
      <c r="CC3" s="20">
        <f>CB3-CA3</f>
        <v>51.26</v>
      </c>
      <c r="CD3" s="88">
        <f>(CB3-CA3)/CB3</f>
        <v>0.85433333333333328</v>
      </c>
      <c r="CF3" s="13" t="s">
        <v>34</v>
      </c>
      <c r="CH3" s="13" t="s">
        <v>9</v>
      </c>
      <c r="CL3" s="13" t="s">
        <v>34</v>
      </c>
      <c r="CM3" s="18" t="s">
        <v>9</v>
      </c>
      <c r="CO3" s="13" t="s">
        <v>37</v>
      </c>
      <c r="CQ3" s="13" t="s">
        <v>9</v>
      </c>
      <c r="CU3" s="13" t="s">
        <v>414</v>
      </c>
      <c r="CV3" s="19">
        <f>CQ4</f>
        <v>75</v>
      </c>
      <c r="CW3" s="20"/>
      <c r="CX3" s="19" t="s">
        <v>415</v>
      </c>
      <c r="CY3" s="20">
        <v>150</v>
      </c>
      <c r="DA3" s="13" t="s">
        <v>416</v>
      </c>
      <c r="DB3" s="13">
        <f>DD12</f>
        <v>121.82</v>
      </c>
      <c r="DC3" s="90">
        <v>325</v>
      </c>
      <c r="DD3" s="20">
        <f>DC3-DB3</f>
        <v>203.18</v>
      </c>
      <c r="DE3" s="88">
        <f>(DC3-DB3)/DC3</f>
        <v>0.62516923076923081</v>
      </c>
      <c r="DG3" s="13" t="s">
        <v>417</v>
      </c>
      <c r="DH3" s="13">
        <f>DJ11</f>
        <v>253.48000000000002</v>
      </c>
      <c r="DI3" s="90">
        <v>325</v>
      </c>
      <c r="DJ3" s="20">
        <f>DI3-DH3</f>
        <v>71.519999999999982</v>
      </c>
      <c r="DK3" s="88">
        <f>(DI3-DH3)/DI3</f>
        <v>0.22006153846153839</v>
      </c>
      <c r="DM3" s="13" t="s">
        <v>418</v>
      </c>
      <c r="DN3" s="13">
        <f>DN5/2</f>
        <v>27.222999999999999</v>
      </c>
      <c r="DO3" s="90">
        <v>100</v>
      </c>
      <c r="DP3" s="20">
        <f>DO3-DN3</f>
        <v>72.777000000000001</v>
      </c>
      <c r="DQ3" s="88">
        <f>(DO3-DN3)/DO3</f>
        <v>0.72777000000000003</v>
      </c>
      <c r="DR3" s="88"/>
      <c r="DS3" s="13" t="s">
        <v>418</v>
      </c>
      <c r="DT3" s="23">
        <v>100</v>
      </c>
      <c r="DU3" s="16"/>
      <c r="DV3" s="13" t="s">
        <v>419</v>
      </c>
      <c r="DW3" s="93">
        <f>DY12</f>
        <v>48.4392</v>
      </c>
      <c r="DX3" s="90">
        <v>150</v>
      </c>
      <c r="DY3" s="20">
        <f>DX3-DW3</f>
        <v>101.5608</v>
      </c>
      <c r="DZ3" s="88">
        <f>(DX3-DW3)/DX3</f>
        <v>0.67707200000000001</v>
      </c>
      <c r="EB3" s="13" t="s">
        <v>420</v>
      </c>
      <c r="EC3" s="95">
        <f>ED18</f>
        <v>122.82538571428572</v>
      </c>
      <c r="ED3" s="90">
        <v>175</v>
      </c>
      <c r="EE3" s="20">
        <f>ED3-EC3</f>
        <v>52.174614285714284</v>
      </c>
      <c r="EF3" s="88">
        <f>(ED3-EC3)/ED3</f>
        <v>0.2981406530612245</v>
      </c>
      <c r="EH3" s="13" t="s">
        <v>421</v>
      </c>
      <c r="EI3" s="13">
        <f>EK10</f>
        <v>38.46</v>
      </c>
      <c r="EJ3" s="90">
        <v>125</v>
      </c>
      <c r="EK3" s="20">
        <f>EJ3-EI3</f>
        <v>86.539999999999992</v>
      </c>
      <c r="EL3" s="88">
        <f>(EJ3-EI3)/EJ3</f>
        <v>0.69231999999999994</v>
      </c>
      <c r="EN3" s="13" t="s">
        <v>422</v>
      </c>
      <c r="EP3" s="90">
        <v>125</v>
      </c>
      <c r="EQ3" s="20">
        <f>EP3-EO3</f>
        <v>125</v>
      </c>
      <c r="ER3" s="88">
        <f>(EP3-EO3)/EP3</f>
        <v>1</v>
      </c>
      <c r="ES3" s="16"/>
      <c r="ET3" s="16" t="s">
        <v>423</v>
      </c>
      <c r="EU3" s="100">
        <f>EW11</f>
        <v>224.96</v>
      </c>
      <c r="EV3" s="90">
        <v>450</v>
      </c>
      <c r="EW3" s="20">
        <f>EV3-EU3</f>
        <v>225.04</v>
      </c>
      <c r="EX3" s="88">
        <f>(EV3-EU3)/EV3</f>
        <v>0.50008888888888892</v>
      </c>
      <c r="EZ3" s="13" t="s">
        <v>424</v>
      </c>
      <c r="FA3" s="13">
        <f>FB23</f>
        <v>0</v>
      </c>
      <c r="FB3" s="23">
        <v>300</v>
      </c>
      <c r="FC3" s="20">
        <f>FB3-FA3</f>
        <v>300</v>
      </c>
      <c r="FD3" s="88">
        <f>(FB3-FA3)/FB3</f>
        <v>1</v>
      </c>
      <c r="FF3" s="13" t="s">
        <v>424</v>
      </c>
      <c r="FG3" s="13">
        <f>FH23</f>
        <v>130.4</v>
      </c>
      <c r="FH3" s="90">
        <v>300</v>
      </c>
      <c r="FI3" s="20">
        <f>FH3-FG3</f>
        <v>169.6</v>
      </c>
      <c r="FJ3" s="88">
        <f>(FH3-FG3)/FH3</f>
        <v>0.56533333333333335</v>
      </c>
      <c r="FL3" s="13" t="s">
        <v>425</v>
      </c>
      <c r="FM3" s="13">
        <v>361.77</v>
      </c>
      <c r="FN3" s="89">
        <v>629</v>
      </c>
      <c r="FO3" s="13">
        <f>FN3-FM3</f>
        <v>267.23</v>
      </c>
      <c r="FP3" s="88">
        <f>(FN3-FM3)/FN3</f>
        <v>0.42484896661367255</v>
      </c>
      <c r="FR3" s="13" t="s">
        <v>426</v>
      </c>
      <c r="FS3" s="13">
        <v>649.35</v>
      </c>
      <c r="FT3" s="89">
        <v>999</v>
      </c>
      <c r="FU3" s="20">
        <f>FT3-FS3</f>
        <v>349.65</v>
      </c>
      <c r="FV3" s="88">
        <f>(FT3-FS3)/FT3</f>
        <v>0.35</v>
      </c>
      <c r="FX3" s="13" t="s">
        <v>427</v>
      </c>
      <c r="FY3" s="19">
        <f>FT4</f>
        <v>300</v>
      </c>
      <c r="GA3" s="13" t="s">
        <v>428</v>
      </c>
      <c r="GB3" s="13">
        <v>370</v>
      </c>
      <c r="GC3" s="89">
        <v>549</v>
      </c>
      <c r="GD3" s="20">
        <f>GC3-GB3</f>
        <v>179</v>
      </c>
      <c r="GE3" s="88">
        <f>(GC3-GB3)/GC3</f>
        <v>0.32604735883424407</v>
      </c>
      <c r="GG3" s="13" t="s">
        <v>429</v>
      </c>
      <c r="GH3" s="95">
        <f t="shared" ref="GH3:GH4" si="0">GI3*0.65</f>
        <v>1234.3500000000001</v>
      </c>
      <c r="GI3" s="89">
        <v>1899</v>
      </c>
      <c r="GJ3" s="20">
        <f>GI3-GH3</f>
        <v>664.64999999999986</v>
      </c>
      <c r="GK3" s="88">
        <f>(GI3-GH3)/GI3</f>
        <v>0.34999999999999992</v>
      </c>
      <c r="GQ3" s="13" t="s">
        <v>430</v>
      </c>
      <c r="GR3" s="13">
        <v>122.3</v>
      </c>
      <c r="GS3" s="90">
        <v>225</v>
      </c>
      <c r="GT3" s="20">
        <f>GS3-GR3</f>
        <v>102.7</v>
      </c>
      <c r="GU3" s="88">
        <f>(GS3-GR3)/GS3</f>
        <v>0.45644444444444443</v>
      </c>
      <c r="GW3" s="13" t="s">
        <v>430</v>
      </c>
      <c r="GX3" s="13">
        <v>200.5</v>
      </c>
      <c r="GY3" s="90">
        <v>375</v>
      </c>
      <c r="GZ3" s="20">
        <f>GY3-GX3</f>
        <v>174.5</v>
      </c>
      <c r="HA3" s="88">
        <f>(GY3-GX3)/GY3</f>
        <v>0.46533333333333332</v>
      </c>
      <c r="HC3" s="13" t="s">
        <v>430</v>
      </c>
      <c r="HD3" s="13">
        <f>165+108.6</f>
        <v>273.60000000000002</v>
      </c>
      <c r="HE3" s="90">
        <v>475</v>
      </c>
      <c r="HF3" s="20">
        <f>HE3-HD3</f>
        <v>201.39999999999998</v>
      </c>
      <c r="HG3" s="88">
        <f>(HE3-HD3)/HE3</f>
        <v>0.42399999999999993</v>
      </c>
      <c r="HI3" s="13" t="s">
        <v>430</v>
      </c>
      <c r="HJ3" s="13">
        <f>197.09+148</f>
        <v>345.09000000000003</v>
      </c>
      <c r="HK3" s="90">
        <v>575</v>
      </c>
      <c r="HL3" s="20">
        <f>HK3-HJ3</f>
        <v>229.90999999999997</v>
      </c>
      <c r="HM3" s="88">
        <f>(HK3-HJ3)/HK3</f>
        <v>0.39984347826086952</v>
      </c>
      <c r="HO3" s="13" t="s">
        <v>431</v>
      </c>
      <c r="HP3" s="17" t="s">
        <v>9</v>
      </c>
      <c r="HR3" s="13" t="s">
        <v>432</v>
      </c>
      <c r="HT3" s="13" t="s">
        <v>433</v>
      </c>
      <c r="HU3" s="20"/>
      <c r="HV3" s="88"/>
      <c r="HX3" s="13" t="s">
        <v>434</v>
      </c>
      <c r="HY3" s="17" t="s">
        <v>9</v>
      </c>
      <c r="IA3" s="13" t="s">
        <v>435</v>
      </c>
      <c r="IB3" s="17" t="s">
        <v>9</v>
      </c>
      <c r="ID3" s="13" t="s">
        <v>435</v>
      </c>
      <c r="IF3" s="13">
        <v>1</v>
      </c>
      <c r="IJ3" s="13" t="s">
        <v>436</v>
      </c>
      <c r="IK3" s="17" t="s">
        <v>9</v>
      </c>
      <c r="IM3" s="13" t="s">
        <v>437</v>
      </c>
      <c r="IN3" s="17" t="s">
        <v>9</v>
      </c>
      <c r="IP3" s="13" t="s">
        <v>438</v>
      </c>
      <c r="IQ3" s="17" t="s">
        <v>9</v>
      </c>
      <c r="IS3" s="13" t="s">
        <v>439</v>
      </c>
      <c r="IU3" s="17" t="s">
        <v>9</v>
      </c>
      <c r="IW3" s="13" t="s">
        <v>353</v>
      </c>
      <c r="IX3" s="13">
        <f>IY12+IX8</f>
        <v>293.42</v>
      </c>
      <c r="IY3" s="90">
        <v>499</v>
      </c>
      <c r="IZ3" s="20">
        <f>IY3-IX3</f>
        <v>205.57999999999998</v>
      </c>
      <c r="JA3" s="88">
        <f>(IY3-IX3)/IY3</f>
        <v>0.41198396793587172</v>
      </c>
      <c r="JC3" s="13" t="s">
        <v>354</v>
      </c>
      <c r="JD3" s="13">
        <v>293</v>
      </c>
      <c r="JE3" s="90">
        <v>499</v>
      </c>
      <c r="JF3" s="20">
        <f>JE3-JD3</f>
        <v>206</v>
      </c>
      <c r="JG3" s="88">
        <f>(JE3-JD3)/JE3</f>
        <v>0.41282565130260523</v>
      </c>
      <c r="JH3" s="16"/>
      <c r="JI3" s="16" t="s">
        <v>440</v>
      </c>
      <c r="JJ3" s="16"/>
      <c r="JK3" s="22" t="s">
        <v>9</v>
      </c>
      <c r="JL3" s="16"/>
      <c r="JM3" s="16"/>
      <c r="JN3" s="16"/>
      <c r="JO3" s="16" t="s">
        <v>152</v>
      </c>
      <c r="JP3" s="22" t="s">
        <v>152</v>
      </c>
      <c r="JR3" s="13" t="s">
        <v>441</v>
      </c>
      <c r="JS3" s="13">
        <v>69.989999999999995</v>
      </c>
      <c r="JT3" s="90">
        <v>250</v>
      </c>
      <c r="JU3" s="20">
        <f>JT3-JS3</f>
        <v>180.01</v>
      </c>
      <c r="JV3" s="88">
        <f>(JT3-JS3)/JT3</f>
        <v>0.72004000000000001</v>
      </c>
      <c r="JX3" s="13" t="s">
        <v>442</v>
      </c>
      <c r="JZ3" s="17" t="s">
        <v>152</v>
      </c>
      <c r="KD3" s="13" t="s">
        <v>443</v>
      </c>
      <c r="KE3" s="13">
        <v>65.03</v>
      </c>
      <c r="KF3" s="89">
        <v>150</v>
      </c>
      <c r="KG3" s="20">
        <f>KF3-KE3</f>
        <v>84.97</v>
      </c>
      <c r="KH3" s="88">
        <f>(KF3-KE3)/KF3</f>
        <v>0.56646666666666667</v>
      </c>
      <c r="KJ3" s="13" t="s">
        <v>444</v>
      </c>
      <c r="KL3" s="22">
        <v>55</v>
      </c>
      <c r="KM3" s="20">
        <f>KL3-KK3</f>
        <v>55</v>
      </c>
      <c r="KN3" s="88">
        <f>(KL3-KK3)/KL3</f>
        <v>1</v>
      </c>
      <c r="KP3" s="13" t="s">
        <v>445</v>
      </c>
      <c r="KR3" s="23">
        <f>KL3*2</f>
        <v>110</v>
      </c>
      <c r="KS3" s="16"/>
      <c r="KT3" s="16"/>
      <c r="KV3" s="13" t="s">
        <v>446</v>
      </c>
      <c r="KX3" s="21">
        <v>65</v>
      </c>
      <c r="KY3" s="20"/>
      <c r="KZ3" s="20"/>
      <c r="LB3" s="13" t="s">
        <v>447</v>
      </c>
      <c r="LD3" s="17" t="s">
        <v>9</v>
      </c>
      <c r="LE3" s="20" t="s">
        <v>398</v>
      </c>
      <c r="LF3" s="88" t="s">
        <v>398</v>
      </c>
      <c r="LH3" s="13" t="s">
        <v>364</v>
      </c>
      <c r="LI3" s="13">
        <f>LJ9</f>
        <v>17.64</v>
      </c>
      <c r="LJ3" s="90">
        <v>150</v>
      </c>
      <c r="LK3" s="20">
        <f>LJ3-LI3</f>
        <v>132.36000000000001</v>
      </c>
      <c r="LL3" s="88">
        <f>(LJ3-LI3)/LJ3</f>
        <v>0.88240000000000007</v>
      </c>
      <c r="LN3" s="13" t="s">
        <v>448</v>
      </c>
      <c r="LO3" s="13">
        <v>51</v>
      </c>
      <c r="LP3" s="89">
        <v>250</v>
      </c>
      <c r="LQ3" s="20">
        <f>LP3-LO3</f>
        <v>199</v>
      </c>
      <c r="LR3" s="88">
        <f>(LP3-LO3)/LP3</f>
        <v>0.79600000000000004</v>
      </c>
      <c r="LT3" s="13" t="s">
        <v>449</v>
      </c>
      <c r="LU3" s="13">
        <f>LU16</f>
        <v>1104.78</v>
      </c>
      <c r="LV3" s="89">
        <v>1850</v>
      </c>
      <c r="LW3" s="20">
        <f>LV3-LU3</f>
        <v>745.22</v>
      </c>
      <c r="LX3" s="88">
        <f>(LV3-LU3)/LV3</f>
        <v>0.40282162162162166</v>
      </c>
      <c r="LZ3" s="13" t="s">
        <v>450</v>
      </c>
      <c r="MB3" s="17" t="s">
        <v>451</v>
      </c>
      <c r="MF3" s="13" t="s">
        <v>86</v>
      </c>
      <c r="MG3" s="17" t="s">
        <v>9</v>
      </c>
      <c r="MI3" s="13" t="s">
        <v>440</v>
      </c>
      <c r="MK3" s="17"/>
      <c r="MO3" s="13" t="s">
        <v>452</v>
      </c>
      <c r="MP3" s="13">
        <v>220</v>
      </c>
      <c r="MQ3" s="89">
        <v>299</v>
      </c>
      <c r="MR3" s="88">
        <f>(MQ3-MP3)/MQ3</f>
        <v>0.26421404682274247</v>
      </c>
      <c r="MS3" s="88"/>
      <c r="MT3" s="13" t="s">
        <v>453</v>
      </c>
      <c r="MU3" s="116">
        <v>50</v>
      </c>
      <c r="MV3" s="89">
        <v>125</v>
      </c>
      <c r="MW3" s="88">
        <f>(MV3-MU3)/MV3</f>
        <v>0.6</v>
      </c>
      <c r="MY3" s="13" t="s">
        <v>454</v>
      </c>
      <c r="MZ3" s="13">
        <v>55</v>
      </c>
      <c r="NA3" s="97">
        <v>200</v>
      </c>
      <c r="NB3" s="88">
        <f>(NA3-MZ3)/NA3</f>
        <v>0.72499999999999998</v>
      </c>
      <c r="ND3" s="13" t="s">
        <v>455</v>
      </c>
      <c r="NE3" s="13">
        <f>SUM(NE5:NE7)</f>
        <v>27.864000000000004</v>
      </c>
      <c r="NF3" s="90">
        <v>125</v>
      </c>
      <c r="NG3" s="20">
        <f>NF3-NE3</f>
        <v>97.135999999999996</v>
      </c>
      <c r="NH3" s="88">
        <f>(NF3-NE3)/NF3</f>
        <v>0.777088</v>
      </c>
      <c r="NJ3" s="13" t="s">
        <v>456</v>
      </c>
      <c r="NK3" s="13">
        <v>18.989999999999998</v>
      </c>
      <c r="NL3" s="90">
        <v>150</v>
      </c>
      <c r="NM3" s="20">
        <f>NL3-NK3</f>
        <v>131.01</v>
      </c>
      <c r="NN3" s="88">
        <f>(NL3-NK3)/NL3</f>
        <v>0.87339999999999995</v>
      </c>
      <c r="NP3" s="13" t="s">
        <v>457</v>
      </c>
      <c r="NQ3" s="13">
        <f>SUM(NQ6:NQ7)</f>
        <v>53.484999999999999</v>
      </c>
      <c r="NR3" s="90">
        <v>125</v>
      </c>
      <c r="NS3" s="20">
        <f>NR3-NQ3</f>
        <v>71.515000000000001</v>
      </c>
      <c r="NT3" s="88">
        <f>(NR3-NQ3)/NR3</f>
        <v>0.57211999999999996</v>
      </c>
      <c r="NV3" s="13" t="s">
        <v>458</v>
      </c>
      <c r="NW3" s="13" t="s">
        <v>398</v>
      </c>
      <c r="NX3" s="13" t="s">
        <v>9</v>
      </c>
      <c r="OB3" s="13" t="s">
        <v>459</v>
      </c>
      <c r="OC3" s="13">
        <f>26.35*2</f>
        <v>52.7</v>
      </c>
      <c r="OD3" s="90">
        <v>150</v>
      </c>
      <c r="OE3" s="20">
        <f>OD3-OC3</f>
        <v>97.3</v>
      </c>
      <c r="OF3" s="88">
        <f>(OD3-OC3)/OD3</f>
        <v>0.64866666666666661</v>
      </c>
      <c r="OH3" s="13" t="s">
        <v>460</v>
      </c>
      <c r="OI3" s="13">
        <f>OI8</f>
        <v>15.58</v>
      </c>
      <c r="OJ3" s="90">
        <v>75</v>
      </c>
      <c r="OK3" s="20">
        <f>OJ3-OI3</f>
        <v>59.42</v>
      </c>
      <c r="OL3" s="88">
        <f>(OJ3-OI3)/OJ3</f>
        <v>0.79226666666666667</v>
      </c>
      <c r="ON3" s="13" t="s">
        <v>461</v>
      </c>
      <c r="OO3" s="13">
        <v>175</v>
      </c>
      <c r="OP3" s="117">
        <v>249</v>
      </c>
      <c r="OQ3" s="20">
        <f t="shared" ref="OQ3" si="1">OP3-OO3</f>
        <v>74</v>
      </c>
      <c r="OR3" s="88">
        <f t="shared" ref="OR3" si="2">(OP3-OO3)/OP3</f>
        <v>0.2971887550200803</v>
      </c>
      <c r="OT3" s="13" t="s">
        <v>462</v>
      </c>
      <c r="OU3" s="13">
        <v>9</v>
      </c>
      <c r="OV3" s="97">
        <v>15</v>
      </c>
      <c r="OW3" s="20">
        <f t="shared" ref="OW3" si="3">OV3-OU3</f>
        <v>6</v>
      </c>
      <c r="OX3" s="88">
        <f t="shared" ref="OX3" si="4">(OV3-OU3)/OV3</f>
        <v>0.4</v>
      </c>
      <c r="OY3" s="88"/>
      <c r="OZ3" s="13" t="s">
        <v>463</v>
      </c>
      <c r="PA3" s="13">
        <f>PA13+PA12+PA11</f>
        <v>395.68</v>
      </c>
      <c r="PB3" s="90">
        <v>800</v>
      </c>
      <c r="PC3" s="20">
        <f t="shared" ref="PC3" si="5">PB3-PA3</f>
        <v>404.32</v>
      </c>
      <c r="PD3" s="88">
        <f t="shared" ref="PD3" si="6">(PB3-PA3)/PB3</f>
        <v>0.50539999999999996</v>
      </c>
      <c r="PF3" s="13" t="s">
        <v>464</v>
      </c>
      <c r="PG3" s="13">
        <v>213.85</v>
      </c>
      <c r="PH3" s="97">
        <v>329</v>
      </c>
      <c r="PI3" s="20">
        <f t="shared" ref="PI3" si="7">PH3-PG3</f>
        <v>115.15</v>
      </c>
      <c r="PJ3" s="88">
        <f t="shared" ref="PJ3" si="8">(PH3-PG3)/PH3</f>
        <v>0.35000000000000003</v>
      </c>
      <c r="PL3" s="13" t="s">
        <v>465</v>
      </c>
      <c r="PM3" s="13">
        <f>PN3*0.6</f>
        <v>659.4</v>
      </c>
      <c r="PN3" s="97">
        <v>1099</v>
      </c>
      <c r="PO3" s="20">
        <f t="shared" ref="PO3" si="9">PN3-PM3</f>
        <v>439.6</v>
      </c>
      <c r="PP3" s="88">
        <f t="shared" ref="PP3" si="10">(PN3-PM3)/PN3</f>
        <v>0.4</v>
      </c>
      <c r="PR3" s="13" t="s">
        <v>149</v>
      </c>
      <c r="PT3" s="97" t="s">
        <v>451</v>
      </c>
      <c r="PV3" s="13" t="s">
        <v>466</v>
      </c>
      <c r="PW3" s="13">
        <v>255</v>
      </c>
      <c r="PX3" s="97">
        <v>349</v>
      </c>
      <c r="PY3" s="20">
        <f t="shared" ref="PY3" si="11">PX3-PW3</f>
        <v>94</v>
      </c>
      <c r="PZ3" s="88">
        <f t="shared" ref="PZ3" si="12">(PX3-PW3)/PX3</f>
        <v>0.2693409742120344</v>
      </c>
      <c r="QB3" s="13" t="s">
        <v>467</v>
      </c>
      <c r="QC3" s="13">
        <f>SUM(QC6:QC8)</f>
        <v>68.95</v>
      </c>
      <c r="QD3" s="97">
        <v>200</v>
      </c>
      <c r="QE3" s="20">
        <f t="shared" ref="QE3" si="13">QD3-QC3</f>
        <v>131.05000000000001</v>
      </c>
      <c r="QF3" s="88">
        <f t="shared" ref="QF3" si="14">(QD3-QC3)/QD3</f>
        <v>0.65525000000000011</v>
      </c>
      <c r="QH3" s="13" t="s">
        <v>468</v>
      </c>
      <c r="QI3" s="13">
        <v>4</v>
      </c>
      <c r="QJ3" s="97">
        <v>25</v>
      </c>
      <c r="QK3" s="20">
        <f t="shared" ref="QK3" si="15">QJ3-QI3</f>
        <v>21</v>
      </c>
      <c r="QL3" s="88">
        <f t="shared" ref="QL3" si="16">(QJ3-QI3)/QJ3</f>
        <v>0.84</v>
      </c>
      <c r="QN3" s="13" t="s">
        <v>405</v>
      </c>
      <c r="QO3" s="13">
        <v>226.85</v>
      </c>
      <c r="QP3" s="97">
        <v>399</v>
      </c>
      <c r="QQ3" s="20">
        <f t="shared" ref="QQ3" si="17">QP3-QO3</f>
        <v>172.15</v>
      </c>
      <c r="QR3" s="88">
        <f t="shared" ref="QR3" si="18">(QP3-QO3)/QP3</f>
        <v>0.43145363408521303</v>
      </c>
      <c r="QT3" s="13" t="s">
        <v>126</v>
      </c>
      <c r="QU3" s="13">
        <v>193.55</v>
      </c>
      <c r="QV3" s="97">
        <v>275</v>
      </c>
      <c r="QW3" s="20">
        <f t="shared" ref="QW3:QW7" si="19">QV3-QU3</f>
        <v>81.449999999999989</v>
      </c>
      <c r="QX3" s="88">
        <f t="shared" ref="QX3:QX7" si="20">(QV3-QU3)/QV3</f>
        <v>0.29618181818181816</v>
      </c>
      <c r="RA3" s="13" t="s">
        <v>469</v>
      </c>
      <c r="RD3" s="13" t="s">
        <v>470</v>
      </c>
      <c r="RG3" s="13" t="s">
        <v>471</v>
      </c>
      <c r="RH3" s="13" t="s">
        <v>472</v>
      </c>
      <c r="RI3" s="13" t="s">
        <v>473</v>
      </c>
      <c r="RJ3" s="13" t="s">
        <v>474</v>
      </c>
      <c r="RK3" s="13" t="s">
        <v>475</v>
      </c>
      <c r="RM3" s="13" t="s">
        <v>476</v>
      </c>
      <c r="RO3" s="13" t="s">
        <v>477</v>
      </c>
      <c r="RQ3" s="13" t="s">
        <v>469</v>
      </c>
      <c r="RR3" s="13" t="s">
        <v>478</v>
      </c>
      <c r="RT3" s="13" t="s">
        <v>479</v>
      </c>
      <c r="RV3" s="13" t="s">
        <v>480</v>
      </c>
    </row>
    <row r="4" spans="1:494" ht="14.25">
      <c r="A4" s="14"/>
      <c r="B4" s="14"/>
      <c r="C4" s="14"/>
      <c r="D4" s="14" t="s">
        <v>481</v>
      </c>
      <c r="E4" s="14"/>
      <c r="F4" s="14" t="s">
        <v>482</v>
      </c>
      <c r="G4" s="14"/>
      <c r="H4" s="99">
        <v>6999</v>
      </c>
      <c r="I4" s="20">
        <f t="shared" ref="I4:I5" si="21">H4-G4</f>
        <v>6999</v>
      </c>
      <c r="J4" s="88">
        <f t="shared" ref="J4:J5" si="22">(H4-G4)/H4</f>
        <v>1</v>
      </c>
      <c r="K4" s="14"/>
      <c r="L4" s="14" t="s">
        <v>482</v>
      </c>
      <c r="M4" s="14"/>
      <c r="N4" s="99">
        <v>9499</v>
      </c>
      <c r="O4" s="20">
        <f t="shared" ref="O4:O5" si="23">N4-M4</f>
        <v>9499</v>
      </c>
      <c r="P4" s="88">
        <f t="shared" ref="P4:P5" si="24">(N4-M4)/N4</f>
        <v>1</v>
      </c>
      <c r="Q4" s="15"/>
      <c r="R4" s="14" t="s">
        <v>482</v>
      </c>
      <c r="S4" s="14"/>
      <c r="T4" s="99">
        <v>10699</v>
      </c>
      <c r="U4" s="20">
        <f t="shared" ref="U4:U5" si="25">T4-S4</f>
        <v>10699</v>
      </c>
      <c r="V4" s="88">
        <f t="shared" ref="V4:V5" si="26">(T4-S4)/T4</f>
        <v>1</v>
      </c>
      <c r="W4" s="15"/>
      <c r="X4" s="15" t="s">
        <v>482</v>
      </c>
      <c r="Y4" s="15"/>
      <c r="Z4" s="99">
        <v>14999</v>
      </c>
      <c r="AA4" s="20">
        <f>Z4-Y4</f>
        <v>14999</v>
      </c>
      <c r="AB4" s="88">
        <f>(Z4-Y4)/Z4</f>
        <v>1</v>
      </c>
      <c r="AC4" s="15"/>
      <c r="AD4" s="13" t="s">
        <v>483</v>
      </c>
      <c r="AE4" s="13">
        <v>216.84</v>
      </c>
      <c r="AF4" s="89">
        <v>216.84</v>
      </c>
      <c r="AG4" s="20">
        <f t="shared" ref="AG4:AG6" si="27">AF4-AE4</f>
        <v>0</v>
      </c>
      <c r="AH4" s="88">
        <f t="shared" ref="AH4:AH6" si="28">(AF4-AE4)/AF4</f>
        <v>0</v>
      </c>
      <c r="AJ4" s="13" t="s">
        <v>484</v>
      </c>
      <c r="AK4" s="13">
        <v>0</v>
      </c>
      <c r="AL4" s="90">
        <v>100</v>
      </c>
      <c r="AM4" s="20">
        <f t="shared" ref="AM4:AM12" si="29">AL4-AK4</f>
        <v>100</v>
      </c>
      <c r="AN4" s="88">
        <f t="shared" ref="AN4:AN12" si="30">(AL4-AK4)/AL4</f>
        <v>1</v>
      </c>
      <c r="AP4" s="13" t="s">
        <v>485</v>
      </c>
      <c r="AQ4" s="13">
        <v>36.6</v>
      </c>
      <c r="AR4" s="90">
        <v>120</v>
      </c>
      <c r="AS4" s="20">
        <f>AR4-AQ4</f>
        <v>83.4</v>
      </c>
      <c r="AT4" s="88">
        <f>(AR4-AQ4)/AR4</f>
        <v>0.69500000000000006</v>
      </c>
      <c r="AV4" s="13" t="s">
        <v>483</v>
      </c>
      <c r="AW4" s="13" t="s">
        <v>408</v>
      </c>
      <c r="AY4" s="13" t="s">
        <v>486</v>
      </c>
      <c r="AZ4" s="13">
        <f>BB12</f>
        <v>123.06</v>
      </c>
      <c r="BA4" s="90">
        <v>425</v>
      </c>
      <c r="BB4" s="20">
        <f>BA4-AZ4</f>
        <v>301.94</v>
      </c>
      <c r="BC4" s="88">
        <f>(BA4-AZ4)/BA4</f>
        <v>0.71044705882352943</v>
      </c>
      <c r="BK4" s="13" t="s">
        <v>487</v>
      </c>
      <c r="BL4" s="13">
        <v>45.51</v>
      </c>
      <c r="BM4" s="90">
        <v>150</v>
      </c>
      <c r="BN4" s="20">
        <f t="shared" ref="BN4:BN5" si="31">BM4-BL4</f>
        <v>104.49000000000001</v>
      </c>
      <c r="BO4" s="88">
        <f t="shared" ref="BO4:BO5" si="32">(BM4-BL4)/BM4</f>
        <v>0.69660000000000011</v>
      </c>
      <c r="BQ4" s="13" t="s">
        <v>488</v>
      </c>
      <c r="BR4" s="13">
        <f>BU9</f>
        <v>91.019999999999982</v>
      </c>
      <c r="BS4" s="90">
        <f>BS3+300</f>
        <v>625</v>
      </c>
      <c r="BT4" s="20">
        <f t="shared" ref="BT4:BT5" si="33">BS4-BR4</f>
        <v>533.98</v>
      </c>
      <c r="BU4" s="88">
        <f t="shared" ref="BU4:BU5" si="34">(BS4-BR4)/BS4</f>
        <v>0.85436800000000002</v>
      </c>
      <c r="BW4" s="13" t="s">
        <v>406</v>
      </c>
      <c r="BX4" s="91" t="s">
        <v>9</v>
      </c>
      <c r="CF4" s="13" t="s">
        <v>489</v>
      </c>
      <c r="CG4" s="13">
        <f>CI8</f>
        <v>59.62</v>
      </c>
      <c r="CH4" s="90">
        <v>200</v>
      </c>
      <c r="CI4" s="20">
        <f>CH4-CG4</f>
        <v>140.38</v>
      </c>
      <c r="CJ4" s="88">
        <f>(CH4-CG4)/CH4</f>
        <v>0.70189999999999997</v>
      </c>
      <c r="CO4" s="13" t="s">
        <v>414</v>
      </c>
      <c r="CP4" s="13">
        <f>CQ11</f>
        <v>29.81</v>
      </c>
      <c r="CQ4" s="90">
        <v>75</v>
      </c>
      <c r="CR4" s="20">
        <f>CQ4-CP4</f>
        <v>45.19</v>
      </c>
      <c r="CS4" s="88">
        <f>(CQ4-CP4)/CQ4</f>
        <v>0.60253333333333325</v>
      </c>
      <c r="CU4" s="13" t="s">
        <v>490</v>
      </c>
      <c r="CV4" s="19">
        <f>CQ6</f>
        <v>150</v>
      </c>
      <c r="CW4" s="20"/>
      <c r="CX4" s="20"/>
      <c r="CY4" s="20"/>
      <c r="DA4" s="13" t="s">
        <v>491</v>
      </c>
      <c r="DB4" s="13">
        <f>DD13</f>
        <v>103.63999999999999</v>
      </c>
      <c r="DC4" s="90">
        <v>300</v>
      </c>
      <c r="DD4" s="20">
        <f>DC4-DB4</f>
        <v>196.36</v>
      </c>
      <c r="DE4" s="88">
        <f>(DC4-DB4)/DC4</f>
        <v>0.65453333333333341</v>
      </c>
      <c r="DI4" s="13" t="s">
        <v>492</v>
      </c>
      <c r="DM4" s="13" t="s">
        <v>493</v>
      </c>
      <c r="DN4" s="13">
        <f>DN5/2</f>
        <v>27.222999999999999</v>
      </c>
      <c r="DO4" s="90">
        <v>100</v>
      </c>
      <c r="DP4" s="20">
        <f t="shared" ref="DP4:DP5" si="35">DO4-DN4</f>
        <v>72.777000000000001</v>
      </c>
      <c r="DQ4" s="88">
        <f t="shared" ref="DQ4:DQ5" si="36">(DO4-DN4)/DO4</f>
        <v>0.72777000000000003</v>
      </c>
      <c r="DR4" s="88"/>
      <c r="DS4" s="88"/>
      <c r="DV4" s="13" t="s">
        <v>494</v>
      </c>
      <c r="DW4" s="93">
        <f>DY11</f>
        <v>83.769000000000005</v>
      </c>
      <c r="DX4" s="90">
        <v>200</v>
      </c>
      <c r="DY4" s="20">
        <f>DX4-DW4</f>
        <v>116.23099999999999</v>
      </c>
      <c r="DZ4" s="88">
        <f>(DX4-DW4)/DX4</f>
        <v>0.58115499999999998</v>
      </c>
      <c r="EB4" s="13" t="s">
        <v>494</v>
      </c>
      <c r="EC4" s="95">
        <f>EE18</f>
        <v>140.2658857142857</v>
      </c>
      <c r="ED4" s="90">
        <v>200</v>
      </c>
      <c r="EE4" s="20">
        <f>ED4-EC4</f>
        <v>59.734114285714298</v>
      </c>
      <c r="EF4" s="88">
        <f>(ED4-EC4)/ED4</f>
        <v>0.29867057142857151</v>
      </c>
      <c r="EN4" s="13" t="s">
        <v>495</v>
      </c>
      <c r="EP4" s="90">
        <v>125</v>
      </c>
      <c r="EQ4" s="20">
        <f>EP4-EO4</f>
        <v>125</v>
      </c>
      <c r="ER4" s="88">
        <f>(EP4-EO4)/EP4</f>
        <v>1</v>
      </c>
      <c r="ES4" s="16"/>
      <c r="ET4" s="16"/>
      <c r="EU4" s="16"/>
      <c r="EV4" s="16"/>
      <c r="EW4" s="16"/>
      <c r="EX4" s="16"/>
      <c r="EZ4" s="13" t="s">
        <v>496</v>
      </c>
      <c r="FA4" s="13">
        <f>FC23</f>
        <v>0</v>
      </c>
      <c r="FB4" s="23">
        <v>450</v>
      </c>
      <c r="FC4" s="20">
        <f t="shared" ref="FC4:FC6" si="37">FB4-FA4</f>
        <v>450</v>
      </c>
      <c r="FD4" s="88">
        <f t="shared" ref="FD4:FD6" si="38">(FB4-FA4)/FB4</f>
        <v>1</v>
      </c>
      <c r="FF4" s="13" t="s">
        <v>496</v>
      </c>
      <c r="FG4" s="13">
        <f>FI23</f>
        <v>209.9</v>
      </c>
      <c r="FH4" s="90">
        <v>450</v>
      </c>
      <c r="FI4" s="20">
        <f t="shared" ref="FI4:FI6" si="39">FH4-FG4</f>
        <v>240.1</v>
      </c>
      <c r="FJ4" s="88">
        <f t="shared" ref="FJ4:FJ6" si="40">(FH4-FG4)/FH4</f>
        <v>0.53355555555555556</v>
      </c>
      <c r="FR4" s="13" t="s">
        <v>427</v>
      </c>
      <c r="FS4" s="13">
        <v>194.35</v>
      </c>
      <c r="FT4" s="89">
        <v>300</v>
      </c>
      <c r="FU4" s="20">
        <f t="shared" ref="FU4:FU7" si="41">FT4-FS4</f>
        <v>105.65</v>
      </c>
      <c r="FV4" s="88">
        <f t="shared" ref="FV4:FV7" si="42">(FT4-FS4)/FT4</f>
        <v>0.35216666666666668</v>
      </c>
      <c r="FX4" s="13" t="s">
        <v>497</v>
      </c>
      <c r="FY4" s="19">
        <f>FT5</f>
        <v>325</v>
      </c>
      <c r="GA4" s="13" t="s">
        <v>498</v>
      </c>
      <c r="GB4" s="13">
        <v>292</v>
      </c>
      <c r="GC4" s="89">
        <v>450</v>
      </c>
      <c r="GD4" s="20">
        <f t="shared" ref="GD4:GD6" si="43">GC4-GB4</f>
        <v>158</v>
      </c>
      <c r="GE4" s="88">
        <f t="shared" ref="GE4:GE6" si="44">(GC4-GB4)/GC4</f>
        <v>0.3511111111111111</v>
      </c>
      <c r="GG4" s="13" t="s">
        <v>499</v>
      </c>
      <c r="GH4" s="95">
        <f t="shared" si="0"/>
        <v>1299.3500000000001</v>
      </c>
      <c r="GI4" s="89">
        <v>1999</v>
      </c>
      <c r="GJ4" s="20">
        <f t="shared" ref="GJ4:GJ8" si="45">GI4-GH4</f>
        <v>699.64999999999986</v>
      </c>
      <c r="GK4" s="88">
        <f t="shared" ref="GK4:GK8" si="46">(GI4-GH4)/GI4</f>
        <v>0.34999999999999992</v>
      </c>
      <c r="GQ4" s="13" t="s">
        <v>500</v>
      </c>
      <c r="GR4" s="96">
        <v>54.33</v>
      </c>
      <c r="GS4" s="90">
        <v>150</v>
      </c>
      <c r="GT4" s="20">
        <f t="shared" ref="GT4:GT5" si="47">GS4-GR4</f>
        <v>95.67</v>
      </c>
      <c r="GU4" s="88">
        <f t="shared" ref="GU4:GU5" si="48">(GS4-GR4)/GS4</f>
        <v>0.63780000000000003</v>
      </c>
      <c r="GW4" s="13" t="s">
        <v>500</v>
      </c>
      <c r="GX4" s="96">
        <v>54.33</v>
      </c>
      <c r="GY4" s="90">
        <v>150</v>
      </c>
      <c r="GZ4" s="20">
        <f t="shared" ref="GZ4:GZ5" si="49">GY4-GX4</f>
        <v>95.67</v>
      </c>
      <c r="HA4" s="88">
        <f t="shared" ref="HA4:HA5" si="50">(GY4-GX4)/GY4</f>
        <v>0.63780000000000003</v>
      </c>
      <c r="HC4" s="13" t="s">
        <v>501</v>
      </c>
      <c r="HD4" s="13">
        <v>74.33</v>
      </c>
      <c r="HE4" s="90">
        <v>200</v>
      </c>
      <c r="HF4" s="20">
        <f>HE4-HD4</f>
        <v>125.67</v>
      </c>
      <c r="HG4" s="88">
        <f>(HE4-HD4)/HE4</f>
        <v>0.62834999999999996</v>
      </c>
      <c r="HI4" s="13" t="s">
        <v>502</v>
      </c>
      <c r="HJ4" s="13">
        <v>359.71</v>
      </c>
      <c r="HK4" s="90">
        <v>875</v>
      </c>
      <c r="HL4" s="20">
        <f>HK4-HJ4</f>
        <v>515.29</v>
      </c>
      <c r="HM4" s="88">
        <f>(HK4-HJ4)/HK4</f>
        <v>0.58890285714285706</v>
      </c>
      <c r="HR4" s="13" t="s">
        <v>503</v>
      </c>
      <c r="HS4" s="13">
        <v>173.6</v>
      </c>
      <c r="HT4" s="90">
        <v>245</v>
      </c>
      <c r="HU4" s="20">
        <f t="shared" ref="HU4:HU6" si="51">HT4-HS4</f>
        <v>71.400000000000006</v>
      </c>
      <c r="HV4" s="88">
        <f t="shared" ref="HV4:HV6" si="52">(HT4-HS4)/HT4</f>
        <v>0.29142857142857143</v>
      </c>
      <c r="ID4" s="13" t="s">
        <v>504</v>
      </c>
      <c r="IF4" s="97">
        <v>150</v>
      </c>
      <c r="IS4" s="13" t="s">
        <v>505</v>
      </c>
      <c r="IU4" s="90">
        <v>2495</v>
      </c>
      <c r="JI4" s="13" t="s">
        <v>506</v>
      </c>
      <c r="JJ4" s="13">
        <f>29.49*2</f>
        <v>58.98</v>
      </c>
      <c r="JK4" s="98">
        <v>200</v>
      </c>
      <c r="JL4" s="20">
        <f>JK4-JJ4</f>
        <v>141.02000000000001</v>
      </c>
      <c r="JM4" s="88">
        <f>(JK4-JJ4)/JK4</f>
        <v>0.70510000000000006</v>
      </c>
      <c r="JN4" s="16"/>
      <c r="JO4" s="16"/>
      <c r="JP4" s="16"/>
      <c r="JR4" s="13" t="s">
        <v>442</v>
      </c>
      <c r="JS4" s="13">
        <v>242.5</v>
      </c>
      <c r="JT4" s="90">
        <v>425</v>
      </c>
      <c r="JU4" s="20">
        <f t="shared" ref="JU4:JU6" si="53">JT4-JS4</f>
        <v>182.5</v>
      </c>
      <c r="JV4" s="88">
        <f t="shared" ref="JV4:JV6" si="54">(JT4-JS4)/JT4</f>
        <v>0.42941176470588233</v>
      </c>
      <c r="JZ4" s="16"/>
      <c r="KA4" s="20"/>
      <c r="KB4" s="88"/>
      <c r="KD4" s="13" t="s">
        <v>507</v>
      </c>
      <c r="KE4" s="13">
        <f>KE9+KE3</f>
        <v>123.78</v>
      </c>
      <c r="KF4" s="89">
        <f>KF9+KF3</f>
        <v>235</v>
      </c>
      <c r="KG4" s="20">
        <f t="shared" ref="KG4:KG5" si="55">KF4-KE4</f>
        <v>111.22</v>
      </c>
      <c r="KH4" s="88">
        <f t="shared" ref="KH4:KH6" si="56">(KF4-KE4)/KF4</f>
        <v>0.47327659574468084</v>
      </c>
      <c r="KJ4" s="13" t="s">
        <v>508</v>
      </c>
      <c r="KL4" s="22">
        <v>75</v>
      </c>
      <c r="KM4" s="20">
        <f>KL4-KK4</f>
        <v>75</v>
      </c>
      <c r="KN4" s="88">
        <f>(KL4-KK4)/KL4</f>
        <v>1</v>
      </c>
      <c r="KP4" s="13" t="s">
        <v>509</v>
      </c>
      <c r="KR4" s="23">
        <f>KL4*2</f>
        <v>150</v>
      </c>
      <c r="KS4" s="16"/>
      <c r="KT4" s="16"/>
      <c r="KV4" s="13" t="s">
        <v>510</v>
      </c>
      <c r="KX4" s="21">
        <v>100</v>
      </c>
      <c r="KY4" s="20"/>
      <c r="KZ4" s="20"/>
      <c r="LB4" s="13" t="s">
        <v>511</v>
      </c>
      <c r="LC4" s="13">
        <v>258.24</v>
      </c>
      <c r="LD4" s="92">
        <v>475</v>
      </c>
      <c r="LE4" s="20">
        <f t="shared" ref="LE4:LE5" si="57">LD4-LC4</f>
        <v>216.76</v>
      </c>
      <c r="LF4" s="88">
        <f t="shared" ref="LF4:LF5" si="58">(LD4-LC4)/LD4</f>
        <v>0.45633684210526315</v>
      </c>
      <c r="LN4" s="13" t="s">
        <v>512</v>
      </c>
      <c r="LO4" s="13">
        <f>LO3+LO6</f>
        <v>1040.96</v>
      </c>
      <c r="LP4" s="89">
        <v>1850</v>
      </c>
      <c r="LQ4" s="20">
        <f>LP4-LO4</f>
        <v>809.04</v>
      </c>
      <c r="LR4" s="88">
        <f>(LP4-LO4)/LP4</f>
        <v>0.43731891891891889</v>
      </c>
      <c r="LT4" s="13" t="s">
        <v>513</v>
      </c>
      <c r="LU4" s="13">
        <f>LU12</f>
        <v>811.15000000000009</v>
      </c>
      <c r="LV4" s="89">
        <v>1550</v>
      </c>
      <c r="LW4" s="20">
        <f>LV4-LU4</f>
        <v>738.84999999999991</v>
      </c>
      <c r="LX4" s="88">
        <f>(LV4-LU4)/LV4</f>
        <v>0.47667741935483865</v>
      </c>
      <c r="LZ4" s="13" t="s">
        <v>514</v>
      </c>
      <c r="MA4" s="13">
        <f>SUM(MA9,MA12,MA13)</f>
        <v>204.79999999999998</v>
      </c>
      <c r="MB4" s="89">
        <v>575</v>
      </c>
      <c r="MC4" s="20">
        <f>MB4-MA4</f>
        <v>370.20000000000005</v>
      </c>
      <c r="MD4" s="88">
        <f>(MB4-MA4)/MB4</f>
        <v>0.64382608695652177</v>
      </c>
      <c r="MF4" s="13" t="s">
        <v>515</v>
      </c>
      <c r="MG4" s="90">
        <v>250</v>
      </c>
      <c r="MI4" s="13" t="s">
        <v>516</v>
      </c>
      <c r="MJ4" s="13">
        <v>99.99</v>
      </c>
      <c r="MK4" s="90">
        <v>225</v>
      </c>
      <c r="ML4" s="20">
        <f>MK4-MJ4</f>
        <v>125.01</v>
      </c>
      <c r="MM4" s="88">
        <f>(MK4-MJ4)/MK4</f>
        <v>0.55559999999999998</v>
      </c>
      <c r="MN4" s="88"/>
      <c r="MO4" s="13" t="s">
        <v>517</v>
      </c>
      <c r="MP4" s="13">
        <v>412.5</v>
      </c>
      <c r="MQ4" s="89">
        <v>549</v>
      </c>
      <c r="MR4" s="88">
        <f t="shared" ref="MR4:MR8" si="59">(MQ4-MP4)/MQ4</f>
        <v>0.24863387978142076</v>
      </c>
      <c r="MS4" s="88"/>
      <c r="MT4" s="13" t="s">
        <v>518</v>
      </c>
      <c r="MU4" s="116">
        <v>50</v>
      </c>
      <c r="MV4" s="89">
        <v>145</v>
      </c>
      <c r="MW4" s="88">
        <f t="shared" ref="MW4:MW5" si="60">(MV4-MU4)/MV4</f>
        <v>0.65517241379310343</v>
      </c>
      <c r="NL4" s="16"/>
      <c r="NM4" s="20"/>
      <c r="NN4" s="88"/>
      <c r="NV4" s="13" t="s">
        <v>519</v>
      </c>
      <c r="NW4" s="13">
        <v>13.78</v>
      </c>
      <c r="NX4" s="90">
        <v>75</v>
      </c>
      <c r="NY4" s="20">
        <f>NX4-NW4</f>
        <v>61.22</v>
      </c>
      <c r="NZ4" s="88">
        <f>(NX4-NW4)/NX4</f>
        <v>0.8162666666666667</v>
      </c>
      <c r="OB4" s="13" t="s">
        <v>520</v>
      </c>
      <c r="OC4" s="13">
        <f>26.35*2</f>
        <v>52.7</v>
      </c>
      <c r="OD4" s="90">
        <v>150</v>
      </c>
      <c r="OE4" s="20">
        <f>OD4-OC4</f>
        <v>97.3</v>
      </c>
      <c r="OF4" s="88">
        <f>(OD4-OC4)/OD4</f>
        <v>0.64866666666666661</v>
      </c>
      <c r="OH4" s="13" t="s">
        <v>521</v>
      </c>
      <c r="OI4" s="13">
        <f>OI9+OI11</f>
        <v>20.84</v>
      </c>
      <c r="OJ4" s="90">
        <v>150</v>
      </c>
      <c r="OK4" s="20">
        <f t="shared" ref="OK4:OK5" si="61">OJ4-OI4</f>
        <v>129.16</v>
      </c>
      <c r="OL4" s="88">
        <f t="shared" ref="OL4:OL5" si="62">(OJ4-OI4)/OJ4</f>
        <v>0.86106666666666665</v>
      </c>
      <c r="ON4" s="13" t="s">
        <v>522</v>
      </c>
      <c r="OO4" s="13">
        <v>300</v>
      </c>
      <c r="OP4" s="117">
        <v>399</v>
      </c>
      <c r="OQ4" s="20">
        <f t="shared" ref="OQ4:OQ10" si="63">OP4-OO4</f>
        <v>99</v>
      </c>
      <c r="OR4" s="88">
        <f t="shared" ref="OR4:OR10" si="64">(OP4-OO4)/OP4</f>
        <v>0.24812030075187969</v>
      </c>
      <c r="OT4" s="13" t="s">
        <v>523</v>
      </c>
      <c r="OU4" s="13">
        <v>7</v>
      </c>
      <c r="OV4" s="97">
        <v>10</v>
      </c>
      <c r="OW4" s="20">
        <f t="shared" ref="OW4:OW8" si="65">OV4-OU4</f>
        <v>3</v>
      </c>
      <c r="OX4" s="88">
        <f t="shared" ref="OX4:OX8" si="66">(OV4-OU4)/OV4</f>
        <v>0.3</v>
      </c>
      <c r="OZ4" s="13" t="s">
        <v>524</v>
      </c>
      <c r="PA4" s="13">
        <f>PA9+PA11+PA12</f>
        <v>425.68</v>
      </c>
      <c r="PB4" s="90">
        <v>950</v>
      </c>
      <c r="PC4" s="20">
        <f t="shared" ref="PC4" si="67">PB4-PA4</f>
        <v>524.31999999999994</v>
      </c>
      <c r="PD4" s="88">
        <f t="shared" ref="PD4" si="68">(PB4-PA4)/PB4</f>
        <v>0.55191578947368414</v>
      </c>
      <c r="PF4" s="13" t="s">
        <v>525</v>
      </c>
      <c r="PG4" s="13">
        <f>SUM(PG9,PG10,PG11,PG12,PG13,PG14,PG15)</f>
        <v>380.67</v>
      </c>
      <c r="PH4" s="90">
        <v>950</v>
      </c>
      <c r="PI4" s="20">
        <f t="shared" ref="PI4:PI5" si="69">PH4-PG4</f>
        <v>569.32999999999993</v>
      </c>
      <c r="PJ4" s="88">
        <f t="shared" ref="PJ4:PJ5" si="70">(PH4-PG4)/PH4</f>
        <v>0.59929473684210521</v>
      </c>
      <c r="PL4" s="13" t="s">
        <v>526</v>
      </c>
      <c r="PM4" s="13">
        <f t="shared" ref="PM4:PM10" si="71">PN4*0.6</f>
        <v>689.4</v>
      </c>
      <c r="PN4" s="97">
        <v>1149</v>
      </c>
      <c r="PO4" s="20">
        <f t="shared" ref="PO4:PO10" si="72">PN4-PM4</f>
        <v>459.6</v>
      </c>
      <c r="PP4" s="88">
        <f t="shared" ref="PP4:PP10" si="73">(PN4-PM4)/PN4</f>
        <v>0.4</v>
      </c>
      <c r="PR4" s="13" t="s">
        <v>527</v>
      </c>
      <c r="PT4" s="97">
        <v>1450</v>
      </c>
      <c r="PV4" s="13" t="s">
        <v>528</v>
      </c>
      <c r="PX4" s="13">
        <v>40</v>
      </c>
      <c r="QN4" s="13" t="s">
        <v>482</v>
      </c>
      <c r="QO4" s="13">
        <v>246.35</v>
      </c>
      <c r="QP4" s="97">
        <v>449</v>
      </c>
      <c r="QQ4" s="20">
        <f t="shared" ref="QQ4:QQ5" si="74">QP4-QO4</f>
        <v>202.65</v>
      </c>
      <c r="QR4" s="88">
        <f t="shared" ref="QR4:QR5" si="75">(QP4-QO4)/QP4</f>
        <v>0.45133630289532295</v>
      </c>
      <c r="QT4" s="13" t="s">
        <v>128</v>
      </c>
      <c r="QU4" s="13">
        <v>60</v>
      </c>
      <c r="QV4" s="97">
        <v>150</v>
      </c>
      <c r="QW4" s="20">
        <f t="shared" si="19"/>
        <v>90</v>
      </c>
      <c r="QX4" s="88">
        <f t="shared" si="20"/>
        <v>0.6</v>
      </c>
      <c r="RA4" s="13" t="s">
        <v>529</v>
      </c>
      <c r="RD4" s="13" t="s">
        <v>530</v>
      </c>
      <c r="RF4" s="13" t="s">
        <v>531</v>
      </c>
      <c r="RG4" s="13">
        <v>1900</v>
      </c>
      <c r="RH4" s="13">
        <v>1100</v>
      </c>
      <c r="RI4" s="13" t="s">
        <v>532</v>
      </c>
      <c r="RJ4" s="13" t="s">
        <v>533</v>
      </c>
      <c r="RK4" s="13" t="s">
        <v>534</v>
      </c>
      <c r="RM4" s="13" t="s">
        <v>535</v>
      </c>
      <c r="RO4" s="13" t="s">
        <v>536</v>
      </c>
      <c r="RQ4" s="13" t="s">
        <v>529</v>
      </c>
      <c r="RR4" s="13" t="s">
        <v>478</v>
      </c>
      <c r="RT4" s="13" t="s">
        <v>537</v>
      </c>
      <c r="RV4" s="13" t="str">
        <f>'Final Build Sheet'!B98</f>
        <v>Columbus, IN</v>
      </c>
    </row>
    <row r="5" spans="1:494" ht="14.25">
      <c r="A5" s="14"/>
      <c r="B5" s="14"/>
      <c r="C5" s="14"/>
      <c r="D5" s="14" t="s">
        <v>538</v>
      </c>
      <c r="E5" s="14"/>
      <c r="F5" s="14" t="s">
        <v>539</v>
      </c>
      <c r="G5" s="14"/>
      <c r="H5" s="99">
        <v>7999</v>
      </c>
      <c r="I5" s="20">
        <f t="shared" si="21"/>
        <v>7999</v>
      </c>
      <c r="J5" s="88">
        <f t="shared" si="22"/>
        <v>1</v>
      </c>
      <c r="K5" s="14"/>
      <c r="L5" s="14" t="s">
        <v>539</v>
      </c>
      <c r="M5" s="14"/>
      <c r="N5" s="99">
        <v>10499</v>
      </c>
      <c r="O5" s="20">
        <f t="shared" si="23"/>
        <v>10499</v>
      </c>
      <c r="P5" s="88">
        <f t="shared" si="24"/>
        <v>1</v>
      </c>
      <c r="Q5" s="15"/>
      <c r="R5" s="14" t="s">
        <v>539</v>
      </c>
      <c r="S5" s="14"/>
      <c r="T5" s="99">
        <v>11699</v>
      </c>
      <c r="U5" s="20">
        <f t="shared" si="25"/>
        <v>11699</v>
      </c>
      <c r="V5" s="88">
        <f t="shared" si="26"/>
        <v>1</v>
      </c>
      <c r="W5" s="15"/>
      <c r="X5" s="15"/>
      <c r="Y5" s="15"/>
      <c r="Z5" s="15"/>
      <c r="AA5" s="15"/>
      <c r="AB5" s="15"/>
      <c r="AC5" s="15"/>
      <c r="AD5" s="13" t="s">
        <v>540</v>
      </c>
      <c r="AE5" s="13">
        <v>216.84</v>
      </c>
      <c r="AF5" s="89">
        <v>216.84</v>
      </c>
      <c r="AG5" s="20">
        <f t="shared" si="27"/>
        <v>0</v>
      </c>
      <c r="AH5" s="88">
        <f t="shared" si="28"/>
        <v>0</v>
      </c>
      <c r="AJ5" s="13" t="s">
        <v>541</v>
      </c>
      <c r="AK5" s="13">
        <v>0</v>
      </c>
      <c r="AL5" s="90">
        <v>100</v>
      </c>
      <c r="AM5" s="20">
        <f t="shared" si="29"/>
        <v>100</v>
      </c>
      <c r="AN5" s="88">
        <f t="shared" si="30"/>
        <v>1</v>
      </c>
      <c r="BK5" s="13" t="s">
        <v>542</v>
      </c>
      <c r="BL5" s="13">
        <v>175.62</v>
      </c>
      <c r="BM5" s="90">
        <v>250</v>
      </c>
      <c r="BN5" s="20">
        <f t="shared" si="31"/>
        <v>74.38</v>
      </c>
      <c r="BO5" s="88">
        <f t="shared" si="32"/>
        <v>0.29752000000000001</v>
      </c>
      <c r="BQ5" s="13" t="s">
        <v>543</v>
      </c>
      <c r="BR5" s="13">
        <f>BU10</f>
        <v>351.23999999999995</v>
      </c>
      <c r="BS5" s="90">
        <f>BS3+500</f>
        <v>825</v>
      </c>
      <c r="BT5" s="20">
        <f t="shared" si="33"/>
        <v>473.76000000000005</v>
      </c>
      <c r="BU5" s="88">
        <f t="shared" si="34"/>
        <v>0.57425454545454546</v>
      </c>
      <c r="CH5" s="16"/>
      <c r="CI5" s="20"/>
      <c r="CJ5" s="88"/>
      <c r="CO5" s="13" t="s">
        <v>544</v>
      </c>
      <c r="CP5" s="13">
        <f>CQ12</f>
        <v>29.81</v>
      </c>
      <c r="CQ5" s="90">
        <v>75</v>
      </c>
      <c r="CR5" s="20">
        <f t="shared" ref="CR5:CR7" si="76">CQ5-CP5</f>
        <v>45.19</v>
      </c>
      <c r="CS5" s="88">
        <f t="shared" ref="CS5:CS7" si="77">(CQ5-CP5)/CQ5</f>
        <v>0.60253333333333325</v>
      </c>
      <c r="CU5" s="13" t="s">
        <v>415</v>
      </c>
      <c r="CV5" s="19">
        <f>CQ7</f>
        <v>150</v>
      </c>
      <c r="CW5" s="20"/>
      <c r="CX5" s="20"/>
      <c r="CY5" s="20"/>
      <c r="DM5" s="13" t="s">
        <v>545</v>
      </c>
      <c r="DN5" s="13">
        <f>DP11</f>
        <v>54.445999999999998</v>
      </c>
      <c r="DO5" s="90">
        <v>200</v>
      </c>
      <c r="DP5" s="20">
        <f t="shared" si="35"/>
        <v>145.554</v>
      </c>
      <c r="DQ5" s="88">
        <f t="shared" si="36"/>
        <v>0.72777000000000003</v>
      </c>
      <c r="DR5" s="88"/>
      <c r="DS5" s="88"/>
      <c r="EZ5" s="13" t="s">
        <v>546</v>
      </c>
      <c r="FA5" s="13">
        <f>FD23</f>
        <v>0</v>
      </c>
      <c r="FB5" s="23">
        <v>450</v>
      </c>
      <c r="FC5" s="20">
        <f t="shared" si="37"/>
        <v>450</v>
      </c>
      <c r="FD5" s="88">
        <f t="shared" si="38"/>
        <v>1</v>
      </c>
      <c r="FF5" s="13" t="s">
        <v>546</v>
      </c>
      <c r="FG5" s="13">
        <f>FJ23</f>
        <v>195.6</v>
      </c>
      <c r="FH5" s="90">
        <v>450</v>
      </c>
      <c r="FI5" s="20">
        <f t="shared" si="39"/>
        <v>254.4</v>
      </c>
      <c r="FJ5" s="88">
        <f t="shared" si="40"/>
        <v>0.56533333333333335</v>
      </c>
      <c r="FR5" s="13" t="s">
        <v>497</v>
      </c>
      <c r="FS5" s="13">
        <v>211.25</v>
      </c>
      <c r="FT5" s="89">
        <v>325</v>
      </c>
      <c r="FU5" s="20">
        <f t="shared" si="41"/>
        <v>113.75</v>
      </c>
      <c r="FV5" s="88">
        <f t="shared" si="42"/>
        <v>0.35</v>
      </c>
      <c r="GA5" s="13" t="s">
        <v>547</v>
      </c>
      <c r="GB5" s="13">
        <v>363</v>
      </c>
      <c r="GC5" s="89">
        <v>560</v>
      </c>
      <c r="GD5" s="20">
        <f t="shared" si="43"/>
        <v>197</v>
      </c>
      <c r="GE5" s="88">
        <f t="shared" si="44"/>
        <v>0.35178571428571431</v>
      </c>
      <c r="GG5" s="13" t="s">
        <v>548</v>
      </c>
      <c r="GH5" s="95">
        <f>GI5*0.65</f>
        <v>1104.3500000000001</v>
      </c>
      <c r="GI5" s="89">
        <v>1699</v>
      </c>
      <c r="GJ5" s="20">
        <f t="shared" si="45"/>
        <v>594.64999999999986</v>
      </c>
      <c r="GK5" s="88">
        <f t="shared" si="46"/>
        <v>0.34999999999999992</v>
      </c>
      <c r="GQ5" s="13" t="s">
        <v>501</v>
      </c>
      <c r="GR5" s="13">
        <v>74.33</v>
      </c>
      <c r="GS5" s="90">
        <v>200</v>
      </c>
      <c r="GT5" s="20">
        <f t="shared" si="47"/>
        <v>125.67</v>
      </c>
      <c r="GU5" s="88">
        <f t="shared" si="48"/>
        <v>0.62834999999999996</v>
      </c>
      <c r="GW5" s="13" t="s">
        <v>501</v>
      </c>
      <c r="GX5" s="13">
        <v>74.33</v>
      </c>
      <c r="GY5" s="90">
        <v>200</v>
      </c>
      <c r="GZ5" s="20">
        <f t="shared" si="49"/>
        <v>125.67</v>
      </c>
      <c r="HA5" s="88">
        <f t="shared" si="50"/>
        <v>0.62834999999999996</v>
      </c>
      <c r="HR5" s="13" t="s">
        <v>549</v>
      </c>
      <c r="HS5" s="13">
        <v>167.2</v>
      </c>
      <c r="HT5" s="90">
        <v>255</v>
      </c>
      <c r="HU5" s="20">
        <f t="shared" si="51"/>
        <v>87.800000000000011</v>
      </c>
      <c r="HV5" s="88">
        <f t="shared" si="52"/>
        <v>0.34431372549019612</v>
      </c>
      <c r="IW5" s="13" t="s">
        <v>398</v>
      </c>
      <c r="JR5" s="13" t="s">
        <v>550</v>
      </c>
      <c r="JS5" s="13">
        <v>256.89999999999998</v>
      </c>
      <c r="JT5" s="90">
        <v>500</v>
      </c>
      <c r="JU5" s="20">
        <f t="shared" si="53"/>
        <v>243.10000000000002</v>
      </c>
      <c r="JV5" s="88">
        <f t="shared" si="54"/>
        <v>0.48620000000000002</v>
      </c>
      <c r="JZ5" s="16"/>
      <c r="KA5" s="20"/>
      <c r="KB5" s="88"/>
      <c r="KD5" s="13" t="s">
        <v>551</v>
      </c>
      <c r="KE5" s="13">
        <v>41.58</v>
      </c>
      <c r="KF5" s="89">
        <v>165</v>
      </c>
      <c r="KG5" s="20">
        <f t="shared" si="55"/>
        <v>123.42</v>
      </c>
      <c r="KH5" s="88">
        <f t="shared" si="56"/>
        <v>0.748</v>
      </c>
      <c r="KP5" s="13" t="s">
        <v>552</v>
      </c>
      <c r="KR5" s="23">
        <f>KL3+KL4</f>
        <v>130</v>
      </c>
      <c r="KS5" s="16"/>
      <c r="KT5" s="16"/>
      <c r="KV5" s="13" t="s">
        <v>553</v>
      </c>
      <c r="KX5" s="21">
        <v>90</v>
      </c>
      <c r="KY5" s="20"/>
      <c r="KZ5" s="20"/>
      <c r="LB5" s="13" t="s">
        <v>554</v>
      </c>
      <c r="LC5" s="13">
        <v>235.05</v>
      </c>
      <c r="LD5" s="90">
        <v>400</v>
      </c>
      <c r="LE5" s="20">
        <f t="shared" si="57"/>
        <v>164.95</v>
      </c>
      <c r="LF5" s="88">
        <f t="shared" si="58"/>
        <v>0.41237499999999999</v>
      </c>
      <c r="LZ5" s="13" t="s">
        <v>555</v>
      </c>
      <c r="MA5" s="13">
        <f>SUM(MA10,MA12,MA16)</f>
        <v>324.04000000000002</v>
      </c>
      <c r="MB5" s="89">
        <v>975</v>
      </c>
      <c r="MC5" s="20">
        <f t="shared" ref="MC5:MC6" si="78">MB5-MA5</f>
        <v>650.96</v>
      </c>
      <c r="MD5" s="88">
        <f t="shared" ref="MD5:MD6" si="79">(MB5-MA5)/MB5</f>
        <v>0.6676512820512821</v>
      </c>
      <c r="MO5" s="13" t="s">
        <v>556</v>
      </c>
      <c r="MP5" s="13">
        <v>975</v>
      </c>
      <c r="MQ5" s="89">
        <v>1299</v>
      </c>
      <c r="MR5" s="88">
        <f t="shared" si="59"/>
        <v>0.24942263279445728</v>
      </c>
      <c r="MS5" s="88"/>
      <c r="MT5" s="13" t="s">
        <v>557</v>
      </c>
      <c r="MU5" s="116">
        <v>50</v>
      </c>
      <c r="MV5" s="89">
        <v>165</v>
      </c>
      <c r="MW5" s="88">
        <f t="shared" si="60"/>
        <v>0.69696969696969702</v>
      </c>
      <c r="ND5" s="13" t="s">
        <v>558</v>
      </c>
      <c r="NE5" s="13">
        <v>18</v>
      </c>
      <c r="NJ5" s="13" t="s">
        <v>559</v>
      </c>
      <c r="NK5" s="13" t="s">
        <v>560</v>
      </c>
      <c r="NL5" s="97">
        <f>150</f>
        <v>150</v>
      </c>
      <c r="OB5" s="13" t="s">
        <v>561</v>
      </c>
      <c r="OC5" s="13">
        <f>26.35*4</f>
        <v>105.4</v>
      </c>
      <c r="OD5" s="90">
        <v>300</v>
      </c>
      <c r="OE5" s="20">
        <f>OD5-OC5</f>
        <v>194.6</v>
      </c>
      <c r="OF5" s="88">
        <f>(OD5-OC5)/OD5</f>
        <v>0.64866666666666661</v>
      </c>
      <c r="OH5" s="13" t="s">
        <v>562</v>
      </c>
      <c r="OI5" s="13">
        <f>OI10+OI11</f>
        <v>35.340000000000003</v>
      </c>
      <c r="OJ5" s="90">
        <v>200</v>
      </c>
      <c r="OK5" s="20">
        <f t="shared" si="61"/>
        <v>164.66</v>
      </c>
      <c r="OL5" s="88">
        <f t="shared" si="62"/>
        <v>0.82330000000000003</v>
      </c>
      <c r="ON5" s="13" t="s">
        <v>563</v>
      </c>
      <c r="OO5" s="13">
        <v>450</v>
      </c>
      <c r="OP5" s="117">
        <v>599</v>
      </c>
      <c r="OQ5" s="20">
        <f t="shared" si="63"/>
        <v>149</v>
      </c>
      <c r="OR5" s="88">
        <f t="shared" si="64"/>
        <v>0.24874791318864775</v>
      </c>
      <c r="OT5" s="13" t="s">
        <v>564</v>
      </c>
      <c r="OU5" s="13">
        <v>12</v>
      </c>
      <c r="OV5" s="97">
        <v>20</v>
      </c>
      <c r="OW5" s="20">
        <f t="shared" si="65"/>
        <v>8</v>
      </c>
      <c r="OX5" s="88">
        <f t="shared" si="66"/>
        <v>0.4</v>
      </c>
      <c r="OZ5" s="13" t="s">
        <v>565</v>
      </c>
      <c r="PA5" s="13">
        <f>PA14+PA12+PA11</f>
        <v>154.62</v>
      </c>
      <c r="PB5" s="90">
        <v>650</v>
      </c>
      <c r="PC5" s="20">
        <f t="shared" ref="PC5" si="80">PB5-PA5</f>
        <v>495.38</v>
      </c>
      <c r="PD5" s="88">
        <f t="shared" ref="PD5" si="81">(PB5-PA5)/PB5</f>
        <v>0.7621230769230769</v>
      </c>
      <c r="PF5" s="13" t="s">
        <v>566</v>
      </c>
      <c r="PG5" s="13">
        <f>SUM(PG16:PG17)</f>
        <v>279.95</v>
      </c>
      <c r="PH5" s="90">
        <v>600</v>
      </c>
      <c r="PI5" s="20">
        <f t="shared" si="69"/>
        <v>320.05</v>
      </c>
      <c r="PJ5" s="88">
        <f t="shared" si="70"/>
        <v>0.53341666666666665</v>
      </c>
      <c r="PL5" s="13" t="s">
        <v>567</v>
      </c>
      <c r="PM5" s="13">
        <f t="shared" si="71"/>
        <v>719.4</v>
      </c>
      <c r="PN5" s="97">
        <v>1199</v>
      </c>
      <c r="PO5" s="20">
        <f t="shared" si="72"/>
        <v>479.6</v>
      </c>
      <c r="PP5" s="88">
        <f t="shared" si="73"/>
        <v>0.4</v>
      </c>
      <c r="PR5" s="13" t="s">
        <v>568</v>
      </c>
      <c r="PT5" s="97" t="s">
        <v>569</v>
      </c>
      <c r="PX5" s="13">
        <f>SUM(PX3:PX4)</f>
        <v>389</v>
      </c>
      <c r="QN5" s="13" t="s">
        <v>539</v>
      </c>
      <c r="QO5" s="13">
        <v>272.35000000000002</v>
      </c>
      <c r="QP5" s="97">
        <v>499</v>
      </c>
      <c r="QQ5" s="20">
        <f t="shared" si="74"/>
        <v>226.64999999999998</v>
      </c>
      <c r="QR5" s="88">
        <f t="shared" si="75"/>
        <v>0.45420841683366731</v>
      </c>
      <c r="QT5" s="13" t="s">
        <v>570</v>
      </c>
      <c r="QU5" s="13">
        <v>19.989999999999998</v>
      </c>
      <c r="QV5" s="97">
        <v>45</v>
      </c>
      <c r="QW5" s="20">
        <f t="shared" si="19"/>
        <v>25.01</v>
      </c>
      <c r="QX5" s="88">
        <f t="shared" si="20"/>
        <v>0.55577777777777781</v>
      </c>
      <c r="RA5" s="13" t="s">
        <v>571</v>
      </c>
      <c r="RD5" s="13" t="s">
        <v>572</v>
      </c>
      <c r="RF5" s="13" t="s">
        <v>573</v>
      </c>
      <c r="RG5" s="13">
        <v>1900</v>
      </c>
      <c r="RH5" s="13">
        <v>1300</v>
      </c>
      <c r="RI5" s="13" t="s">
        <v>532</v>
      </c>
      <c r="RJ5" s="13" t="s">
        <v>533</v>
      </c>
      <c r="RK5" s="13" t="s">
        <v>534</v>
      </c>
      <c r="RM5" s="13" t="s">
        <v>574</v>
      </c>
      <c r="RQ5" s="13" t="s">
        <v>571</v>
      </c>
      <c r="RR5" s="13" t="s">
        <v>478</v>
      </c>
      <c r="RT5" s="13" t="s">
        <v>575</v>
      </c>
    </row>
    <row r="6" spans="1:494">
      <c r="A6" s="14"/>
      <c r="B6" s="14"/>
      <c r="C6" s="14"/>
      <c r="D6" s="14" t="s">
        <v>576</v>
      </c>
      <c r="E6" s="14"/>
      <c r="F6" s="14"/>
      <c r="G6" s="14"/>
      <c r="H6" s="14"/>
      <c r="I6" s="14"/>
      <c r="J6" s="14"/>
      <c r="K6" s="14"/>
      <c r="L6" s="14"/>
      <c r="M6" s="14"/>
      <c r="N6" s="14"/>
      <c r="O6" s="14"/>
      <c r="P6" s="14"/>
      <c r="Q6" s="14"/>
      <c r="R6" s="14"/>
      <c r="S6" s="14"/>
      <c r="T6" s="14"/>
      <c r="U6" s="14"/>
      <c r="V6" s="14"/>
      <c r="W6" s="14"/>
      <c r="X6" s="14"/>
      <c r="Y6" s="14"/>
      <c r="Z6" s="14"/>
      <c r="AA6" s="14"/>
      <c r="AB6" s="14"/>
      <c r="AC6" s="14"/>
      <c r="AD6" s="13" t="s">
        <v>577</v>
      </c>
      <c r="AE6" s="13">
        <v>216.84</v>
      </c>
      <c r="AF6" s="89">
        <v>216.84</v>
      </c>
      <c r="AG6" s="20">
        <f t="shared" si="27"/>
        <v>0</v>
      </c>
      <c r="AH6" s="88">
        <f t="shared" si="28"/>
        <v>0</v>
      </c>
      <c r="AJ6" s="13" t="s">
        <v>578</v>
      </c>
      <c r="AK6" s="13">
        <v>0</v>
      </c>
      <c r="AL6" s="90">
        <v>100</v>
      </c>
      <c r="AM6" s="20">
        <f t="shared" si="29"/>
        <v>100</v>
      </c>
      <c r="AN6" s="88">
        <f t="shared" si="30"/>
        <v>1</v>
      </c>
      <c r="AY6" s="13" t="s">
        <v>398</v>
      </c>
      <c r="AZ6" s="13" t="s">
        <v>579</v>
      </c>
      <c r="BA6" s="13" t="s">
        <v>580</v>
      </c>
      <c r="BB6" s="13" t="s">
        <v>402</v>
      </c>
      <c r="BZ6" s="13" t="s">
        <v>398</v>
      </c>
      <c r="CH6" s="16"/>
      <c r="CI6" s="20"/>
      <c r="CJ6" s="88"/>
      <c r="CO6" s="13" t="s">
        <v>490</v>
      </c>
      <c r="CP6" s="13">
        <f t="shared" ref="CP6:CP7" si="82">CQ13</f>
        <v>59.62</v>
      </c>
      <c r="CQ6" s="90">
        <v>150</v>
      </c>
      <c r="CR6" s="20">
        <f t="shared" si="76"/>
        <v>90.38</v>
      </c>
      <c r="CS6" s="88">
        <f t="shared" si="77"/>
        <v>0.60253333333333325</v>
      </c>
      <c r="CX6" s="13" t="s">
        <v>581</v>
      </c>
      <c r="EZ6" s="13" t="s">
        <v>582</v>
      </c>
      <c r="FA6" s="13">
        <f>FE23</f>
        <v>0</v>
      </c>
      <c r="FB6" s="23">
        <v>600</v>
      </c>
      <c r="FC6" s="20">
        <f t="shared" si="37"/>
        <v>600</v>
      </c>
      <c r="FD6" s="88">
        <f t="shared" si="38"/>
        <v>1</v>
      </c>
      <c r="FF6" s="13" t="s">
        <v>582</v>
      </c>
      <c r="FG6" s="13">
        <f>FK23</f>
        <v>282.62</v>
      </c>
      <c r="FH6" s="90">
        <v>600</v>
      </c>
      <c r="FI6" s="20">
        <f t="shared" si="39"/>
        <v>317.38</v>
      </c>
      <c r="FJ6" s="88">
        <f t="shared" si="40"/>
        <v>0.5289666666666667</v>
      </c>
      <c r="FL6" s="13" t="s">
        <v>583</v>
      </c>
      <c r="FM6" s="13">
        <v>399.6</v>
      </c>
      <c r="FN6" s="94">
        <v>649</v>
      </c>
      <c r="FO6" s="13">
        <f>FN6-FM6</f>
        <v>249.39999999999998</v>
      </c>
      <c r="FP6" s="88">
        <f>(FN6-FM6)/FN6</f>
        <v>0.38428351309707237</v>
      </c>
      <c r="FR6" s="13" t="s">
        <v>584</v>
      </c>
      <c r="FS6" s="13">
        <v>447.69</v>
      </c>
      <c r="FT6" s="89">
        <v>725</v>
      </c>
      <c r="FU6" s="20">
        <f t="shared" si="41"/>
        <v>277.31</v>
      </c>
      <c r="FV6" s="88">
        <f t="shared" si="42"/>
        <v>0.38249655172413793</v>
      </c>
      <c r="GA6" s="13" t="s">
        <v>585</v>
      </c>
      <c r="GB6" s="13">
        <v>404.55</v>
      </c>
      <c r="GC6" s="89">
        <v>670</v>
      </c>
      <c r="GD6" s="20">
        <f t="shared" si="43"/>
        <v>265.45</v>
      </c>
      <c r="GE6" s="88">
        <f t="shared" si="44"/>
        <v>0.39619402985074625</v>
      </c>
      <c r="GG6" s="13" t="s">
        <v>586</v>
      </c>
      <c r="GH6" s="95">
        <f t="shared" ref="GH6:GH8" si="83">GI6*0.65</f>
        <v>1169.3500000000001</v>
      </c>
      <c r="GI6" s="89">
        <v>1799</v>
      </c>
      <c r="GJ6" s="20">
        <f t="shared" si="45"/>
        <v>629.64999999999986</v>
      </c>
      <c r="GK6" s="88">
        <f t="shared" si="46"/>
        <v>0.34999999999999992</v>
      </c>
      <c r="HK6" s="16"/>
      <c r="HR6" s="13" t="s">
        <v>587</v>
      </c>
      <c r="HS6" s="13">
        <v>172.8</v>
      </c>
      <c r="HT6" s="90">
        <v>265</v>
      </c>
      <c r="HU6" s="20">
        <f t="shared" si="51"/>
        <v>92.199999999999989</v>
      </c>
      <c r="HV6" s="88">
        <f t="shared" si="52"/>
        <v>0.34792452830188675</v>
      </c>
      <c r="IW6" s="13" t="s">
        <v>588</v>
      </c>
      <c r="IX6" s="13">
        <v>82.49</v>
      </c>
      <c r="IY6" s="13">
        <f>IX6*2</f>
        <v>164.98</v>
      </c>
      <c r="JK6" s="96" t="s">
        <v>589</v>
      </c>
      <c r="JR6" s="13" t="s">
        <v>590</v>
      </c>
      <c r="JS6" s="13">
        <v>280.7</v>
      </c>
      <c r="JT6" s="90">
        <v>550</v>
      </c>
      <c r="JU6" s="20">
        <f t="shared" si="53"/>
        <v>269.3</v>
      </c>
      <c r="JV6" s="88">
        <f t="shared" si="54"/>
        <v>0.48963636363636365</v>
      </c>
      <c r="KD6" s="13" t="s">
        <v>591</v>
      </c>
      <c r="KE6" s="13">
        <f>KE5+KE10</f>
        <v>111.57</v>
      </c>
      <c r="KF6" s="89">
        <f>KF10+KF5</f>
        <v>275</v>
      </c>
      <c r="KG6" s="20">
        <f>KF6-KE6</f>
        <v>163.43</v>
      </c>
      <c r="KH6" s="88">
        <f t="shared" si="56"/>
        <v>0.59429090909090909</v>
      </c>
      <c r="KV6" s="13" t="s">
        <v>592</v>
      </c>
      <c r="KX6" s="21">
        <v>125</v>
      </c>
      <c r="KY6" s="20"/>
      <c r="KZ6" s="20"/>
      <c r="LH6" s="13" t="s">
        <v>593</v>
      </c>
      <c r="LI6" s="13">
        <v>4.13</v>
      </c>
      <c r="LJ6" s="13">
        <f>LI6*2</f>
        <v>8.26</v>
      </c>
      <c r="LN6" s="13" t="s">
        <v>594</v>
      </c>
      <c r="LO6" s="13">
        <v>989.96</v>
      </c>
      <c r="LZ6" s="13" t="s">
        <v>595</v>
      </c>
      <c r="MA6" s="13">
        <f>SUM(MA11,MA12,MA17)</f>
        <v>945.59</v>
      </c>
      <c r="MB6" s="89">
        <v>1995</v>
      </c>
      <c r="MC6" s="20">
        <f t="shared" si="78"/>
        <v>1049.4099999999999</v>
      </c>
      <c r="MD6" s="88">
        <f t="shared" si="79"/>
        <v>0.52602005012531317</v>
      </c>
      <c r="MO6" s="13" t="s">
        <v>596</v>
      </c>
      <c r="MP6" s="13">
        <v>1350</v>
      </c>
      <c r="MQ6" s="89">
        <v>1799</v>
      </c>
      <c r="MR6" s="88">
        <f t="shared" si="59"/>
        <v>0.24958310172317955</v>
      </c>
      <c r="MS6" s="88"/>
      <c r="MU6" s="88"/>
      <c r="MV6" s="88"/>
      <c r="MW6" s="88"/>
      <c r="ND6" s="13" t="s">
        <v>597</v>
      </c>
      <c r="NE6" s="13">
        <f>24.66/5</f>
        <v>4.9320000000000004</v>
      </c>
      <c r="NK6" s="13" t="s">
        <v>598</v>
      </c>
      <c r="NL6" s="97">
        <v>100</v>
      </c>
      <c r="NP6" s="13" t="s">
        <v>599</v>
      </c>
      <c r="NQ6" s="13">
        <f>6.99/2</f>
        <v>3.4950000000000001</v>
      </c>
      <c r="ON6" s="13" t="s">
        <v>600</v>
      </c>
      <c r="OO6" s="13">
        <v>187.5</v>
      </c>
      <c r="OP6" s="117">
        <v>249</v>
      </c>
      <c r="OQ6" s="20">
        <f t="shared" si="63"/>
        <v>61.5</v>
      </c>
      <c r="OR6" s="88">
        <f t="shared" si="64"/>
        <v>0.24698795180722891</v>
      </c>
      <c r="OT6" s="13" t="s">
        <v>601</v>
      </c>
      <c r="OU6" s="13">
        <v>8.5</v>
      </c>
      <c r="OV6" s="97">
        <v>12</v>
      </c>
      <c r="OW6" s="20">
        <f t="shared" si="65"/>
        <v>3.5</v>
      </c>
      <c r="OX6" s="88">
        <f t="shared" si="66"/>
        <v>0.29166666666666669</v>
      </c>
      <c r="OZ6" s="13" t="s">
        <v>602</v>
      </c>
      <c r="PA6" s="13">
        <f>PA10+PA11+PA12</f>
        <v>236.67000000000002</v>
      </c>
      <c r="PB6" s="90">
        <v>750</v>
      </c>
      <c r="PC6" s="20">
        <f>PB6-PA6</f>
        <v>513.32999999999993</v>
      </c>
      <c r="PD6" s="88">
        <f>(PB6-PA6)/PB6</f>
        <v>0.68443999999999994</v>
      </c>
      <c r="PH6" s="16">
        <f>SUM(PH4:PH5)</f>
        <v>1550</v>
      </c>
      <c r="PL6" s="13" t="s">
        <v>603</v>
      </c>
      <c r="PM6" s="13">
        <f t="shared" si="71"/>
        <v>839.4</v>
      </c>
      <c r="PN6" s="97">
        <v>1399</v>
      </c>
      <c r="PO6" s="20">
        <f t="shared" si="72"/>
        <v>559.6</v>
      </c>
      <c r="PP6" s="88">
        <f t="shared" si="73"/>
        <v>0.4</v>
      </c>
      <c r="QB6" s="13" t="s">
        <v>604</v>
      </c>
      <c r="QC6" s="13">
        <v>39.950000000000003</v>
      </c>
      <c r="QT6" s="13" t="s">
        <v>130</v>
      </c>
      <c r="QU6" s="13">
        <v>26.68</v>
      </c>
      <c r="QV6" s="97">
        <v>50</v>
      </c>
      <c r="QW6" s="20">
        <f t="shared" si="19"/>
        <v>23.32</v>
      </c>
      <c r="QX6" s="88">
        <f t="shared" si="20"/>
        <v>0.46639999999999998</v>
      </c>
      <c r="RA6" s="13" t="s">
        <v>605</v>
      </c>
      <c r="RD6" s="13" t="s">
        <v>606</v>
      </c>
      <c r="RF6" s="13" t="s">
        <v>607</v>
      </c>
      <c r="RG6" s="13">
        <v>1900</v>
      </c>
      <c r="RH6" s="13">
        <v>1400</v>
      </c>
      <c r="RI6" s="13" t="s">
        <v>532</v>
      </c>
      <c r="RJ6" s="13" t="s">
        <v>533</v>
      </c>
      <c r="RK6" s="13" t="s">
        <v>534</v>
      </c>
      <c r="RM6" s="13" t="s">
        <v>608</v>
      </c>
      <c r="RQ6" s="13" t="s">
        <v>605</v>
      </c>
      <c r="RR6" s="13">
        <v>5.6000000000000001E-2</v>
      </c>
      <c r="RV6" s="13" t="s">
        <v>609</v>
      </c>
    </row>
    <row r="7" spans="1:494">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F7" s="20"/>
      <c r="AG7" s="20"/>
      <c r="AH7" s="88"/>
      <c r="AJ7" s="13" t="s">
        <v>610</v>
      </c>
      <c r="AK7" s="13">
        <v>0</v>
      </c>
      <c r="AL7" s="90">
        <v>150</v>
      </c>
      <c r="AM7" s="20">
        <f t="shared" si="29"/>
        <v>150</v>
      </c>
      <c r="AN7" s="88">
        <f t="shared" si="30"/>
        <v>1</v>
      </c>
      <c r="AY7" s="13" t="s">
        <v>611</v>
      </c>
      <c r="AZ7" s="13">
        <v>24.93</v>
      </c>
      <c r="BA7" s="13">
        <v>3</v>
      </c>
      <c r="BB7" s="13">
        <f>BA7*AZ7</f>
        <v>74.789999999999992</v>
      </c>
      <c r="BK7" s="13" t="s">
        <v>398</v>
      </c>
      <c r="BM7" s="13" t="s">
        <v>612</v>
      </c>
      <c r="BQ7" s="13" t="s">
        <v>398</v>
      </c>
      <c r="BS7" s="13" t="s">
        <v>612</v>
      </c>
      <c r="BT7" s="13" t="s">
        <v>613</v>
      </c>
      <c r="BU7" s="13" t="s">
        <v>402</v>
      </c>
      <c r="BW7" s="13" t="s">
        <v>398</v>
      </c>
      <c r="BZ7" s="13" t="s">
        <v>614</v>
      </c>
      <c r="CA7" s="13">
        <v>39.99</v>
      </c>
      <c r="CB7" s="13" t="s">
        <v>615</v>
      </c>
      <c r="CC7" s="13">
        <v>0.4</v>
      </c>
      <c r="CD7" s="13">
        <f>CC7*10</f>
        <v>4</v>
      </c>
      <c r="CG7" s="13" t="s">
        <v>309</v>
      </c>
      <c r="CH7" s="13" t="s">
        <v>613</v>
      </c>
      <c r="CI7" s="13" t="s">
        <v>402</v>
      </c>
      <c r="CL7" s="13" t="s">
        <v>616</v>
      </c>
      <c r="CO7" s="13" t="s">
        <v>415</v>
      </c>
      <c r="CP7" s="13">
        <f t="shared" si="82"/>
        <v>71.543999999999997</v>
      </c>
      <c r="CQ7" s="90">
        <v>150</v>
      </c>
      <c r="CR7" s="20">
        <f t="shared" si="76"/>
        <v>78.456000000000003</v>
      </c>
      <c r="CS7" s="88">
        <f t="shared" si="77"/>
        <v>0.52304000000000006</v>
      </c>
      <c r="DA7" s="13" t="s">
        <v>398</v>
      </c>
      <c r="DG7" s="13" t="s">
        <v>398</v>
      </c>
      <c r="DM7" s="13" t="s">
        <v>398</v>
      </c>
      <c r="DN7" s="13" t="s">
        <v>617</v>
      </c>
      <c r="DO7" s="13" t="s">
        <v>618</v>
      </c>
      <c r="DP7" s="13" t="s">
        <v>619</v>
      </c>
      <c r="DV7" s="13" t="s">
        <v>398</v>
      </c>
      <c r="EB7" s="13" t="s">
        <v>398</v>
      </c>
      <c r="EH7" s="13" t="s">
        <v>398</v>
      </c>
      <c r="ET7" s="13" t="s">
        <v>398</v>
      </c>
      <c r="FL7" s="13" t="s">
        <v>620</v>
      </c>
      <c r="FM7" s="13">
        <v>433.2</v>
      </c>
      <c r="FN7" s="94">
        <v>722</v>
      </c>
      <c r="FO7" s="13">
        <f>FN7-FM7</f>
        <v>288.8</v>
      </c>
      <c r="FP7" s="88">
        <f>(FN7-FM7)/FN7</f>
        <v>0.4</v>
      </c>
      <c r="FR7" s="13" t="s">
        <v>621</v>
      </c>
      <c r="FS7" s="13">
        <v>506.35</v>
      </c>
      <c r="FT7" s="89">
        <v>820</v>
      </c>
      <c r="FU7" s="20">
        <f t="shared" si="41"/>
        <v>313.64999999999998</v>
      </c>
      <c r="FV7" s="88">
        <f t="shared" si="42"/>
        <v>0.38249999999999995</v>
      </c>
      <c r="GG7" s="13" t="s">
        <v>622</v>
      </c>
      <c r="GH7" s="95">
        <f t="shared" si="83"/>
        <v>2466.75</v>
      </c>
      <c r="GI7" s="89">
        <v>3795</v>
      </c>
      <c r="GJ7" s="20">
        <f t="shared" si="45"/>
        <v>1328.25</v>
      </c>
      <c r="GK7" s="88">
        <f t="shared" si="46"/>
        <v>0.35</v>
      </c>
      <c r="IS7" s="13" t="s">
        <v>623</v>
      </c>
      <c r="IW7" s="13" t="s">
        <v>624</v>
      </c>
      <c r="IX7" s="13">
        <v>62.55</v>
      </c>
      <c r="IY7" s="13">
        <f>IX7*2</f>
        <v>125.1</v>
      </c>
      <c r="JC7" s="13" t="s">
        <v>625</v>
      </c>
      <c r="LH7" s="13" t="s">
        <v>626</v>
      </c>
      <c r="LI7" s="13">
        <v>0.47</v>
      </c>
      <c r="LJ7" s="13">
        <f>LI7*2</f>
        <v>0.94</v>
      </c>
      <c r="LT7" s="13" t="s">
        <v>627</v>
      </c>
      <c r="LU7" s="13">
        <v>731.21</v>
      </c>
      <c r="MO7" s="13" t="s">
        <v>628</v>
      </c>
      <c r="MP7" s="13">
        <v>2625</v>
      </c>
      <c r="MQ7" s="89">
        <v>3499</v>
      </c>
      <c r="MR7" s="88">
        <f t="shared" si="59"/>
        <v>0.24978565304372677</v>
      </c>
      <c r="MS7" s="88"/>
      <c r="MT7" s="88"/>
      <c r="MU7" s="88"/>
      <c r="MV7" s="88"/>
      <c r="MW7" s="88"/>
      <c r="ND7" s="13" t="s">
        <v>629</v>
      </c>
      <c r="NE7" s="13">
        <f>24.66/5</f>
        <v>4.9320000000000004</v>
      </c>
      <c r="NP7" s="13" t="s">
        <v>630</v>
      </c>
      <c r="NQ7" s="13">
        <v>49.99</v>
      </c>
      <c r="ON7" s="13" t="s">
        <v>631</v>
      </c>
      <c r="OO7" s="13">
        <v>412.5</v>
      </c>
      <c r="OP7" s="117">
        <v>549</v>
      </c>
      <c r="OQ7" s="20">
        <f t="shared" si="63"/>
        <v>136.5</v>
      </c>
      <c r="OR7" s="88">
        <f t="shared" si="64"/>
        <v>0.24863387978142076</v>
      </c>
      <c r="OT7" s="13" t="s">
        <v>632</v>
      </c>
      <c r="OU7" s="13">
        <v>14.5</v>
      </c>
      <c r="OV7" s="97">
        <v>20</v>
      </c>
      <c r="OW7" s="20">
        <f t="shared" si="65"/>
        <v>5.5</v>
      </c>
      <c r="OX7" s="88">
        <f t="shared" si="66"/>
        <v>0.27500000000000002</v>
      </c>
      <c r="PL7" s="13" t="s">
        <v>633</v>
      </c>
      <c r="PM7" s="13">
        <f t="shared" si="71"/>
        <v>929.4</v>
      </c>
      <c r="PN7" s="97">
        <v>1549</v>
      </c>
      <c r="PO7" s="20">
        <f t="shared" si="72"/>
        <v>619.6</v>
      </c>
      <c r="PP7" s="88">
        <f t="shared" si="73"/>
        <v>0.4</v>
      </c>
      <c r="PR7" s="13" t="s">
        <v>634</v>
      </c>
      <c r="QB7" s="13" t="s">
        <v>635</v>
      </c>
      <c r="QC7" s="13">
        <v>4</v>
      </c>
      <c r="QT7" s="13" t="s">
        <v>131</v>
      </c>
      <c r="QU7" s="13">
        <v>26.68</v>
      </c>
      <c r="QV7" s="97">
        <v>50</v>
      </c>
      <c r="QW7" s="20">
        <f t="shared" si="19"/>
        <v>23.32</v>
      </c>
      <c r="QX7" s="88">
        <f t="shared" si="20"/>
        <v>0.46639999999999998</v>
      </c>
      <c r="RA7" s="13" t="s">
        <v>14</v>
      </c>
      <c r="RD7" s="13" t="s">
        <v>636</v>
      </c>
      <c r="RF7" s="13" t="s">
        <v>637</v>
      </c>
      <c r="RG7" s="13">
        <v>2200</v>
      </c>
      <c r="RH7" s="13">
        <v>1250</v>
      </c>
      <c r="RI7" s="13" t="s">
        <v>638</v>
      </c>
      <c r="RJ7" s="13" t="s">
        <v>639</v>
      </c>
      <c r="RK7" s="13" t="s">
        <v>534</v>
      </c>
      <c r="RM7" s="13" t="s">
        <v>640</v>
      </c>
      <c r="RQ7" s="13" t="s">
        <v>14</v>
      </c>
      <c r="RR7" s="13">
        <v>0.06</v>
      </c>
      <c r="RV7" s="13" t="str">
        <f>IF(RV4=PickUp_IN,"IN -",IF(RV4=PickUP_CO,"CO -",IF(RV4=PickUP_Del,"SYN -",0)))</f>
        <v>IN -</v>
      </c>
    </row>
    <row r="8" spans="1:494">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F8" s="20"/>
      <c r="AG8" s="20"/>
      <c r="AH8" s="88"/>
      <c r="AJ8" s="13" t="s">
        <v>641</v>
      </c>
      <c r="AK8" s="13">
        <v>0</v>
      </c>
      <c r="AL8" s="90">
        <v>100</v>
      </c>
      <c r="AM8" s="20">
        <f t="shared" ref="AM8" si="84">AL8-AK8</f>
        <v>100</v>
      </c>
      <c r="AN8" s="88">
        <f t="shared" si="30"/>
        <v>1</v>
      </c>
      <c r="BK8" s="13" t="s">
        <v>411</v>
      </c>
      <c r="BL8" s="13">
        <f>192.53</f>
        <v>192.53</v>
      </c>
      <c r="BM8" s="13" t="s">
        <v>642</v>
      </c>
      <c r="BQ8" s="13" t="s">
        <v>411</v>
      </c>
      <c r="BR8" s="13">
        <v>192.53</v>
      </c>
      <c r="BS8" s="13" t="s">
        <v>642</v>
      </c>
      <c r="BT8" s="13" t="s">
        <v>642</v>
      </c>
      <c r="BW8" s="13" t="s">
        <v>643</v>
      </c>
      <c r="BZ8" s="13" t="s">
        <v>644</v>
      </c>
      <c r="CA8" s="13">
        <v>9</v>
      </c>
      <c r="CB8" s="13" t="s">
        <v>645</v>
      </c>
      <c r="CC8" s="13">
        <f>9/20</f>
        <v>0.45</v>
      </c>
      <c r="CD8" s="93">
        <f>CC8*6</f>
        <v>2.7</v>
      </c>
      <c r="CF8" s="13" t="s">
        <v>646</v>
      </c>
      <c r="CG8" s="13">
        <v>119.24</v>
      </c>
      <c r="CH8" s="13">
        <v>0.5</v>
      </c>
      <c r="CI8" s="13">
        <f>CH8*CG8</f>
        <v>59.62</v>
      </c>
      <c r="CU8" s="13" t="s">
        <v>581</v>
      </c>
      <c r="CX8" s="13" t="s">
        <v>647</v>
      </c>
      <c r="DA8" s="13" t="s">
        <v>648</v>
      </c>
      <c r="DB8" s="13">
        <v>119.24</v>
      </c>
      <c r="DC8" s="13">
        <v>0.5</v>
      </c>
      <c r="DD8" s="13">
        <f>DC8*DB8</f>
        <v>59.62</v>
      </c>
      <c r="DG8" s="13" t="s">
        <v>649</v>
      </c>
      <c r="DH8" s="13">
        <v>119.24</v>
      </c>
      <c r="DI8" s="13">
        <v>2</v>
      </c>
      <c r="DJ8" s="13">
        <f>DI8*DH8</f>
        <v>238.48</v>
      </c>
      <c r="DM8" s="13" t="s">
        <v>650</v>
      </c>
      <c r="DN8" s="13">
        <v>2.2450000000000001</v>
      </c>
      <c r="DO8" s="13">
        <v>8</v>
      </c>
      <c r="DP8" s="13">
        <f>DO8*DN8</f>
        <v>17.96</v>
      </c>
      <c r="DS8" s="13" t="s">
        <v>581</v>
      </c>
      <c r="DV8" s="13" t="s">
        <v>651</v>
      </c>
      <c r="DW8" s="13">
        <v>119.24</v>
      </c>
      <c r="DX8" s="13">
        <v>0.33</v>
      </c>
      <c r="DY8" s="13">
        <f>DX8*DW8</f>
        <v>39.349200000000003</v>
      </c>
      <c r="EB8" s="13" t="s">
        <v>494</v>
      </c>
      <c r="EC8" s="13">
        <v>226.3</v>
      </c>
      <c r="ED8" s="13">
        <v>0.33</v>
      </c>
      <c r="EE8" s="13">
        <f>ED8*EC8</f>
        <v>74.679000000000002</v>
      </c>
      <c r="EH8" s="13" t="s">
        <v>648</v>
      </c>
      <c r="EI8" s="13">
        <v>119.24</v>
      </c>
      <c r="EJ8" s="13">
        <v>0.25</v>
      </c>
      <c r="EK8" s="13">
        <f>EJ8*EI8</f>
        <v>29.81</v>
      </c>
      <c r="EN8" s="13" t="s">
        <v>652</v>
      </c>
      <c r="ET8" s="13" t="s">
        <v>653</v>
      </c>
      <c r="EU8" s="13">
        <v>161</v>
      </c>
      <c r="EV8" s="13">
        <v>1</v>
      </c>
      <c r="EW8" s="13">
        <f>EV8*EU8</f>
        <v>161</v>
      </c>
      <c r="FH8" s="13" t="s">
        <v>654</v>
      </c>
      <c r="FI8" s="13" t="s">
        <v>655</v>
      </c>
      <c r="FJ8" s="13" t="s">
        <v>656</v>
      </c>
      <c r="FK8" s="13" t="s">
        <v>657</v>
      </c>
      <c r="FR8" s="13" t="s">
        <v>658</v>
      </c>
      <c r="FS8" s="13">
        <v>530.4</v>
      </c>
      <c r="FT8" s="94">
        <v>890</v>
      </c>
      <c r="FU8" s="20">
        <f>FT8-FS8</f>
        <v>359.6</v>
      </c>
      <c r="FV8" s="88">
        <f>(FT8-FS8)/FT8</f>
        <v>0.40404494382022477</v>
      </c>
      <c r="GG8" s="13" t="s">
        <v>659</v>
      </c>
      <c r="GH8" s="95">
        <f t="shared" si="83"/>
        <v>2274.35</v>
      </c>
      <c r="GI8" s="89">
        <v>3499</v>
      </c>
      <c r="GJ8" s="20">
        <f t="shared" si="45"/>
        <v>1224.6500000000001</v>
      </c>
      <c r="GK8" s="88">
        <f t="shared" si="46"/>
        <v>0.35000000000000003</v>
      </c>
      <c r="GR8" s="13" t="s">
        <v>660</v>
      </c>
      <c r="GX8" s="13" t="s">
        <v>660</v>
      </c>
      <c r="HD8" s="13" t="s">
        <v>660</v>
      </c>
      <c r="HJ8" s="13" t="s">
        <v>660</v>
      </c>
      <c r="HR8" s="13" t="s">
        <v>431</v>
      </c>
      <c r="HT8" s="13" t="s">
        <v>9</v>
      </c>
      <c r="IS8" s="13" t="s">
        <v>7</v>
      </c>
      <c r="IW8" s="13" t="s">
        <v>661</v>
      </c>
      <c r="IX8" s="13">
        <v>31.19</v>
      </c>
      <c r="JC8" s="13" t="s">
        <v>662</v>
      </c>
      <c r="JX8" s="13" t="s">
        <v>663</v>
      </c>
      <c r="LD8" s="13">
        <v>437</v>
      </c>
      <c r="LH8" s="13" t="s">
        <v>664</v>
      </c>
      <c r="LI8" s="13">
        <v>4.22</v>
      </c>
      <c r="LJ8" s="13">
        <f>LI8*2</f>
        <v>8.44</v>
      </c>
      <c r="LT8" s="13" t="s">
        <v>665</v>
      </c>
      <c r="LU8" s="13">
        <v>52.5</v>
      </c>
      <c r="MF8" s="13" t="s">
        <v>666</v>
      </c>
      <c r="MI8" s="13" t="s">
        <v>667</v>
      </c>
      <c r="MO8" s="13" t="s">
        <v>668</v>
      </c>
      <c r="MP8" s="13">
        <v>4500</v>
      </c>
      <c r="MQ8" s="89">
        <v>5999</v>
      </c>
      <c r="MR8" s="88">
        <f t="shared" si="59"/>
        <v>0.24987497916319387</v>
      </c>
      <c r="MS8" s="88"/>
      <c r="MT8" s="88"/>
      <c r="MU8" s="88"/>
      <c r="MV8" s="88"/>
      <c r="MW8" s="88"/>
      <c r="OH8" s="13" t="s">
        <v>669</v>
      </c>
      <c r="OI8" s="13">
        <v>15.58</v>
      </c>
      <c r="ON8" s="13" t="s">
        <v>670</v>
      </c>
      <c r="OO8" s="13">
        <v>600</v>
      </c>
      <c r="OP8" s="117">
        <v>799</v>
      </c>
      <c r="OQ8" s="20">
        <f t="shared" si="63"/>
        <v>199</v>
      </c>
      <c r="OR8" s="88">
        <f t="shared" si="64"/>
        <v>0.2490613266583229</v>
      </c>
      <c r="OT8" s="13" t="s">
        <v>671</v>
      </c>
      <c r="OU8" s="13">
        <v>9</v>
      </c>
      <c r="OV8" s="97">
        <v>20</v>
      </c>
      <c r="OW8" s="20">
        <f t="shared" si="65"/>
        <v>11</v>
      </c>
      <c r="OX8" s="88">
        <f t="shared" si="66"/>
        <v>0.55000000000000004</v>
      </c>
      <c r="PL8" s="13" t="s">
        <v>672</v>
      </c>
      <c r="PM8" s="13">
        <f t="shared" si="71"/>
        <v>959.4</v>
      </c>
      <c r="PN8" s="97">
        <v>1599</v>
      </c>
      <c r="PO8" s="20">
        <f t="shared" si="72"/>
        <v>639.6</v>
      </c>
      <c r="PP8" s="88">
        <f t="shared" si="73"/>
        <v>0.4</v>
      </c>
      <c r="PR8" s="13" t="s">
        <v>152</v>
      </c>
      <c r="QB8" s="13" t="s">
        <v>673</v>
      </c>
      <c r="QC8" s="13">
        <v>25</v>
      </c>
      <c r="RA8" s="13" t="s">
        <v>537</v>
      </c>
      <c r="RD8" s="13" t="s">
        <v>674</v>
      </c>
      <c r="RF8" s="13" t="s">
        <v>675</v>
      </c>
      <c r="RG8" s="13">
        <v>2200</v>
      </c>
      <c r="RH8" s="13">
        <v>1410</v>
      </c>
      <c r="RI8" s="13" t="s">
        <v>638</v>
      </c>
      <c r="RJ8" s="13" t="s">
        <v>639</v>
      </c>
      <c r="RK8" s="13" t="s">
        <v>534</v>
      </c>
      <c r="RM8" s="13" t="s">
        <v>676</v>
      </c>
      <c r="RQ8" s="13" t="s">
        <v>537</v>
      </c>
      <c r="RR8" s="13" t="s">
        <v>478</v>
      </c>
    </row>
    <row r="9" spans="1:494">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F9" s="20"/>
      <c r="AG9" s="20"/>
      <c r="AH9" s="88"/>
      <c r="AJ9" s="13" t="s">
        <v>677</v>
      </c>
      <c r="AK9" s="13">
        <v>0</v>
      </c>
      <c r="AL9" s="90">
        <v>100</v>
      </c>
      <c r="AM9" s="20">
        <f t="shared" si="29"/>
        <v>100</v>
      </c>
      <c r="AN9" s="88">
        <f t="shared" si="30"/>
        <v>1</v>
      </c>
      <c r="AY9" s="13" t="s">
        <v>678</v>
      </c>
      <c r="BK9" s="13" t="s">
        <v>679</v>
      </c>
      <c r="BL9" s="13">
        <v>238.04</v>
      </c>
      <c r="BM9" s="13">
        <f>BL9-BL8</f>
        <v>45.509999999999991</v>
      </c>
      <c r="BQ9" s="13" t="s">
        <v>679</v>
      </c>
      <c r="BR9" s="13">
        <v>238.04</v>
      </c>
      <c r="BS9" s="13">
        <f>BR9-BR8</f>
        <v>45.509999999999991</v>
      </c>
      <c r="BT9" s="13">
        <v>2</v>
      </c>
      <c r="BU9" s="13">
        <f>BT9*BS9</f>
        <v>91.019999999999982</v>
      </c>
      <c r="BZ9" s="13" t="s">
        <v>680</v>
      </c>
      <c r="CA9" s="13">
        <v>10.88</v>
      </c>
      <c r="CB9" s="13">
        <v>32</v>
      </c>
      <c r="CC9" s="13">
        <f>10.88/32</f>
        <v>0.34</v>
      </c>
      <c r="CD9" s="13">
        <f>CC9*6</f>
        <v>2.04</v>
      </c>
      <c r="CO9" s="13" t="s">
        <v>398</v>
      </c>
      <c r="CX9" s="13" t="b">
        <f>IF('INPUT (Quote)'!AB16=Bunk_Bed_Price,TRUE,FALSE)</f>
        <v>0</v>
      </c>
      <c r="DA9" s="13" t="s">
        <v>681</v>
      </c>
      <c r="DB9" s="13">
        <v>6.34</v>
      </c>
      <c r="DC9" s="13">
        <v>3</v>
      </c>
      <c r="DD9" s="13">
        <f t="shared" ref="DD9:DD10" si="85">DC9*DB9</f>
        <v>19.02</v>
      </c>
      <c r="DG9" s="13" t="s">
        <v>673</v>
      </c>
      <c r="DH9" s="13">
        <v>25</v>
      </c>
      <c r="DI9" s="13">
        <v>3</v>
      </c>
      <c r="DJ9" s="13">
        <f t="shared" ref="DJ9:DJ10" si="86">DI9*DH9</f>
        <v>75</v>
      </c>
      <c r="DM9" s="13" t="s">
        <v>682</v>
      </c>
      <c r="DN9" s="13">
        <v>4.6500000000000004</v>
      </c>
      <c r="DO9" s="13">
        <v>4</v>
      </c>
      <c r="DP9" s="13">
        <f t="shared" ref="DP9:DP10" si="87">DO9*DN9</f>
        <v>18.600000000000001</v>
      </c>
      <c r="DV9" s="13" t="s">
        <v>683</v>
      </c>
      <c r="DW9" s="13">
        <v>226.3</v>
      </c>
      <c r="DX9" s="13">
        <v>0.33</v>
      </c>
      <c r="DY9" s="13">
        <f>DX9*DW9</f>
        <v>74.679000000000002</v>
      </c>
      <c r="EB9" s="13" t="s">
        <v>651</v>
      </c>
      <c r="EC9" s="13">
        <v>119.24</v>
      </c>
      <c r="ED9" s="13">
        <v>0.33</v>
      </c>
      <c r="EE9" s="13">
        <f t="shared" ref="EE9:EE17" si="88">ED9*EC9</f>
        <v>39.349200000000003</v>
      </c>
      <c r="EH9" s="13" t="s">
        <v>684</v>
      </c>
      <c r="EI9" s="17">
        <v>1.73</v>
      </c>
      <c r="EJ9" s="17">
        <v>5</v>
      </c>
      <c r="EK9" s="13">
        <f>EJ9*EI9</f>
        <v>8.65</v>
      </c>
      <c r="EN9" s="13" t="b">
        <f>IF(Quote_Trailer_Size=Size_5x10,TRUE,FALSE)</f>
        <v>0</v>
      </c>
      <c r="ET9" s="13" t="s">
        <v>685</v>
      </c>
      <c r="EU9" s="13">
        <v>0.31</v>
      </c>
      <c r="EV9" s="13">
        <v>14</v>
      </c>
      <c r="EW9" s="13">
        <f t="shared" ref="EW9:EW10" si="89">EV9*EU9</f>
        <v>4.34</v>
      </c>
      <c r="FF9" s="13" t="s">
        <v>398</v>
      </c>
      <c r="FG9" s="13" t="s">
        <v>309</v>
      </c>
      <c r="FH9" s="13" t="s">
        <v>613</v>
      </c>
      <c r="FI9" s="13" t="s">
        <v>613</v>
      </c>
      <c r="FJ9" s="13" t="s">
        <v>613</v>
      </c>
      <c r="FK9" s="13" t="s">
        <v>613</v>
      </c>
      <c r="GQ9" s="13" t="s">
        <v>500</v>
      </c>
      <c r="GR9" s="16">
        <f>HD_Tire_Price+GS4</f>
        <v>375</v>
      </c>
      <c r="GW9" s="13" t="s">
        <v>500</v>
      </c>
      <c r="GX9" s="16">
        <f>HD_Tire_Price+GY4</f>
        <v>375</v>
      </c>
      <c r="HC9" s="13" t="s">
        <v>501</v>
      </c>
      <c r="HD9" s="16">
        <f>XL_Tire_Price+HE4</f>
        <v>675</v>
      </c>
      <c r="HI9" s="13" t="s">
        <v>502</v>
      </c>
      <c r="HJ9" s="16">
        <f>EOR_Tire_Price+HK4</f>
        <v>1450</v>
      </c>
      <c r="HR9" s="13" t="s">
        <v>686</v>
      </c>
      <c r="HS9" s="13">
        <v>143.19999999999999</v>
      </c>
      <c r="HT9" s="97">
        <v>200</v>
      </c>
      <c r="HU9" s="20">
        <f t="shared" ref="HU9" si="90">HT9-HS9</f>
        <v>56.800000000000011</v>
      </c>
      <c r="HV9" s="88">
        <f t="shared" ref="HV9" si="91">(HT9-HS9)/HT9</f>
        <v>0.28400000000000003</v>
      </c>
      <c r="JR9" s="13" t="s">
        <v>623</v>
      </c>
      <c r="JX9" s="13" t="s">
        <v>687</v>
      </c>
      <c r="JY9" s="13">
        <v>560</v>
      </c>
      <c r="JZ9" s="97">
        <v>1500</v>
      </c>
      <c r="KA9" s="20">
        <f>JZ9-JY9</f>
        <v>940</v>
      </c>
      <c r="KB9" s="88">
        <f>(JZ9-JY9)/JZ9</f>
        <v>0.62666666666666671</v>
      </c>
      <c r="KD9" s="13" t="s">
        <v>688</v>
      </c>
      <c r="KE9" s="13">
        <v>58.75</v>
      </c>
      <c r="KF9" s="13">
        <v>85</v>
      </c>
      <c r="KG9" s="20">
        <f>KF9-KE9</f>
        <v>26.25</v>
      </c>
      <c r="KH9" s="88">
        <f>(KF9-KE9)/KF9</f>
        <v>0.30882352941176472</v>
      </c>
      <c r="LJ9" s="13">
        <f>SUM(LJ6:LJ8)</f>
        <v>17.64</v>
      </c>
      <c r="LN9" s="13" t="s">
        <v>689</v>
      </c>
      <c r="LT9" s="13" t="s">
        <v>690</v>
      </c>
      <c r="LU9" s="13">
        <v>6.25</v>
      </c>
      <c r="LZ9" s="13">
        <v>35</v>
      </c>
      <c r="MA9" s="13">
        <v>86.11</v>
      </c>
      <c r="MF9" s="13" t="s">
        <v>7</v>
      </c>
      <c r="MI9" s="13" t="s">
        <v>7</v>
      </c>
      <c r="NJ9" s="13" t="s">
        <v>667</v>
      </c>
      <c r="OH9" s="13" t="s">
        <v>691</v>
      </c>
      <c r="OI9" s="13">
        <v>10.85</v>
      </c>
      <c r="ON9" s="13" t="s">
        <v>692</v>
      </c>
      <c r="OO9" s="13">
        <v>318.7</v>
      </c>
      <c r="OP9" s="97">
        <v>425</v>
      </c>
      <c r="OQ9" s="20">
        <f t="shared" si="63"/>
        <v>106.30000000000001</v>
      </c>
      <c r="OR9" s="88">
        <f t="shared" si="64"/>
        <v>0.25011764705882356</v>
      </c>
      <c r="OZ9" s="13" t="s">
        <v>693</v>
      </c>
      <c r="PA9" s="13">
        <v>379</v>
      </c>
      <c r="PF9" s="13" t="s">
        <v>694</v>
      </c>
      <c r="PG9" s="13">
        <v>43.91</v>
      </c>
      <c r="PL9" s="13" t="s">
        <v>695</v>
      </c>
      <c r="PM9" s="13">
        <f t="shared" si="71"/>
        <v>1019.4</v>
      </c>
      <c r="PN9" s="97">
        <v>1699</v>
      </c>
      <c r="PO9" s="20">
        <f t="shared" si="72"/>
        <v>679.6</v>
      </c>
      <c r="PP9" s="88">
        <f t="shared" si="73"/>
        <v>0.4</v>
      </c>
      <c r="PR9" s="13" t="s">
        <v>696</v>
      </c>
      <c r="QT9" s="13" t="s">
        <v>133</v>
      </c>
      <c r="QV9" s="97">
        <v>100</v>
      </c>
      <c r="RA9" s="13" t="s">
        <v>697</v>
      </c>
      <c r="RF9" s="13" t="s">
        <v>698</v>
      </c>
      <c r="RG9" s="13">
        <v>2200</v>
      </c>
      <c r="RH9" s="13">
        <v>1500</v>
      </c>
      <c r="RI9" s="13" t="s">
        <v>638</v>
      </c>
      <c r="RJ9" s="13" t="s">
        <v>639</v>
      </c>
      <c r="RK9" s="13" t="s">
        <v>534</v>
      </c>
      <c r="RQ9" s="13" t="s">
        <v>697</v>
      </c>
      <c r="RR9" s="13" t="s">
        <v>478</v>
      </c>
      <c r="RV9" s="13" t="s">
        <v>699</v>
      </c>
    </row>
    <row r="10" spans="1:494">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F10" s="20"/>
      <c r="AG10" s="20"/>
      <c r="AH10" s="88"/>
      <c r="AJ10" s="13" t="s">
        <v>700</v>
      </c>
      <c r="AK10" s="13">
        <v>0</v>
      </c>
      <c r="AL10" s="90">
        <v>100</v>
      </c>
      <c r="AM10" s="20">
        <f t="shared" si="29"/>
        <v>100</v>
      </c>
      <c r="AN10" s="88">
        <f t="shared" si="30"/>
        <v>1</v>
      </c>
      <c r="AY10" s="13" t="s">
        <v>701</v>
      </c>
      <c r="AZ10" s="13">
        <v>24.93</v>
      </c>
      <c r="BA10" s="13">
        <v>2</v>
      </c>
      <c r="BB10" s="13">
        <f>BA10*AZ10</f>
        <v>49.86</v>
      </c>
      <c r="BK10" s="13" t="s">
        <v>542</v>
      </c>
      <c r="BL10" s="13">
        <v>368.15</v>
      </c>
      <c r="BM10" s="13">
        <f>BL10-BL8</f>
        <v>175.61999999999998</v>
      </c>
      <c r="BQ10" s="13" t="s">
        <v>542</v>
      </c>
      <c r="BR10" s="13">
        <v>368.15</v>
      </c>
      <c r="BS10" s="13">
        <f>BR10-BR8</f>
        <v>175.61999999999998</v>
      </c>
      <c r="BT10" s="13">
        <v>2</v>
      </c>
      <c r="BU10" s="13">
        <f>BT10*BS10</f>
        <v>351.23999999999995</v>
      </c>
      <c r="CD10" s="13">
        <f>SUM(CD7:CD9)</f>
        <v>8.74</v>
      </c>
      <c r="CO10" s="13" t="s">
        <v>702</v>
      </c>
      <c r="CP10" s="13">
        <v>119.24</v>
      </c>
      <c r="CU10" s="13" t="s">
        <v>703</v>
      </c>
      <c r="DA10" s="13" t="s">
        <v>704</v>
      </c>
      <c r="DB10" s="13">
        <v>9.09</v>
      </c>
      <c r="DC10" s="13">
        <v>2</v>
      </c>
      <c r="DD10" s="13">
        <f t="shared" si="85"/>
        <v>18.18</v>
      </c>
      <c r="DG10" s="13" t="s">
        <v>705</v>
      </c>
      <c r="DH10" s="13">
        <v>-60</v>
      </c>
      <c r="DI10" s="13">
        <v>1</v>
      </c>
      <c r="DJ10" s="13">
        <f t="shared" si="86"/>
        <v>-60</v>
      </c>
      <c r="DM10" s="13" t="s">
        <v>706</v>
      </c>
      <c r="DN10" s="13">
        <v>119.24</v>
      </c>
      <c r="DO10" s="13">
        <v>0.15</v>
      </c>
      <c r="DP10" s="13">
        <f t="shared" si="87"/>
        <v>17.885999999999999</v>
      </c>
      <c r="DS10" s="13" t="s">
        <v>7</v>
      </c>
      <c r="DV10" s="13" t="s">
        <v>707</v>
      </c>
      <c r="DW10" s="13">
        <v>9.09</v>
      </c>
      <c r="DX10" s="13">
        <v>1</v>
      </c>
      <c r="DY10" s="13">
        <f>DW10</f>
        <v>9.09</v>
      </c>
      <c r="EB10" s="13" t="s">
        <v>708</v>
      </c>
      <c r="EC10" s="13">
        <f>216.84/4</f>
        <v>54.21</v>
      </c>
      <c r="ED10" s="13">
        <v>0.33</v>
      </c>
      <c r="EE10" s="13">
        <f t="shared" si="88"/>
        <v>17.889300000000002</v>
      </c>
      <c r="EK10" s="13">
        <f>SUM(EK8:EK9)</f>
        <v>38.46</v>
      </c>
      <c r="ET10" s="13" t="s">
        <v>709</v>
      </c>
      <c r="EU10" s="13">
        <v>119.24</v>
      </c>
      <c r="EV10" s="13">
        <v>0.5</v>
      </c>
      <c r="EW10" s="13">
        <f t="shared" si="89"/>
        <v>59.62</v>
      </c>
      <c r="FF10" s="13" t="s">
        <v>710</v>
      </c>
      <c r="FG10" s="13">
        <f>18+4</f>
        <v>22</v>
      </c>
      <c r="FH10" s="13">
        <v>2</v>
      </c>
      <c r="FI10" s="13">
        <v>3</v>
      </c>
      <c r="FJ10" s="13">
        <v>3</v>
      </c>
      <c r="FK10" s="13">
        <v>4</v>
      </c>
      <c r="GQ10" s="13" t="s">
        <v>501</v>
      </c>
      <c r="GR10" s="16">
        <f>HD_Tire_Price+GS5</f>
        <v>425</v>
      </c>
      <c r="GW10" s="13" t="s">
        <v>501</v>
      </c>
      <c r="GX10" s="16">
        <f>HD_Tire_Price+GY5</f>
        <v>425</v>
      </c>
      <c r="IU10" s="13">
        <v>41</v>
      </c>
      <c r="JI10" s="13" t="s">
        <v>711</v>
      </c>
      <c r="JK10" s="13">
        <v>115</v>
      </c>
      <c r="JR10" s="13" t="s">
        <v>7</v>
      </c>
      <c r="JX10" s="13" t="s">
        <v>712</v>
      </c>
      <c r="JY10" s="13">
        <v>56</v>
      </c>
      <c r="JZ10" s="97">
        <v>445</v>
      </c>
      <c r="KA10" s="20">
        <f>JZ10-JY10</f>
        <v>389</v>
      </c>
      <c r="KB10" s="88">
        <f>(JZ10-JY10)/JZ10</f>
        <v>0.87415730337078656</v>
      </c>
      <c r="KD10" s="13" t="s">
        <v>713</v>
      </c>
      <c r="KE10" s="13">
        <v>69.989999999999995</v>
      </c>
      <c r="KF10" s="13">
        <v>110</v>
      </c>
      <c r="KG10" s="20">
        <f>KF10-KE10</f>
        <v>40.010000000000005</v>
      </c>
      <c r="KH10" s="88">
        <f>(KF10-KE10)/KF10</f>
        <v>0.36372727272727279</v>
      </c>
      <c r="LD10" s="13">
        <v>37</v>
      </c>
      <c r="LE10" s="88">
        <f>LD10/$LD$8</f>
        <v>8.4668192219679639E-2</v>
      </c>
      <c r="LN10" s="13" t="b">
        <f>IF('INPUT (Quote)'!B52="x",TRUE,FALSE)</f>
        <v>0</v>
      </c>
      <c r="LT10" s="13" t="s">
        <v>714</v>
      </c>
      <c r="LU10" s="13">
        <v>10</v>
      </c>
      <c r="LZ10" s="13">
        <v>60</v>
      </c>
      <c r="MA10" s="13">
        <v>208.55</v>
      </c>
      <c r="MF10" s="13">
        <f>'INPUT (Quote)'!J57</f>
        <v>0</v>
      </c>
      <c r="MI10" s="13">
        <f>'INPUT (Quote)'!J57</f>
        <v>0</v>
      </c>
      <c r="NJ10" s="13" t="s">
        <v>715</v>
      </c>
      <c r="OH10" s="13" t="s">
        <v>716</v>
      </c>
      <c r="OI10" s="13">
        <v>25.35</v>
      </c>
      <c r="ON10" s="13" t="s">
        <v>717</v>
      </c>
      <c r="OO10" s="13">
        <v>487.5</v>
      </c>
      <c r="OP10" s="97">
        <v>649</v>
      </c>
      <c r="OQ10" s="20">
        <f t="shared" si="63"/>
        <v>161.5</v>
      </c>
      <c r="OR10" s="88">
        <f t="shared" si="64"/>
        <v>0.24884437596302003</v>
      </c>
      <c r="OZ10" s="13" t="s">
        <v>718</v>
      </c>
      <c r="PA10" s="13">
        <v>189.99</v>
      </c>
      <c r="PF10" s="13" t="s">
        <v>719</v>
      </c>
      <c r="PG10" s="13">
        <v>139</v>
      </c>
      <c r="PL10" s="13" t="s">
        <v>720</v>
      </c>
      <c r="PM10" s="13">
        <f t="shared" si="71"/>
        <v>989.4</v>
      </c>
      <c r="PN10" s="97">
        <v>1649</v>
      </c>
      <c r="PO10" s="20">
        <f t="shared" si="72"/>
        <v>659.6</v>
      </c>
      <c r="PP10" s="88">
        <f t="shared" si="73"/>
        <v>0.4</v>
      </c>
      <c r="PR10" s="13">
        <v>850</v>
      </c>
      <c r="RA10" s="13" t="s">
        <v>721</v>
      </c>
      <c r="RF10" s="13" t="s">
        <v>722</v>
      </c>
      <c r="RG10" s="13">
        <v>2200</v>
      </c>
      <c r="RH10" s="13">
        <v>1400</v>
      </c>
      <c r="RI10" s="13" t="s">
        <v>723</v>
      </c>
      <c r="RJ10" s="13" t="s">
        <v>724</v>
      </c>
      <c r="RK10" s="13" t="s">
        <v>534</v>
      </c>
      <c r="RQ10" s="13" t="s">
        <v>721</v>
      </c>
      <c r="RR10" s="13" t="s">
        <v>478</v>
      </c>
      <c r="RV10" s="13">
        <f>FBS_Model</f>
        <v>0</v>
      </c>
    </row>
    <row r="11" spans="1:494">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F11" s="20"/>
      <c r="AG11" s="20"/>
      <c r="AH11" s="88"/>
      <c r="AJ11" s="13" t="s">
        <v>725</v>
      </c>
      <c r="AK11" s="13">
        <v>0</v>
      </c>
      <c r="AL11" s="90">
        <v>100</v>
      </c>
      <c r="AM11" s="20">
        <f t="shared" si="29"/>
        <v>100</v>
      </c>
      <c r="AN11" s="88">
        <f t="shared" si="30"/>
        <v>1</v>
      </c>
      <c r="AY11" s="13" t="s">
        <v>726</v>
      </c>
      <c r="AZ11" s="13">
        <v>36.6</v>
      </c>
      <c r="BA11" s="13">
        <v>2</v>
      </c>
      <c r="BB11" s="13">
        <f>BA11*AZ11</f>
        <v>73.2</v>
      </c>
      <c r="CO11" s="13" t="s">
        <v>727</v>
      </c>
      <c r="CP11" s="13">
        <v>0.25</v>
      </c>
      <c r="CQ11" s="13">
        <f>CP11*$CP$10</f>
        <v>29.81</v>
      </c>
      <c r="CU11" s="13" t="b">
        <f>IF(OR('INPUT (Quote)'!AB18=DC4,'INPUT (Quote)'!AB18=DC3),TRUE,FALSE)</f>
        <v>0</v>
      </c>
      <c r="DA11" s="13" t="s">
        <v>673</v>
      </c>
      <c r="DB11" s="13">
        <v>25</v>
      </c>
      <c r="DC11" s="13">
        <v>1</v>
      </c>
      <c r="DD11" s="13">
        <v>25</v>
      </c>
      <c r="DJ11" s="13">
        <f>SUM(DJ8:DJ10)</f>
        <v>253.48000000000002</v>
      </c>
      <c r="DM11" s="13" t="s">
        <v>728</v>
      </c>
      <c r="DP11" s="13">
        <f>SUM(DP8:DP10)</f>
        <v>54.445999999999998</v>
      </c>
      <c r="DS11" s="13">
        <f>'INPUT (Quote)'!H19</f>
        <v>0</v>
      </c>
      <c r="DW11" s="13" t="s">
        <v>729</v>
      </c>
      <c r="DY11" s="13">
        <f>SUM(DY9:DY10)</f>
        <v>83.769000000000005</v>
      </c>
      <c r="EB11" s="13" t="s">
        <v>730</v>
      </c>
      <c r="EC11" s="13">
        <v>21.72</v>
      </c>
      <c r="ED11" s="13">
        <v>0.33</v>
      </c>
      <c r="EE11" s="13">
        <f t="shared" si="88"/>
        <v>7.1676000000000002</v>
      </c>
      <c r="EW11" s="13">
        <f>SUM(EW8:EW10)</f>
        <v>224.96</v>
      </c>
      <c r="FF11" s="13" t="s">
        <v>731</v>
      </c>
      <c r="FG11" s="13">
        <v>16.510000000000002</v>
      </c>
      <c r="FH11" s="13">
        <v>4</v>
      </c>
      <c r="FI11" s="13">
        <v>4</v>
      </c>
      <c r="FJ11" s="13">
        <v>6</v>
      </c>
      <c r="FK11" s="13">
        <v>6</v>
      </c>
      <c r="IS11" s="13" t="s">
        <v>732</v>
      </c>
      <c r="IU11" s="13">
        <v>5</v>
      </c>
      <c r="IW11" s="13" t="s">
        <v>588</v>
      </c>
      <c r="IX11" s="13">
        <v>161.18</v>
      </c>
      <c r="JC11" s="13" t="s">
        <v>733</v>
      </c>
      <c r="JK11" s="13">
        <v>72</v>
      </c>
      <c r="JR11" s="13" t="str">
        <f>FBS_Toolbox</f>
        <v/>
      </c>
      <c r="LD11" s="13">
        <v>37</v>
      </c>
      <c r="LE11" s="88">
        <f t="shared" ref="LE11:LE12" si="92">LD11/$LD$8</f>
        <v>8.4668192219679639E-2</v>
      </c>
      <c r="LT11" s="13" t="s">
        <v>734</v>
      </c>
      <c r="LU11" s="13">
        <v>11.19</v>
      </c>
      <c r="LZ11" s="13">
        <v>100</v>
      </c>
      <c r="MA11" s="13">
        <v>827.2</v>
      </c>
      <c r="ND11" s="13" t="s">
        <v>623</v>
      </c>
      <c r="NJ11" s="13" t="b">
        <f>IF('INPUT (Quote)'!B44="x",TRUE,FALSE)</f>
        <v>0</v>
      </c>
      <c r="OH11" s="13" t="s">
        <v>735</v>
      </c>
      <c r="OI11" s="13">
        <v>9.99</v>
      </c>
      <c r="ON11" s="13" t="s">
        <v>463</v>
      </c>
      <c r="OO11" s="13">
        <v>340</v>
      </c>
      <c r="OP11" s="97">
        <f>OO27+OO26</f>
        <v>475</v>
      </c>
      <c r="OQ11" s="20">
        <f t="shared" ref="OQ11:OQ12" si="93">OP11-OO11</f>
        <v>135</v>
      </c>
      <c r="OR11" s="88">
        <f t="shared" ref="OR11:OR12" si="94">(OP11-OO11)/OP11</f>
        <v>0.28421052631578947</v>
      </c>
      <c r="OZ11" s="13" t="s">
        <v>736</v>
      </c>
      <c r="PA11" s="13">
        <v>35.19</v>
      </c>
      <c r="PF11" s="13" t="s">
        <v>737</v>
      </c>
      <c r="PG11" s="13">
        <v>7.76</v>
      </c>
      <c r="PR11" s="13">
        <v>1250</v>
      </c>
      <c r="RA11" s="13" t="s">
        <v>738</v>
      </c>
      <c r="RF11" s="13" t="s">
        <v>739</v>
      </c>
      <c r="RG11" s="13">
        <v>2200</v>
      </c>
      <c r="RH11" s="13">
        <v>1500</v>
      </c>
      <c r="RI11" s="13" t="s">
        <v>723</v>
      </c>
      <c r="RJ11" s="13" t="s">
        <v>724</v>
      </c>
      <c r="RK11" s="13" t="s">
        <v>534</v>
      </c>
      <c r="RQ11" s="13" t="s">
        <v>738</v>
      </c>
      <c r="RR11" s="13" t="s">
        <v>478</v>
      </c>
    </row>
    <row r="12" spans="1:494">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F12" s="20"/>
      <c r="AG12" s="20"/>
      <c r="AH12" s="88"/>
      <c r="AJ12" s="13" t="s">
        <v>740</v>
      </c>
      <c r="AK12" s="13">
        <v>0</v>
      </c>
      <c r="AL12" s="90">
        <v>150</v>
      </c>
      <c r="AM12" s="20">
        <f t="shared" si="29"/>
        <v>150</v>
      </c>
      <c r="AN12" s="88">
        <f t="shared" si="30"/>
        <v>1</v>
      </c>
      <c r="BB12" s="13">
        <f>SUM(BB10:BB11)</f>
        <v>123.06</v>
      </c>
      <c r="BE12" s="88">
        <f>87/434</f>
        <v>0.20046082949308755</v>
      </c>
      <c r="BF12" s="13" t="s">
        <v>741</v>
      </c>
      <c r="BX12" s="13" t="s">
        <v>742</v>
      </c>
      <c r="CO12" s="13" t="s">
        <v>743</v>
      </c>
      <c r="CP12" s="13">
        <v>0.25</v>
      </c>
      <c r="CQ12" s="13">
        <f t="shared" ref="CQ12:CQ14" si="95">CP12*$CP$10</f>
        <v>29.81</v>
      </c>
      <c r="DD12" s="13">
        <f>SUM(DD8:DD11)</f>
        <v>121.82</v>
      </c>
      <c r="DW12" s="13" t="s">
        <v>744</v>
      </c>
      <c r="DY12" s="13">
        <f>SUM(DY8,DY10)</f>
        <v>48.4392</v>
      </c>
      <c r="EB12" s="13" t="s">
        <v>745</v>
      </c>
      <c r="EC12" s="13">
        <f>9.89/5</f>
        <v>1.9780000000000002</v>
      </c>
      <c r="ED12" s="13">
        <v>2</v>
      </c>
      <c r="EE12" s="13">
        <f t="shared" si="88"/>
        <v>3.9560000000000004</v>
      </c>
      <c r="EN12" s="13" t="s">
        <v>746</v>
      </c>
      <c r="EZ12" s="13" t="s">
        <v>747</v>
      </c>
      <c r="FF12" s="13" t="s">
        <v>748</v>
      </c>
      <c r="FG12" s="13">
        <v>27.42</v>
      </c>
      <c r="FH12" s="13">
        <v>0</v>
      </c>
      <c r="FI12" s="13">
        <v>2</v>
      </c>
      <c r="FJ12" s="13">
        <v>0</v>
      </c>
      <c r="FK12" s="13">
        <v>2</v>
      </c>
      <c r="FS12" s="13" t="s">
        <v>749</v>
      </c>
      <c r="FT12" s="88">
        <f>34/437</f>
        <v>7.780320366132723E-2</v>
      </c>
      <c r="HR12" s="13" t="s">
        <v>503</v>
      </c>
      <c r="HT12" s="16">
        <f>SUM(HT4,HT9)</f>
        <v>445</v>
      </c>
      <c r="IR12" s="13" t="s">
        <v>588</v>
      </c>
      <c r="IS12" s="13" t="s">
        <v>750</v>
      </c>
      <c r="IU12" s="88">
        <f>5/41</f>
        <v>0.12195121951219512</v>
      </c>
      <c r="IW12" s="13" t="s">
        <v>751</v>
      </c>
      <c r="IX12" s="13">
        <v>423.41</v>
      </c>
      <c r="IY12" s="13">
        <f>IX12-IX11</f>
        <v>262.23</v>
      </c>
      <c r="JC12" s="13" t="s">
        <v>752</v>
      </c>
      <c r="JI12" s="13" t="s">
        <v>753</v>
      </c>
      <c r="JK12" s="88">
        <f>72/115</f>
        <v>0.62608695652173918</v>
      </c>
      <c r="JX12" s="13" t="s">
        <v>754</v>
      </c>
      <c r="JZ12" s="13">
        <v>1945</v>
      </c>
      <c r="LD12" s="13">
        <v>360</v>
      </c>
      <c r="LE12" s="88">
        <f t="shared" si="92"/>
        <v>0.82379862700228834</v>
      </c>
      <c r="LN12" s="13" t="s">
        <v>755</v>
      </c>
      <c r="LU12" s="13">
        <f>SUM(LU7:LU11)</f>
        <v>811.15000000000009</v>
      </c>
      <c r="LZ12" s="13" t="s">
        <v>756</v>
      </c>
      <c r="MA12" s="13">
        <v>105.99</v>
      </c>
      <c r="MF12" s="13" t="s">
        <v>757</v>
      </c>
      <c r="MI12" s="13" t="s">
        <v>758</v>
      </c>
      <c r="ND12" s="13" t="s">
        <v>759</v>
      </c>
      <c r="ON12" s="13" t="s">
        <v>760</v>
      </c>
      <c r="OO12" s="13">
        <v>480</v>
      </c>
      <c r="OP12" s="97">
        <f>OO28+OO26</f>
        <v>675</v>
      </c>
      <c r="OQ12" s="20">
        <f t="shared" si="93"/>
        <v>195</v>
      </c>
      <c r="OR12" s="88">
        <f t="shared" si="94"/>
        <v>0.28888888888888886</v>
      </c>
      <c r="OZ12" s="13" t="s">
        <v>761</v>
      </c>
      <c r="PA12" s="13">
        <v>11.49</v>
      </c>
      <c r="PF12" s="13" t="s">
        <v>762</v>
      </c>
      <c r="PG12" s="13">
        <f>8*0.21</f>
        <v>1.68</v>
      </c>
      <c r="RA12" s="13" t="s">
        <v>763</v>
      </c>
      <c r="RF12" s="13" t="s">
        <v>764</v>
      </c>
      <c r="RG12" s="13">
        <v>2200</v>
      </c>
      <c r="RH12" s="13">
        <v>1600</v>
      </c>
      <c r="RI12" s="13" t="s">
        <v>723</v>
      </c>
      <c r="RJ12" s="13" t="s">
        <v>724</v>
      </c>
      <c r="RK12" s="13" t="s">
        <v>534</v>
      </c>
      <c r="RQ12" s="13" t="s">
        <v>763</v>
      </c>
      <c r="RR12" s="13">
        <v>0.06</v>
      </c>
      <c r="RV12" s="13" t="str">
        <f>Highway_Deluxe</f>
        <v>Highway Deluxe</v>
      </c>
      <c r="RW12" s="13" t="s">
        <v>765</v>
      </c>
      <c r="RY12" s="13" t="s">
        <v>766</v>
      </c>
    </row>
    <row r="13" spans="1:494">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F13" s="20"/>
      <c r="AG13" s="20"/>
      <c r="AH13" s="88"/>
      <c r="AJ13" s="13" t="s">
        <v>767</v>
      </c>
      <c r="AK13" s="13">
        <v>0</v>
      </c>
      <c r="AL13" s="90">
        <v>150</v>
      </c>
      <c r="AM13" s="20">
        <f t="shared" ref="AM13" si="96">AL13-AK13</f>
        <v>150</v>
      </c>
      <c r="AN13" s="88">
        <f t="shared" ref="AN13" si="97">(AL13-AK13)/AL13</f>
        <v>1</v>
      </c>
      <c r="CO13" s="13" t="s">
        <v>768</v>
      </c>
      <c r="CP13" s="13">
        <v>0.5</v>
      </c>
      <c r="CQ13" s="13">
        <f t="shared" si="95"/>
        <v>59.62</v>
      </c>
      <c r="CU13" s="13" t="s">
        <v>7</v>
      </c>
      <c r="CX13" s="13" t="s">
        <v>7</v>
      </c>
      <c r="DA13" s="13" t="s">
        <v>491</v>
      </c>
      <c r="DB13" s="13" t="s">
        <v>769</v>
      </c>
      <c r="DC13" s="13">
        <f>-(DD10)</f>
        <v>-18.18</v>
      </c>
      <c r="DD13" s="13">
        <f>DD12+DC13</f>
        <v>103.63999999999999</v>
      </c>
      <c r="DS13" s="13" t="s">
        <v>770</v>
      </c>
      <c r="EB13" s="13" t="s">
        <v>771</v>
      </c>
      <c r="EC13" s="93">
        <f>4.31/14</f>
        <v>0.30785714285714283</v>
      </c>
      <c r="ED13" s="13">
        <v>12</v>
      </c>
      <c r="EE13" s="13">
        <f t="shared" si="88"/>
        <v>3.694285714285714</v>
      </c>
      <c r="EN13" s="13" t="b">
        <f>IF(Logic_Bunk_Bed=TRUE,TRUE,FALSE)</f>
        <v>0</v>
      </c>
      <c r="ET13" s="13" t="s">
        <v>625</v>
      </c>
      <c r="FF13" s="13" t="s">
        <v>772</v>
      </c>
      <c r="FG13" s="13">
        <v>0.45</v>
      </c>
      <c r="FH13" s="13">
        <v>4</v>
      </c>
      <c r="FI13" s="13">
        <v>6</v>
      </c>
      <c r="FJ13" s="13">
        <v>6</v>
      </c>
      <c r="FK13" s="13">
        <v>8</v>
      </c>
      <c r="FS13" s="13" t="s">
        <v>773</v>
      </c>
      <c r="FT13" s="88">
        <f>185/437</f>
        <v>0.42334096109839819</v>
      </c>
      <c r="GQ13" s="13" t="s">
        <v>774</v>
      </c>
      <c r="GR13" s="13" t="s">
        <v>775</v>
      </c>
      <c r="HR13" s="13" t="s">
        <v>549</v>
      </c>
      <c r="HT13" s="16">
        <f>HT5+HT9</f>
        <v>455</v>
      </c>
      <c r="IR13" s="13" t="s">
        <v>776</v>
      </c>
      <c r="IS13" s="13" t="s">
        <v>777</v>
      </c>
      <c r="IW13" s="13" t="s">
        <v>776</v>
      </c>
      <c r="IX13" s="13">
        <v>387.62</v>
      </c>
      <c r="JC13" s="13" t="b">
        <f>IF('INPUT (Quote)'!B37="x",TRUE,FALSE)</f>
        <v>0</v>
      </c>
      <c r="JI13" s="13" t="s">
        <v>778</v>
      </c>
      <c r="JR13" s="13" t="s">
        <v>779</v>
      </c>
      <c r="KD13" s="13" t="s">
        <v>780</v>
      </c>
      <c r="LN13" s="13" t="b">
        <f>IF('INPUT (Quote)'!B31="x",TRUE,FALSE)</f>
        <v>0</v>
      </c>
      <c r="LZ13" s="13" t="s">
        <v>781</v>
      </c>
      <c r="MA13" s="13">
        <v>12.7</v>
      </c>
      <c r="MF13" s="13" t="b">
        <f>IF(MF10=LZ2,FALSE,TRUE)</f>
        <v>0</v>
      </c>
      <c r="MI13" s="13" t="b">
        <f>IF(OR(MI10=LZ5,MI10=LZ6),TRUE,FALSE)</f>
        <v>0</v>
      </c>
      <c r="MO13" s="13" t="s">
        <v>666</v>
      </c>
      <c r="ND13" s="13" t="b">
        <f>IF(FBS_110Front="x",TRUE,FALSE)</f>
        <v>0</v>
      </c>
      <c r="NJ13" s="13" t="s">
        <v>623</v>
      </c>
      <c r="OZ13" s="13" t="s">
        <v>782</v>
      </c>
      <c r="PA13" s="13">
        <v>349</v>
      </c>
      <c r="PF13" s="13" t="s">
        <v>783</v>
      </c>
      <c r="PG13" s="13">
        <v>59.99</v>
      </c>
      <c r="PL13" s="13" t="s">
        <v>784</v>
      </c>
      <c r="PM13" s="13">
        <v>234.54</v>
      </c>
      <c r="PN13" s="97">
        <v>450</v>
      </c>
      <c r="PO13" s="20">
        <f t="shared" ref="PO13" si="98">PN13-PM13</f>
        <v>215.46</v>
      </c>
      <c r="PP13" s="88">
        <f t="shared" ref="PP13" si="99">(PN13-PM13)/PN13</f>
        <v>0.4788</v>
      </c>
      <c r="RA13" s="13" t="s">
        <v>785</v>
      </c>
      <c r="RF13" s="13" t="s">
        <v>786</v>
      </c>
      <c r="RG13" s="13">
        <v>2900</v>
      </c>
      <c r="RH13" s="13">
        <v>1920</v>
      </c>
      <c r="RI13" s="13" t="s">
        <v>787</v>
      </c>
      <c r="RJ13" s="13" t="s">
        <v>788</v>
      </c>
      <c r="RK13" s="13" t="s">
        <v>534</v>
      </c>
      <c r="RQ13" s="13" t="s">
        <v>785</v>
      </c>
      <c r="RR13" s="13" t="s">
        <v>478</v>
      </c>
      <c r="RV13" s="13" t="str">
        <f>MidRange_Deluxe</f>
        <v>Mid Range Deluxe</v>
      </c>
      <c r="RW13" s="13" t="s">
        <v>789</v>
      </c>
      <c r="RY13" s="13" t="s">
        <v>766</v>
      </c>
    </row>
    <row r="14" spans="1:49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F14" s="20"/>
      <c r="AG14" s="20"/>
      <c r="AH14" s="88"/>
      <c r="CO14" s="13" t="s">
        <v>790</v>
      </c>
      <c r="CP14" s="13">
        <v>0.6</v>
      </c>
      <c r="CQ14" s="13">
        <f t="shared" si="95"/>
        <v>71.543999999999997</v>
      </c>
      <c r="CU14" s="13" t="str">
        <f>'INPUT (Quote)'!G17</f>
        <v>Open</v>
      </c>
      <c r="CX14" s="13" t="str">
        <f>'INPUT (Quote)'!G17</f>
        <v>Open</v>
      </c>
      <c r="DS14" s="13" t="b">
        <f>IF(AND('INPUT (Quote)'!B19="x",Logic_Bunk_Bed=TRUE),TRUE,FALSE)</f>
        <v>0</v>
      </c>
      <c r="EB14" s="13" t="s">
        <v>791</v>
      </c>
      <c r="EC14" s="13">
        <f>10.79/20</f>
        <v>0.53949999999999998</v>
      </c>
      <c r="ED14" s="13">
        <v>2</v>
      </c>
      <c r="EE14" s="13">
        <f t="shared" si="88"/>
        <v>1.079</v>
      </c>
      <c r="ET14" s="13" t="s">
        <v>792</v>
      </c>
      <c r="EZ14" s="13" t="s">
        <v>757</v>
      </c>
      <c r="FF14" s="13" t="s">
        <v>793</v>
      </c>
      <c r="FG14" s="13">
        <v>3.76</v>
      </c>
      <c r="FH14" s="13">
        <v>4</v>
      </c>
      <c r="FI14" s="13">
        <v>4</v>
      </c>
      <c r="FJ14" s="13">
        <v>6</v>
      </c>
      <c r="FK14" s="13">
        <v>8</v>
      </c>
      <c r="GW14" s="13" t="s">
        <v>623</v>
      </c>
      <c r="HR14" s="13" t="s">
        <v>587</v>
      </c>
      <c r="HT14" s="16">
        <f>HT9+HT6</f>
        <v>465</v>
      </c>
      <c r="IR14" s="13" t="s">
        <v>606</v>
      </c>
      <c r="IS14" s="13" t="s">
        <v>777</v>
      </c>
      <c r="IW14" s="13" t="s">
        <v>794</v>
      </c>
      <c r="IX14" s="13">
        <v>553.62</v>
      </c>
      <c r="IY14" s="13">
        <f>IX14-IX13</f>
        <v>166</v>
      </c>
      <c r="JI14" s="13" t="s">
        <v>795</v>
      </c>
      <c r="JR14" s="13" t="b">
        <f>IF(OR(JR11=JR6,FBS_FridgeBox="x"),TRUE,FALSE)</f>
        <v>0</v>
      </c>
      <c r="LT14" s="13" t="s">
        <v>449</v>
      </c>
      <c r="LU14" s="13">
        <v>946.3</v>
      </c>
      <c r="LZ14" s="13" t="s">
        <v>796</v>
      </c>
      <c r="MA14" s="13">
        <v>5.6</v>
      </c>
      <c r="MO14" s="13" t="s">
        <v>7</v>
      </c>
      <c r="NJ14" s="13" t="s">
        <v>797</v>
      </c>
      <c r="OZ14" s="13" t="s">
        <v>798</v>
      </c>
      <c r="PA14" s="13">
        <v>107.94</v>
      </c>
      <c r="PF14" s="13" t="s">
        <v>799</v>
      </c>
      <c r="PG14" s="13">
        <v>101.89</v>
      </c>
      <c r="RA14" s="13" t="s">
        <v>800</v>
      </c>
      <c r="RF14" s="13" t="s">
        <v>801</v>
      </c>
      <c r="RG14" s="13">
        <v>2900</v>
      </c>
      <c r="RH14" s="13">
        <v>2165</v>
      </c>
      <c r="RI14" s="13" t="s">
        <v>787</v>
      </c>
      <c r="RJ14" s="13" t="s">
        <v>788</v>
      </c>
      <c r="RK14" s="13" t="s">
        <v>534</v>
      </c>
      <c r="RQ14" s="13" t="s">
        <v>800</v>
      </c>
      <c r="RR14" s="13">
        <v>0.04</v>
      </c>
      <c r="RV14" s="13" t="str">
        <f>MidRange_XL</f>
        <v>Mid Range XL</v>
      </c>
      <c r="RW14" s="13" t="s">
        <v>789</v>
      </c>
      <c r="RY14" s="13" t="s">
        <v>802</v>
      </c>
    </row>
    <row r="15" spans="1:494">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F15" s="20"/>
      <c r="AG15" s="20"/>
      <c r="AH15" s="88"/>
      <c r="EB15" s="13" t="s">
        <v>803</v>
      </c>
      <c r="EC15" s="13">
        <f>55.6/30</f>
        <v>1.8533333333333333</v>
      </c>
      <c r="ED15" s="13">
        <v>12</v>
      </c>
      <c r="EE15" s="13">
        <f t="shared" si="88"/>
        <v>22.24</v>
      </c>
      <c r="EZ15" s="13" t="b">
        <f>IF(RTT_Required=TRUE,TRUE,FALSE)</f>
        <v>0</v>
      </c>
      <c r="FF15" s="13" t="s">
        <v>804</v>
      </c>
      <c r="FG15" s="13">
        <v>0.22</v>
      </c>
      <c r="FH15" s="13">
        <v>16</v>
      </c>
      <c r="FI15" s="13">
        <v>24</v>
      </c>
      <c r="FJ15" s="13">
        <v>24</v>
      </c>
      <c r="FK15" s="13">
        <v>32</v>
      </c>
      <c r="GN15" s="13" t="s">
        <v>588</v>
      </c>
      <c r="GQ15" s="13" t="s">
        <v>805</v>
      </c>
      <c r="GR15" s="90">
        <v>225</v>
      </c>
      <c r="GS15" s="13">
        <v>225</v>
      </c>
      <c r="GW15" s="13" t="s">
        <v>7</v>
      </c>
      <c r="IR15" s="13" t="s">
        <v>806</v>
      </c>
      <c r="IS15" s="13" t="s">
        <v>807</v>
      </c>
      <c r="IW15" s="13" t="s">
        <v>606</v>
      </c>
      <c r="IX15" s="13">
        <v>373.62</v>
      </c>
      <c r="JC15" s="13" t="s">
        <v>808</v>
      </c>
      <c r="JI15" s="13" t="s">
        <v>809</v>
      </c>
      <c r="KD15" s="13" t="s">
        <v>810</v>
      </c>
      <c r="KF15" s="13">
        <v>150</v>
      </c>
      <c r="LT15" s="13" t="s">
        <v>811</v>
      </c>
      <c r="LU15" s="13">
        <v>158.47999999999999</v>
      </c>
      <c r="LZ15" s="13" t="s">
        <v>812</v>
      </c>
      <c r="MA15" s="13">
        <v>8.89</v>
      </c>
      <c r="MF15" s="13" t="s">
        <v>813</v>
      </c>
      <c r="MO15" s="13">
        <f>'INPUT (Quote)'!K60</f>
        <v>0</v>
      </c>
      <c r="ND15" s="13" t="s">
        <v>814</v>
      </c>
      <c r="NJ15" s="13" t="b">
        <f>IF(FBS_FB12V="x",TRUE,FALSE)</f>
        <v>0</v>
      </c>
      <c r="ON15" s="13" t="s">
        <v>666</v>
      </c>
      <c r="PF15" s="13" t="s">
        <v>815</v>
      </c>
      <c r="PG15" s="13">
        <v>26.44</v>
      </c>
      <c r="RA15" s="13" t="s">
        <v>816</v>
      </c>
      <c r="RQ15" s="13" t="s">
        <v>816</v>
      </c>
      <c r="RR15" s="13" t="s">
        <v>478</v>
      </c>
      <c r="RV15" s="13" t="str">
        <f>Extreme_OffRoad</f>
        <v>Extreme Off Road</v>
      </c>
      <c r="RW15" s="13" t="s">
        <v>817</v>
      </c>
      <c r="RX15" s="13" t="s">
        <v>818</v>
      </c>
      <c r="RY15" s="13" t="s">
        <v>802</v>
      </c>
      <c r="RZ15" s="13" t="s">
        <v>819</v>
      </c>
    </row>
    <row r="16" spans="1:494" ht="32.450000000000003"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CU16" s="13" t="s">
        <v>820</v>
      </c>
      <c r="CX16" s="13" t="s">
        <v>820</v>
      </c>
      <c r="DG16" s="13" t="s">
        <v>417</v>
      </c>
      <c r="EB16" s="13" t="s">
        <v>821</v>
      </c>
      <c r="EC16" s="13">
        <v>2.4500000000000002</v>
      </c>
      <c r="ED16" s="13">
        <v>1</v>
      </c>
      <c r="EE16" s="13">
        <f t="shared" si="88"/>
        <v>2.4500000000000002</v>
      </c>
      <c r="EN16" s="13" t="s">
        <v>820</v>
      </c>
      <c r="GN16" s="107" t="s">
        <v>822</v>
      </c>
      <c r="GQ16" s="13" t="s">
        <v>823</v>
      </c>
      <c r="GR16" s="90">
        <v>150</v>
      </c>
      <c r="GS16" s="16">
        <v>375</v>
      </c>
      <c r="GW16" s="13" t="str">
        <f>FBS_SpareTire</f>
        <v/>
      </c>
      <c r="IS16" s="13" t="s">
        <v>824</v>
      </c>
      <c r="IW16" s="13" t="s">
        <v>825</v>
      </c>
      <c r="IX16" s="13">
        <v>553.62</v>
      </c>
      <c r="IY16" s="13">
        <f>IX16-IX15</f>
        <v>180</v>
      </c>
      <c r="JC16" s="13" t="b">
        <f>IF('INPUT (Quote)'!B38="x",TRUE,FALSE)</f>
        <v>0</v>
      </c>
      <c r="JR16" s="13" t="s">
        <v>826</v>
      </c>
      <c r="KD16" s="13" t="s">
        <v>827</v>
      </c>
      <c r="KF16" s="13">
        <v>165</v>
      </c>
      <c r="LU16" s="13">
        <f>SUM(LU14:LU15)</f>
        <v>1104.78</v>
      </c>
      <c r="LZ16" s="13" t="s">
        <v>828</v>
      </c>
      <c r="MA16" s="13">
        <v>9.5</v>
      </c>
      <c r="MF16" s="107" t="b">
        <f>IF(AND('INPUT (Quote)'!J57="",'INPUT (Quote)'!G59=""),TRUE,FALSE)</f>
        <v>0</v>
      </c>
      <c r="ND16" s="13" t="b">
        <f>IF(FBS_PermPanelType&lt;&gt;"",TRUE,FALSE)</f>
        <v>0</v>
      </c>
      <c r="ON16" s="13" t="s">
        <v>7</v>
      </c>
      <c r="PF16" s="13" t="s">
        <v>829</v>
      </c>
      <c r="PG16" s="13">
        <v>169.95</v>
      </c>
      <c r="RA16" s="13" t="s">
        <v>830</v>
      </c>
      <c r="RQ16" s="13" t="s">
        <v>830</v>
      </c>
      <c r="RR16" s="13" t="s">
        <v>478</v>
      </c>
    </row>
    <row r="17" spans="1:490">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CU17" s="13" t="str">
        <f>IF(Logic_Drawers=FALSE,"Not Required",IF(AND(Logic_Drawers=TRUE,OR(CU14=CU3,CU14=CU4,CU14=CU5)),TRUE,FALSE))</f>
        <v>Not Required</v>
      </c>
      <c r="CX17" s="13" t="str">
        <f>IF(Logic_Bunk_Bed=FALSE,"Not Required",IF(AND(Logic_Bunk_Bed=TRUE,CX14=Galley_SolidWall_Required),TRUE,FALSE))</f>
        <v>Not Required</v>
      </c>
      <c r="DG17" s="13" t="s">
        <v>831</v>
      </c>
      <c r="EB17" s="13" t="s">
        <v>673</v>
      </c>
      <c r="EC17" s="13">
        <v>25</v>
      </c>
      <c r="ED17" s="13">
        <v>1</v>
      </c>
      <c r="EE17" s="13">
        <f t="shared" si="88"/>
        <v>25</v>
      </c>
      <c r="EN17" s="13" t="b">
        <f>IF(AND(EN9=TRUE,EN13=FALSE),TRUE,FALSE)</f>
        <v>0</v>
      </c>
      <c r="EZ17" s="13" t="s">
        <v>755</v>
      </c>
      <c r="FH17" s="13">
        <f>FH10*FG10</f>
        <v>44</v>
      </c>
      <c r="FI17" s="13">
        <f>FI10*FG10</f>
        <v>66</v>
      </c>
      <c r="FJ17" s="13">
        <f>FJ10*FG10</f>
        <v>66</v>
      </c>
      <c r="FK17" s="13">
        <f>FK10*FG10</f>
        <v>88</v>
      </c>
      <c r="GQ17" s="13" t="s">
        <v>832</v>
      </c>
      <c r="GR17" s="90">
        <v>200</v>
      </c>
      <c r="GS17" s="16">
        <v>425</v>
      </c>
      <c r="IW17" s="13" t="s">
        <v>806</v>
      </c>
      <c r="JR17" s="13">
        <f>FBS_Model</f>
        <v>0</v>
      </c>
      <c r="JX17" s="13" t="s">
        <v>833</v>
      </c>
      <c r="JY17" s="13">
        <v>582</v>
      </c>
      <c r="LN17" s="13" t="s">
        <v>834</v>
      </c>
      <c r="LZ17" s="13" t="s">
        <v>835</v>
      </c>
      <c r="MA17" s="13">
        <v>12.4</v>
      </c>
      <c r="MO17" s="13" t="s">
        <v>836</v>
      </c>
      <c r="NJ17" s="13" t="s">
        <v>837</v>
      </c>
      <c r="OH17" s="13" t="s">
        <v>753</v>
      </c>
      <c r="ON17" s="13">
        <f>'INPUT (Quote)'!J74</f>
        <v>0</v>
      </c>
      <c r="PF17" s="13" t="s">
        <v>838</v>
      </c>
      <c r="PG17" s="13">
        <v>110</v>
      </c>
      <c r="RA17" s="13" t="s">
        <v>479</v>
      </c>
      <c r="RF17" s="13" t="s">
        <v>7</v>
      </c>
      <c r="RQ17" s="13" t="s">
        <v>479</v>
      </c>
      <c r="RR17" s="13">
        <v>7.0000000000000007E-2</v>
      </c>
      <c r="RV17" s="13" t="s">
        <v>839</v>
      </c>
    </row>
    <row r="18" spans="1:490">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DG18" s="13" t="s">
        <v>840</v>
      </c>
      <c r="DS18" s="13" t="s">
        <v>841</v>
      </c>
      <c r="ED18" s="13">
        <f>SUM(EE9:EE17)</f>
        <v>122.82538571428572</v>
      </c>
      <c r="EE18" s="13">
        <f>SUM(EE8,EE11:EE17)</f>
        <v>140.2658857142857</v>
      </c>
      <c r="EZ18" s="13" t="b">
        <f>FF41</f>
        <v>0</v>
      </c>
      <c r="FH18" s="13">
        <f>FH11*FG11</f>
        <v>66.040000000000006</v>
      </c>
      <c r="FI18" s="13">
        <f t="shared" ref="FI18:FI22" si="100">FI11*FG11</f>
        <v>66.040000000000006</v>
      </c>
      <c r="FJ18" s="13">
        <f t="shared" ref="FJ18:FJ22" si="101">FJ11*FG11</f>
        <v>99.06</v>
      </c>
      <c r="FK18" s="13">
        <f t="shared" ref="FK18:FK22" si="102">FK11*FG11</f>
        <v>99.06</v>
      </c>
      <c r="GN18" s="13" t="s">
        <v>776</v>
      </c>
      <c r="GW18" s="13" t="s">
        <v>842</v>
      </c>
      <c r="IW18" s="13" t="s">
        <v>843</v>
      </c>
      <c r="JC18" s="13" t="s">
        <v>844</v>
      </c>
      <c r="KD18" s="13" t="s">
        <v>810</v>
      </c>
      <c r="KF18" s="13">
        <v>235</v>
      </c>
      <c r="LN18" s="13" t="b">
        <f>IF(AND(LN13=TRUE,LN10=TRUE),TRUE,FALSE)</f>
        <v>0</v>
      </c>
      <c r="MO18" s="13" t="b" cm="1">
        <f t="array" ref="MO18">IF(OR(MO15=MO3:MO8),TRUE,FALSE)</f>
        <v>0</v>
      </c>
      <c r="ND18" s="13" t="s">
        <v>845</v>
      </c>
      <c r="NJ18" s="13" t="b">
        <f>IF(FBS_FB110="x",TRUE,FALSE)</f>
        <v>0</v>
      </c>
      <c r="OH18" s="13" t="s">
        <v>846</v>
      </c>
      <c r="RA18" s="13" t="s">
        <v>847</v>
      </c>
      <c r="RF18" s="13" t="str">
        <f>CONCATENATE(Quote_Trailer_Model," ",Quote_Trailer_Size)</f>
        <v xml:space="preserve"> </v>
      </c>
      <c r="RQ18" s="13" t="s">
        <v>847</v>
      </c>
      <c r="RR18" s="13" t="s">
        <v>478</v>
      </c>
      <c r="RV18" s="13" t="b">
        <f>IF(OR('Final Build Sheet'!AC18&lt;&gt;"",'Final Build Sheet'!AC19&lt;&gt;"",'Final Build Sheet'!AC20&lt;&gt;"",'Final Build Sheet'!AC21&lt;&gt;"",'Final Build Sheet'!AC22&lt;&gt;"",'Final Build Sheet'!AC23&lt;&gt;""),TRUE,FALSE)</f>
        <v>0</v>
      </c>
    </row>
    <row r="19" spans="1:490" ht="28.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DS19" s="13" t="b">
        <f>IF(AND(Logic_Bunk_Bed=TRUE,DS11=DS3),TRUE,FALSE)</f>
        <v>0</v>
      </c>
      <c r="ED19" s="13" t="s">
        <v>848</v>
      </c>
      <c r="EE19" s="13" t="s">
        <v>729</v>
      </c>
      <c r="EN19" s="13" t="s">
        <v>753</v>
      </c>
      <c r="FH19" s="13">
        <f>FH12*FG12</f>
        <v>0</v>
      </c>
      <c r="FI19" s="13">
        <f t="shared" si="100"/>
        <v>54.84</v>
      </c>
      <c r="FJ19" s="13">
        <f t="shared" si="101"/>
        <v>0</v>
      </c>
      <c r="FK19" s="13">
        <f t="shared" si="102"/>
        <v>54.84</v>
      </c>
      <c r="GN19" s="107" t="s">
        <v>849</v>
      </c>
      <c r="GQ19" s="13" t="s">
        <v>850</v>
      </c>
      <c r="GR19" s="90">
        <v>375</v>
      </c>
      <c r="GS19" s="13">
        <v>375</v>
      </c>
      <c r="GW19" s="13" t="b">
        <f>IF(OR(GW16=GQ16,GW16=GQ17,GW16=GQ20,GW16=GQ21,GW16=GQ24,GW16=GQ27),TRUE,FALSE)</f>
        <v>0</v>
      </c>
      <c r="JC19" s="13" t="b">
        <f>IF(AND(JC13=TRUE,JC16=FALSE),TRUE,FALSE)</f>
        <v>0</v>
      </c>
      <c r="KD19" s="13" t="s">
        <v>827</v>
      </c>
      <c r="KF19" s="13">
        <v>275</v>
      </c>
      <c r="ND19" s="13" t="b">
        <f>IF(OR(ND13=TRUE,ND16=TRUE),TRUE,FALSE)</f>
        <v>0</v>
      </c>
      <c r="OH19" s="13" t="s">
        <v>851</v>
      </c>
      <c r="ON19" s="13" t="s">
        <v>852</v>
      </c>
      <c r="RA19" s="13" t="s">
        <v>853</v>
      </c>
      <c r="RQ19" s="13" t="s">
        <v>853</v>
      </c>
      <c r="RR19" s="13" t="s">
        <v>478</v>
      </c>
    </row>
    <row r="20" spans="1:49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EN20" s="13" t="s">
        <v>854</v>
      </c>
      <c r="FH20" s="13">
        <f t="shared" ref="FH20" si="103">FH13*FG13</f>
        <v>1.8</v>
      </c>
      <c r="FI20" s="13">
        <f t="shared" si="100"/>
        <v>2.7</v>
      </c>
      <c r="FJ20" s="13">
        <f t="shared" si="101"/>
        <v>2.7</v>
      </c>
      <c r="FK20" s="13">
        <f t="shared" si="102"/>
        <v>3.6</v>
      </c>
      <c r="GQ20" s="13" t="s">
        <v>855</v>
      </c>
      <c r="GR20" s="90">
        <v>150</v>
      </c>
      <c r="GS20" s="16">
        <f>GS19+GR20</f>
        <v>525</v>
      </c>
      <c r="JR20" s="13" t="s">
        <v>856</v>
      </c>
      <c r="LN20" s="13" t="s">
        <v>623</v>
      </c>
      <c r="LZ20" s="13" t="s">
        <v>623</v>
      </c>
      <c r="MF20" s="13" t="s">
        <v>623</v>
      </c>
      <c r="NJ20" s="13" t="s">
        <v>857</v>
      </c>
      <c r="ON20" s="13" t="b" cm="1">
        <f t="array" ref="ON20">IF(OR(ON17=ON9:ON10),TRUE,FALSE)</f>
        <v>0</v>
      </c>
      <c r="RA20" s="13" t="s">
        <v>858</v>
      </c>
      <c r="RQ20" s="13" t="s">
        <v>858</v>
      </c>
      <c r="RR20" s="13">
        <v>7.0000000000000007E-2</v>
      </c>
    </row>
    <row r="21" spans="1:490">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EN21" s="13" t="s">
        <v>859</v>
      </c>
      <c r="FF21" s="13" t="s">
        <v>7</v>
      </c>
      <c r="FH21" s="13">
        <f>FH14*FG14</f>
        <v>15.04</v>
      </c>
      <c r="FI21" s="13">
        <f t="shared" si="100"/>
        <v>15.04</v>
      </c>
      <c r="FJ21" s="13">
        <f t="shared" si="101"/>
        <v>22.56</v>
      </c>
      <c r="FK21" s="13">
        <f t="shared" si="102"/>
        <v>30.08</v>
      </c>
      <c r="GN21" s="13" t="s">
        <v>606</v>
      </c>
      <c r="GQ21" s="13" t="s">
        <v>860</v>
      </c>
      <c r="GR21" s="90">
        <v>200</v>
      </c>
      <c r="GS21" s="16">
        <f>GS19+GR21</f>
        <v>575</v>
      </c>
      <c r="JR21" s="13" t="b">
        <f>IF(FBS_Toolbox=JR6,TRUE,FALSE)</f>
        <v>0</v>
      </c>
      <c r="LN21" s="13" t="s">
        <v>7</v>
      </c>
      <c r="LZ21" s="13" t="s">
        <v>7</v>
      </c>
      <c r="MF21" s="13" t="s">
        <v>861</v>
      </c>
      <c r="NJ21" s="13" t="b">
        <f>IF(AND(NJ15=TRUE,NJ18=TRUE),TRUE,FALSE)</f>
        <v>0</v>
      </c>
      <c r="RA21" s="13" t="s">
        <v>862</v>
      </c>
      <c r="RQ21" s="13" t="s">
        <v>862</v>
      </c>
      <c r="RR21" s="13" t="s">
        <v>478</v>
      </c>
    </row>
    <row r="22" spans="1:490" ht="28.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DS22" s="13" t="s">
        <v>863</v>
      </c>
      <c r="FF22" s="13" t="b">
        <f>IF('INPUT (Quote)'!J26="",FALSE,'INPUT (Quote)'!J26)</f>
        <v>0</v>
      </c>
      <c r="FH22" s="13">
        <f>FH15*FG15</f>
        <v>3.52</v>
      </c>
      <c r="FI22" s="13">
        <f t="shared" si="100"/>
        <v>5.28</v>
      </c>
      <c r="FJ22" s="13">
        <f t="shared" si="101"/>
        <v>5.28</v>
      </c>
      <c r="FK22" s="13">
        <f t="shared" si="102"/>
        <v>7.04</v>
      </c>
      <c r="GN22" s="107" t="s">
        <v>864</v>
      </c>
      <c r="LN22" s="13" t="str">
        <f>FBS_RTAC</f>
        <v/>
      </c>
      <c r="LZ22" s="13" t="str">
        <f>FBS_BattSelection</f>
        <v/>
      </c>
      <c r="MF22" s="13" t="b" cm="1">
        <f t="array" ref="MF22">IF(OR(FBS_BattSelection=LZ4:LZ6),TRUE,FALSE)</f>
        <v>0</v>
      </c>
      <c r="RA22" s="13" t="s">
        <v>865</v>
      </c>
      <c r="RQ22" s="13" t="s">
        <v>865</v>
      </c>
      <c r="RR22" s="13">
        <v>7.0000000000000007E-2</v>
      </c>
    </row>
    <row r="23" spans="1:490">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DS23" s="13" t="b">
        <f>IF(AND(DS14=TRUE,DS19=FALSE),TRUE,FALSE)</f>
        <v>0</v>
      </c>
      <c r="FG23" s="13" t="s">
        <v>402</v>
      </c>
      <c r="FH23" s="13">
        <f>SUM(FH17:FH22)</f>
        <v>130.4</v>
      </c>
      <c r="FI23" s="13">
        <f>SUM(FI17:FI22)</f>
        <v>209.9</v>
      </c>
      <c r="FJ23" s="13">
        <f>SUM(FJ17:FJ22)</f>
        <v>195.6</v>
      </c>
      <c r="FK23" s="13">
        <f>SUM(FK17:FK22)</f>
        <v>282.62</v>
      </c>
      <c r="GQ23" s="13" t="s">
        <v>866</v>
      </c>
      <c r="GR23" s="90">
        <v>475</v>
      </c>
      <c r="GS23" s="13">
        <v>475</v>
      </c>
      <c r="JR23" s="13" t="s">
        <v>867</v>
      </c>
      <c r="JS23" s="13" t="s">
        <v>868</v>
      </c>
      <c r="MF23" s="13" t="s">
        <v>85</v>
      </c>
      <c r="OH23" s="13" t="s">
        <v>623</v>
      </c>
      <c r="RA23" s="13" t="s">
        <v>869</v>
      </c>
      <c r="RQ23" s="13" t="s">
        <v>869</v>
      </c>
      <c r="RR23" s="13" t="s">
        <v>478</v>
      </c>
    </row>
    <row r="24" spans="1:490">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GN24" s="13" t="s">
        <v>806</v>
      </c>
      <c r="GQ24" s="13" t="s">
        <v>870</v>
      </c>
      <c r="GR24" s="90">
        <v>200</v>
      </c>
      <c r="GS24" s="13">
        <v>675</v>
      </c>
      <c r="JR24" s="13" t="b">
        <f>IF(FBS_FridgeBox="x",TRUE,FALSE)</f>
        <v>0</v>
      </c>
      <c r="JS24" s="13" t="b">
        <f>IF(JR24=FALSE,FALSE,IF(AND(JR24=TRUE,JR17=Extreme_OffRoad),FALSE,TRUE))</f>
        <v>0</v>
      </c>
      <c r="LN24" s="13" t="s">
        <v>871</v>
      </c>
      <c r="LZ24" s="13" t="s">
        <v>872</v>
      </c>
      <c r="MF24" s="13" t="str">
        <f>FBS_BattLocation</f>
        <v>Rear Galley</v>
      </c>
      <c r="RA24" s="13" t="s">
        <v>873</v>
      </c>
      <c r="RQ24" s="13" t="s">
        <v>873</v>
      </c>
      <c r="RR24" s="13">
        <v>6.25E-2</v>
      </c>
    </row>
    <row r="25" spans="1:490" ht="28.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GN25" s="107" t="s">
        <v>874</v>
      </c>
      <c r="IT25" s="13" t="s">
        <v>875</v>
      </c>
      <c r="IW25" s="13" t="s">
        <v>666</v>
      </c>
      <c r="IX25" s="13" t="s">
        <v>876</v>
      </c>
      <c r="LN25" s="13" t="b">
        <f>IF(LN22&lt;&gt;"",TRUE,FALSE)</f>
        <v>0</v>
      </c>
      <c r="LZ25" s="13" t="b" cm="1">
        <f t="array" ref="LZ25">IF(OR(LZ22=LZ4:LZ6),TRUE,FALSE)</f>
        <v>0</v>
      </c>
      <c r="RA25" s="13" t="s">
        <v>877</v>
      </c>
      <c r="RQ25" s="13" t="s">
        <v>877</v>
      </c>
      <c r="RR25" s="13">
        <v>0.06</v>
      </c>
    </row>
    <row r="26" spans="1:490">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EZ26" s="13" t="s">
        <v>878</v>
      </c>
      <c r="FF26" s="13" t="s">
        <v>666</v>
      </c>
      <c r="GQ26" s="13" t="s">
        <v>879</v>
      </c>
      <c r="GR26" s="90">
        <v>575</v>
      </c>
      <c r="GS26" s="13">
        <v>575</v>
      </c>
      <c r="IT26" s="13" t="s">
        <v>880</v>
      </c>
      <c r="IW26" s="13" t="s">
        <v>881</v>
      </c>
      <c r="IX26" s="13" t="str">
        <f>'INPUT (Quote)'!AG6</f>
        <v>CA</v>
      </c>
      <c r="JR26" s="13" t="s">
        <v>882</v>
      </c>
      <c r="MF26" s="13" t="s">
        <v>883</v>
      </c>
      <c r="OH26" s="13" t="s">
        <v>884</v>
      </c>
      <c r="ON26" s="13" t="s">
        <v>885</v>
      </c>
      <c r="OO26" s="13">
        <v>25</v>
      </c>
      <c r="OZ26" s="13" t="s">
        <v>666</v>
      </c>
      <c r="PF26" s="13" t="s">
        <v>666</v>
      </c>
      <c r="PL26" s="13" t="s">
        <v>666</v>
      </c>
      <c r="RA26" s="13" t="s">
        <v>886</v>
      </c>
      <c r="RQ26" s="13" t="s">
        <v>886</v>
      </c>
      <c r="RR26" s="13" t="s">
        <v>478</v>
      </c>
    </row>
    <row r="27" spans="1:490">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GQ27" s="13" t="s">
        <v>502</v>
      </c>
      <c r="GR27" s="90">
        <v>875</v>
      </c>
      <c r="GS27" s="13">
        <v>1450</v>
      </c>
      <c r="IT27" s="13" t="s">
        <v>887</v>
      </c>
      <c r="IW27" s="112" t="s">
        <v>14</v>
      </c>
      <c r="IX27" s="13" t="b">
        <f>IF($IX$26=IW27,TRUE,FALSE)</f>
        <v>1</v>
      </c>
      <c r="JR27" s="13" t="str">
        <f>IF(JR21=TRUE,"XL Toolbox",IF(JS24=TRUE,"Fridge Box","None"))</f>
        <v>None</v>
      </c>
      <c r="LN27" s="13" t="s">
        <v>888</v>
      </c>
      <c r="MF27" s="13" t="b">
        <f>IF(AND(MF24=MF4,MF22=TRUE),TRUE,FALSE)</f>
        <v>0</v>
      </c>
      <c r="OH27" s="13" t="b">
        <f>IF(FBS_PASLight="",FALSE,FBS_PASLight)</f>
        <v>0</v>
      </c>
      <c r="ON27" s="13" t="s">
        <v>889</v>
      </c>
      <c r="OO27" s="13">
        <v>450</v>
      </c>
      <c r="OZ27" s="13" t="s">
        <v>753</v>
      </c>
      <c r="PF27" s="13" t="s">
        <v>890</v>
      </c>
      <c r="PL27" s="13" t="s">
        <v>7</v>
      </c>
      <c r="RA27" s="13" t="s">
        <v>891</v>
      </c>
      <c r="RQ27" s="13" t="s">
        <v>891</v>
      </c>
      <c r="RR27" s="13" t="s">
        <v>478</v>
      </c>
    </row>
    <row r="28" spans="1:490">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EZ28" s="13" t="s">
        <v>892</v>
      </c>
      <c r="FF28" s="13" t="s">
        <v>893</v>
      </c>
      <c r="IW28" s="112" t="s">
        <v>816</v>
      </c>
      <c r="IX28" s="13" t="b">
        <f t="shared" ref="IX28:IX32" si="104">IF($IX$26=IW28,TRUE,FALSE)</f>
        <v>0</v>
      </c>
      <c r="LN28" s="13" t="b">
        <f>IF(LN22=LN4,TRUE,FALSE)</f>
        <v>0</v>
      </c>
      <c r="ON28" s="13" t="s">
        <v>894</v>
      </c>
      <c r="OO28" s="13">
        <v>650</v>
      </c>
      <c r="PF28" s="13">
        <f>Quote_Trailer_Size</f>
        <v>0</v>
      </c>
      <c r="PL28" s="13">
        <f>'INPUT (Quote)'!J82</f>
        <v>0</v>
      </c>
      <c r="RA28" s="13" t="s">
        <v>895</v>
      </c>
      <c r="RQ28" s="13" t="s">
        <v>895</v>
      </c>
      <c r="RR28" s="13" t="s">
        <v>478</v>
      </c>
    </row>
    <row r="29" spans="1:490">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EZ29" s="13" t="b">
        <f>IF(AND('INPUT (Quote)'!B28="x",'INPUT (Quote)'!B31="x"),TRUE,FALSE)</f>
        <v>0</v>
      </c>
      <c r="FF29" s="13" t="b">
        <f>IF(OR(FF32=TRUE,FF35=TRUE,FF38=TRUE),TRUE,FALSE)</f>
        <v>0</v>
      </c>
      <c r="IW29" s="112" t="s">
        <v>891</v>
      </c>
      <c r="IX29" s="13" t="b">
        <f t="shared" si="104"/>
        <v>0</v>
      </c>
      <c r="MF29" s="13" t="s">
        <v>896</v>
      </c>
      <c r="OH29" s="13" t="s">
        <v>897</v>
      </c>
      <c r="OZ29" s="13" t="s">
        <v>898</v>
      </c>
      <c r="RA29" s="13" t="s">
        <v>899</v>
      </c>
      <c r="RQ29" s="13" t="s">
        <v>899</v>
      </c>
      <c r="RR29" s="13" t="s">
        <v>478</v>
      </c>
    </row>
    <row r="30" spans="1:49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GR30" s="13" t="s">
        <v>900</v>
      </c>
      <c r="IW30" s="112" t="s">
        <v>901</v>
      </c>
      <c r="IX30" s="13" t="b">
        <f t="shared" si="104"/>
        <v>0</v>
      </c>
      <c r="MF30" s="13" t="b" cm="1">
        <f t="array" ref="MF30">IF(OR(FBS_BattSelection=LZ5:LZ6),TRUE,FALSE)</f>
        <v>0</v>
      </c>
      <c r="OH30" s="13" t="b">
        <f>IF(FBS_DVRLight="",FALSE,FBS_DVRLight)</f>
        <v>0</v>
      </c>
      <c r="ON30" s="13" t="s">
        <v>7</v>
      </c>
      <c r="OZ30" s="13" t="s">
        <v>902</v>
      </c>
      <c r="PF30" s="13" t="s">
        <v>699</v>
      </c>
      <c r="PL30" s="13" t="s">
        <v>903</v>
      </c>
      <c r="RA30" s="13" t="s">
        <v>904</v>
      </c>
      <c r="RQ30" s="13" t="s">
        <v>904</v>
      </c>
      <c r="RR30" s="13" t="s">
        <v>478</v>
      </c>
    </row>
    <row r="31" spans="1:490">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EZ31" s="13" t="s">
        <v>905</v>
      </c>
      <c r="FF31" s="13" t="s">
        <v>906</v>
      </c>
      <c r="GR31" s="13" t="s">
        <v>907</v>
      </c>
      <c r="IW31" s="112" t="s">
        <v>908</v>
      </c>
      <c r="IX31" s="13" t="b">
        <f t="shared" si="104"/>
        <v>0</v>
      </c>
      <c r="ON31" s="13">
        <f>'INPUT (Quote)'!J74</f>
        <v>0</v>
      </c>
      <c r="PF31" s="13">
        <f>Quote_Trailer_Model</f>
        <v>0</v>
      </c>
      <c r="PL31" s="13" t="b">
        <f>IF(OR(PL28=PL3,PL28=PL4,PL28=PL5),TRUE,FALSE)</f>
        <v>0</v>
      </c>
      <c r="RA31" s="13" t="s">
        <v>901</v>
      </c>
      <c r="RQ31" s="13" t="s">
        <v>901</v>
      </c>
      <c r="RR31" s="13" t="s">
        <v>478</v>
      </c>
    </row>
    <row r="32" spans="1:490">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EZ32" s="13" t="b">
        <f>IF(AND('INPUT (Quote)'!B29="x",'INPUT (Quote)'!B30="x"),TRUE,FALSE)</f>
        <v>0</v>
      </c>
      <c r="FF32" s="13" t="b">
        <f>IF(OR('INPUT (Quote)'!B27="x",'INPUT (Quote)'!B28="x"),TRUE,FALSE)</f>
        <v>0</v>
      </c>
      <c r="GR32" s="13">
        <f>Quote_Trailer_Model</f>
        <v>0</v>
      </c>
      <c r="IW32" s="112" t="s">
        <v>909</v>
      </c>
      <c r="IX32" s="13" t="b">
        <f t="shared" si="104"/>
        <v>0</v>
      </c>
      <c r="IY32" s="13" t="s">
        <v>910</v>
      </c>
      <c r="MF32" s="13" t="s">
        <v>911</v>
      </c>
      <c r="OH32" s="13" t="s">
        <v>912</v>
      </c>
      <c r="RA32" s="13" t="s">
        <v>913</v>
      </c>
      <c r="RQ32" s="13" t="s">
        <v>913</v>
      </c>
      <c r="RR32" s="13" t="s">
        <v>478</v>
      </c>
    </row>
    <row r="33" spans="1:48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IW33" s="112" t="s">
        <v>914</v>
      </c>
      <c r="IX33" s="13" t="b">
        <f>IF($IX$26=IW33,TRUE,FALSE)</f>
        <v>0</v>
      </c>
      <c r="IY33" s="13" t="b" cm="1">
        <f t="array" ref="IY33">IF(OR(IX27:IX33=TRUE),TRUE,FALSE)</f>
        <v>1</v>
      </c>
      <c r="MF33" s="13" t="b">
        <f>IF(AND(MF24=MF3,MF30=TRUE),TRUE,FALSE)</f>
        <v>0</v>
      </c>
      <c r="OH33" s="13" t="b">
        <f>IF(FBS_RearLight="",FALSE,FBS_RearLight)</f>
        <v>0</v>
      </c>
      <c r="ON33" s="13" t="s">
        <v>915</v>
      </c>
      <c r="OO33" s="13" t="s">
        <v>916</v>
      </c>
      <c r="OZ33" s="13" t="s">
        <v>623</v>
      </c>
      <c r="PF33" s="13" t="s">
        <v>917</v>
      </c>
      <c r="PL33" s="13" t="s">
        <v>918</v>
      </c>
      <c r="RA33" s="13" t="s">
        <v>919</v>
      </c>
      <c r="RQ33" s="13" t="s">
        <v>919</v>
      </c>
      <c r="RR33" s="13" t="s">
        <v>478</v>
      </c>
    </row>
    <row r="34" spans="1:48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FF34" s="13" t="s">
        <v>920</v>
      </c>
      <c r="GR34" s="13" t="s">
        <v>7</v>
      </c>
      <c r="ON34" s="13" t="b">
        <f>IF(OR(ON31=ON3,ON31=ON4,ON31=ON6),TRUE,FALSE)</f>
        <v>0</v>
      </c>
      <c r="OZ34" s="13" t="s">
        <v>921</v>
      </c>
      <c r="PF34" s="13" t="b">
        <f>IF(OR(PF31=MidRange_XL,PF31=Extreme_OffRoad),TRUE,FALSE)</f>
        <v>0</v>
      </c>
      <c r="PL34" s="13" t="s">
        <v>922</v>
      </c>
      <c r="RA34" s="13" t="s">
        <v>923</v>
      </c>
      <c r="RQ34" s="13" t="s">
        <v>923</v>
      </c>
      <c r="RR34" s="13" t="s">
        <v>478</v>
      </c>
    </row>
    <row r="35" spans="1:48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EZ35" s="13" t="s">
        <v>753</v>
      </c>
      <c r="FF35" s="13" t="b">
        <f>IF('INPUT (Quote)'!B29="x",TRUE,FALSE)</f>
        <v>0</v>
      </c>
      <c r="GR35" s="13">
        <f>Quote_SpareTire</f>
        <v>0</v>
      </c>
      <c r="IW35" s="13" t="s">
        <v>924</v>
      </c>
      <c r="MF35" s="13" t="s">
        <v>925</v>
      </c>
      <c r="OZ35" s="13" t="b">
        <f>IF(FBS_PermPanelType&lt;&gt;"",TRUE,FALSE)</f>
        <v>0</v>
      </c>
      <c r="PL35" s="13" t="s">
        <v>926</v>
      </c>
      <c r="RA35" s="13" t="s">
        <v>908</v>
      </c>
      <c r="RQ35" s="13" t="s">
        <v>908</v>
      </c>
      <c r="RR35" s="13" t="s">
        <v>478</v>
      </c>
    </row>
    <row r="36" spans="1:48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EZ36" s="13" t="s">
        <v>927</v>
      </c>
      <c r="IW36" s="112" t="s">
        <v>853</v>
      </c>
      <c r="IX36" s="13" t="b">
        <f>IF($IX$26=IW36,TRUE,FALSE)</f>
        <v>0</v>
      </c>
      <c r="MF36" s="13" t="b">
        <f>IF(AND(FBS_BattSelection=LZ4,MF24=MF3),TRUE,FALSE)</f>
        <v>0</v>
      </c>
      <c r="ON36" s="13" t="s">
        <v>928</v>
      </c>
      <c r="OO36" s="13" t="s">
        <v>929</v>
      </c>
      <c r="PF36" s="13" t="s">
        <v>930</v>
      </c>
      <c r="RA36" s="13" t="s">
        <v>909</v>
      </c>
      <c r="RQ36" s="13" t="s">
        <v>909</v>
      </c>
      <c r="RR36" s="13">
        <v>0.03</v>
      </c>
    </row>
    <row r="37" spans="1:48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EZ37" s="13" t="s">
        <v>931</v>
      </c>
      <c r="FF37" s="13" t="s">
        <v>932</v>
      </c>
      <c r="GQ37" s="13" t="s">
        <v>933</v>
      </c>
      <c r="GR37" s="13" t="s">
        <v>934</v>
      </c>
      <c r="GS37" s="13" t="s">
        <v>935</v>
      </c>
      <c r="IW37" s="112" t="s">
        <v>858</v>
      </c>
      <c r="IX37" s="13" t="b">
        <f t="shared" ref="IX37:IX40" si="105">IF($IX$26=IW37,TRUE,FALSE)</f>
        <v>0</v>
      </c>
      <c r="ON37" s="13" t="b">
        <f>IF(OR(ON31=ON5,ON31=ON7,ON31=ON8),TRUE,FALSE)</f>
        <v>0</v>
      </c>
      <c r="PF37" s="13" t="b">
        <f>IF(OR(PF28=Size_5x9,PF28=Size_5x10),TRUE,FALSE)</f>
        <v>0</v>
      </c>
      <c r="PL37" s="13" t="s">
        <v>936</v>
      </c>
      <c r="RA37" s="13" t="s">
        <v>914</v>
      </c>
      <c r="RQ37" s="13" t="s">
        <v>914</v>
      </c>
      <c r="RR37" s="13" t="s">
        <v>478</v>
      </c>
    </row>
    <row r="38" spans="1:48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EZ38" s="13" t="s">
        <v>937</v>
      </c>
      <c r="FF38" s="13" t="b">
        <f>IF('INPUT (Quote)'!B30="x",TRUE,FALSE)</f>
        <v>0</v>
      </c>
      <c r="GQ38" s="13" t="b">
        <f>IF(GR32=Highway_Deluxe,TRUE,FALSE)</f>
        <v>0</v>
      </c>
      <c r="GR38" s="13" t="b" cm="1">
        <f t="array" ref="GR38">IF(AND(GR32=Highway_Deluxe,OR(GR35=HD_Spare_List)),TRUE,FALSE)</f>
        <v>0</v>
      </c>
      <c r="GS38" s="13" t="b">
        <f>IF(GQ38&lt;&gt;GR38,TRUE,FALSE)</f>
        <v>0</v>
      </c>
      <c r="IW38" s="112" t="s">
        <v>938</v>
      </c>
      <c r="IX38" s="13" t="b">
        <f t="shared" si="105"/>
        <v>0</v>
      </c>
      <c r="MF38" s="13" t="s">
        <v>939</v>
      </c>
      <c r="PL38" s="13" t="b">
        <f>IF(AND('INPUT (Quote)'!B82="x",'INPUT (Quote)'!J82&lt;&gt;""),TRUE,FALSE)</f>
        <v>0</v>
      </c>
      <c r="RA38" s="13" t="s">
        <v>940</v>
      </c>
      <c r="RQ38" s="13" t="s">
        <v>940</v>
      </c>
      <c r="RR38" s="13" t="s">
        <v>478</v>
      </c>
    </row>
    <row r="39" spans="1:48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IW39" s="112" t="s">
        <v>941</v>
      </c>
      <c r="IX39" s="13" t="b">
        <f t="shared" si="105"/>
        <v>0</v>
      </c>
      <c r="IY39" s="13" t="s">
        <v>910</v>
      </c>
      <c r="MF39" s="13" t="b">
        <f>IF(OR(MF36=TRUE,MF27=TRUE),TRUE,FALSE)</f>
        <v>0</v>
      </c>
      <c r="ON39" s="13" t="s">
        <v>942</v>
      </c>
      <c r="OO39" s="13" t="s">
        <v>943</v>
      </c>
      <c r="PF39" s="13" t="s">
        <v>944</v>
      </c>
      <c r="RA39" s="13" t="s">
        <v>945</v>
      </c>
      <c r="RQ39" s="13" t="s">
        <v>945</v>
      </c>
      <c r="RR39" s="13" t="s">
        <v>478</v>
      </c>
    </row>
    <row r="40" spans="1:48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EZ40" s="13" t="s">
        <v>946</v>
      </c>
      <c r="FF40" s="13" t="s">
        <v>947</v>
      </c>
      <c r="GQ40" s="13" t="s">
        <v>948</v>
      </c>
      <c r="GR40" s="13" t="s">
        <v>949</v>
      </c>
      <c r="GS40" s="13" t="s">
        <v>935</v>
      </c>
      <c r="IW40" s="112" t="s">
        <v>950</v>
      </c>
      <c r="IX40" s="13" t="b">
        <f t="shared" si="105"/>
        <v>0</v>
      </c>
      <c r="IY40" s="13" t="b" cm="1">
        <f t="array" ref="IY40">IF(OR(IX36:IX39=TRUE),TRUE,FALSE)</f>
        <v>0</v>
      </c>
      <c r="ON40" s="13" t="b">
        <f>IF(OR(ON31=ON11,ON31=ON12),TRUE,FALSE)</f>
        <v>0</v>
      </c>
      <c r="PF40" s="13" t="b">
        <f>IF(AND(PF34=TRUE,PF37=TRUE),TRUE,FALSE)</f>
        <v>0</v>
      </c>
      <c r="PL40" s="13" t="s">
        <v>951</v>
      </c>
      <c r="RA40" s="13" t="s">
        <v>938</v>
      </c>
      <c r="RQ40" s="13" t="s">
        <v>938</v>
      </c>
      <c r="RR40" s="13" t="s">
        <v>478</v>
      </c>
    </row>
    <row r="41" spans="1:48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EZ41" s="13" t="b">
        <f>IF(AND('INPUT (Quote)'!B30="x",'INPUT (Quote)'!B31="x"),TRUE,FALSE)</f>
        <v>0</v>
      </c>
      <c r="FF41" s="13" t="b">
        <f>IF('INPUT (Quote)'!B31="x",TRUE,FALSE)</f>
        <v>0</v>
      </c>
      <c r="GQ41" s="13" t="b">
        <f>IF(GR32=MidRange_Deluxe,TRUE,FALSE)</f>
        <v>0</v>
      </c>
      <c r="GR41" s="13" t="b" cm="1">
        <f t="array" ref="GR41">IF(AND(GR32=MidRange_Deluxe,OR(GR35=MR_Spare_List)),TRUE,FALSE)</f>
        <v>0</v>
      </c>
      <c r="GS41" s="13" t="b">
        <f>IF(GQ41&lt;&gt;GR41,TRUE,FALSE)</f>
        <v>0</v>
      </c>
      <c r="PL41" s="13" t="b">
        <f>IF('INPUT (Quote)'!B44="x",TRUE,FALSE)</f>
        <v>0</v>
      </c>
      <c r="RA41" s="13" t="s">
        <v>952</v>
      </c>
      <c r="RQ41" s="13" t="s">
        <v>952</v>
      </c>
      <c r="RR41" s="13" t="s">
        <v>478</v>
      </c>
    </row>
    <row r="42" spans="1:48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ON42" s="13" t="s">
        <v>953</v>
      </c>
      <c r="OO42" s="13" t="s">
        <v>954</v>
      </c>
      <c r="PF42" s="13" t="s">
        <v>753</v>
      </c>
      <c r="RA42" s="13" t="s">
        <v>955</v>
      </c>
      <c r="RQ42" s="13" t="s">
        <v>955</v>
      </c>
      <c r="RR42" s="13">
        <v>7.0000000000000007E-2</v>
      </c>
    </row>
    <row r="43" spans="1:48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GQ43" s="13" t="s">
        <v>956</v>
      </c>
      <c r="GR43" s="13" t="s">
        <v>957</v>
      </c>
      <c r="GS43" s="13" t="s">
        <v>935</v>
      </c>
      <c r="ON43" s="13" t="b">
        <f>IF(OR(ON31=ON9,ON31=ON10),TRUE,FALSE)</f>
        <v>0</v>
      </c>
      <c r="PF43" s="13" t="s">
        <v>958</v>
      </c>
      <c r="PL43" s="13" t="s">
        <v>918</v>
      </c>
      <c r="RA43" s="13" t="s">
        <v>959</v>
      </c>
      <c r="RQ43" s="13" t="s">
        <v>959</v>
      </c>
      <c r="RR43" s="13">
        <v>0.05</v>
      </c>
    </row>
    <row r="44" spans="1:48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GQ44" s="13" t="b">
        <f>IF(GR32=MidRange_XL,TRUE,FALSE)</f>
        <v>0</v>
      </c>
      <c r="GR44" s="13" t="b" cm="1">
        <f t="array" ref="GR44">IF(AND(GR32=MidRange_XL,OR(GR35=XL_Spare_List)),TRUE,FALSE)</f>
        <v>0</v>
      </c>
      <c r="GS44" s="13" t="b">
        <f>IF(GQ44&lt;&gt;GR44,TRUE,FALSE)</f>
        <v>0</v>
      </c>
      <c r="PF44" s="13" t="s">
        <v>960</v>
      </c>
      <c r="PL44" s="13" t="s">
        <v>961</v>
      </c>
      <c r="RA44" s="13" t="s">
        <v>962</v>
      </c>
      <c r="RQ44" s="13" t="s">
        <v>962</v>
      </c>
      <c r="RR44" s="13" t="s">
        <v>478</v>
      </c>
    </row>
    <row r="45" spans="1:48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PL45" s="13" t="s">
        <v>963</v>
      </c>
      <c r="RA45" s="13" t="s">
        <v>964</v>
      </c>
      <c r="RQ45" s="13" t="s">
        <v>964</v>
      </c>
      <c r="RR45" s="13" t="s">
        <v>478</v>
      </c>
    </row>
    <row r="46" spans="1:48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GQ46" s="13" t="s">
        <v>965</v>
      </c>
      <c r="GR46" s="13" t="s">
        <v>966</v>
      </c>
      <c r="GS46" s="13" t="s">
        <v>935</v>
      </c>
      <c r="RA46" s="13" t="s">
        <v>967</v>
      </c>
      <c r="RQ46" s="13" t="s">
        <v>967</v>
      </c>
      <c r="RR46" s="13" t="s">
        <v>478</v>
      </c>
    </row>
    <row r="47" spans="1:48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GQ47" s="13" t="b">
        <f>IF(GR32=Extreme_OffRoad,TRUE,FALSE)</f>
        <v>0</v>
      </c>
      <c r="GR47" s="13" t="b" cm="1">
        <f t="array" ref="GR47">IF(AND(GR32=Extreme_OffRoad,OR(GR35=EOR_Spare_List)),TRUE,FALSE)</f>
        <v>0</v>
      </c>
      <c r="GS47" s="13" t="b">
        <f>IF(GQ47&lt;&gt;GR47,TRUE,FALSE)</f>
        <v>0</v>
      </c>
      <c r="RA47" s="13" t="s">
        <v>941</v>
      </c>
      <c r="RQ47" s="13" t="s">
        <v>941</v>
      </c>
      <c r="RR47" s="13" t="s">
        <v>478</v>
      </c>
    </row>
    <row r="48" spans="1:48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RA48" s="13" t="s">
        <v>968</v>
      </c>
      <c r="RQ48" s="13" t="s">
        <v>968</v>
      </c>
      <c r="RR48" s="13" t="s">
        <v>478</v>
      </c>
    </row>
    <row r="49" spans="1:48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RA49" s="13" t="s">
        <v>969</v>
      </c>
      <c r="RQ49" s="13" t="s">
        <v>969</v>
      </c>
      <c r="RR49" s="13" t="s">
        <v>478</v>
      </c>
    </row>
    <row r="50" spans="1:48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GR50" s="13" t="s">
        <v>970</v>
      </c>
      <c r="RA50" s="13" t="s">
        <v>971</v>
      </c>
      <c r="RQ50" s="13" t="s">
        <v>971</v>
      </c>
      <c r="RR50" s="13" t="s">
        <v>478</v>
      </c>
    </row>
    <row r="51" spans="1:48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GR51" s="13" t="b">
        <f>IF(OR(GS38=TRUE,GS41=TRUE,GS44=TRUE,GS47=TRUE),TRUE,FALSE)</f>
        <v>0</v>
      </c>
      <c r="RA51" s="13" t="s">
        <v>972</v>
      </c>
      <c r="RQ51" s="13" t="s">
        <v>972</v>
      </c>
      <c r="RR51" s="13" t="s">
        <v>478</v>
      </c>
    </row>
    <row r="52" spans="1:48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RA52" s="13" t="s">
        <v>973</v>
      </c>
      <c r="RQ52" s="13" t="s">
        <v>973</v>
      </c>
      <c r="RR52" s="13" t="s">
        <v>478</v>
      </c>
    </row>
    <row r="53" spans="1:48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RA53" s="13" t="s">
        <v>950</v>
      </c>
      <c r="RQ53" s="13" t="s">
        <v>950</v>
      </c>
      <c r="RR53" s="13" t="s">
        <v>478</v>
      </c>
    </row>
    <row r="54" spans="1:48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RA54" s="13" t="s">
        <v>974</v>
      </c>
      <c r="RQ54" s="13" t="s">
        <v>974</v>
      </c>
      <c r="RR54" s="13">
        <v>7.0000000000000007E-2</v>
      </c>
    </row>
    <row r="55" spans="1:48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row>
    <row r="56" spans="1:48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row r="57" spans="1:48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row>
    <row r="58" spans="1:48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row>
    <row r="59" spans="1:48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row r="60" spans="1:48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row>
    <row r="61" spans="1:48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row>
    <row r="62" spans="1:48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row>
    <row r="63" spans="1:48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row>
    <row r="64" spans="1:48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row>
    <row r="65" spans="1:29">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row>
    <row r="66" spans="1:29">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row>
    <row r="67" spans="1:29">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row>
    <row r="68" spans="1:29">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row r="69" spans="1:2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row>
    <row r="70" spans="1:29">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row>
    <row r="71" spans="1:29">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row>
    <row r="72" spans="1:29">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row>
    <row r="73" spans="1:29">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row>
    <row r="74" spans="1:29">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row>
    <row r="75" spans="1:29">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row>
    <row r="76" spans="1:29">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row>
    <row r="77" spans="1:29">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row>
    <row r="78" spans="1:29">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row>
    <row r="79" spans="1:2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row>
    <row r="80" spans="1:29">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row>
    <row r="81" spans="1:29">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row>
    <row r="82" spans="1:29">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row>
    <row r="83" spans="1:29">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row>
    <row r="84" spans="1:29">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row>
    <row r="85" spans="1:29">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row>
    <row r="86" spans="1:29">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row r="87" spans="1:29">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row>
    <row r="88" spans="1:29">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row>
    <row r="89" spans="1:2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row>
    <row r="90" spans="1:29">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row>
    <row r="91" spans="1:29">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row>
    <row r="92" spans="1:29">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row>
    <row r="93" spans="1:29">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row>
    <row r="94" spans="1:29">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row>
    <row r="95" spans="1:29">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row>
    <row r="96" spans="1:29">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row>
    <row r="97" spans="1:29">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row>
    <row r="98" spans="1:29">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row>
    <row r="99" spans="1:2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row>
    <row r="100" spans="1:29">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row>
    <row r="101" spans="1:29">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row>
    <row r="102" spans="1:29">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row>
    <row r="103" spans="1:29">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row>
    <row r="104" spans="1:29">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row>
    <row r="105" spans="1:29">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row>
    <row r="106" spans="1:29">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row>
    <row r="107" spans="1:29">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row>
    <row r="108" spans="1:29">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row>
    <row r="109" spans="1:2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row>
    <row r="110" spans="1:29">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row>
    <row r="111" spans="1:29">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row>
    <row r="112" spans="1:29">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row>
    <row r="113" spans="1:29">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row>
    <row r="114" spans="1:29">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row>
    <row r="115" spans="1:29">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row>
    <row r="116" spans="1:29">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row>
    <row r="117" spans="1:29">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row>
    <row r="118" spans="1:29">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row>
    <row r="119" spans="1:2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row>
    <row r="120" spans="1:29">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row>
    <row r="121" spans="1:29">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row>
    <row r="122" spans="1:29">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row>
    <row r="123" spans="1:29">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row>
    <row r="124" spans="1:29">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row>
    <row r="125" spans="1:29">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row>
    <row r="126" spans="1:29">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row>
    <row r="127" spans="1:29">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row>
    <row r="128" spans="1:29">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row>
    <row r="129" spans="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row>
    <row r="130" spans="1:29">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row>
    <row r="131" spans="1:29">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row>
    <row r="132" spans="1:29">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row>
    <row r="133" spans="1:29">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row>
    <row r="134" spans="1:29">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row>
    <row r="135" spans="1:29">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row>
    <row r="136" spans="1:29">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row>
    <row r="137" spans="1:29">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row>
    <row r="138" spans="1:29">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row>
    <row r="139" spans="1:2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row>
    <row r="140" spans="1:29">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row>
    <row r="141" spans="1:29">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row>
    <row r="142" spans="1:29">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row>
    <row r="143" spans="1:29">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row>
    <row r="144" spans="1:29">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row>
    <row r="145" spans="1:29">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row>
    <row r="146" spans="1:29">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row>
    <row r="147" spans="1:29">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row>
    <row r="148" spans="1:29">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row>
    <row r="149" spans="1:2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row>
    <row r="150" spans="1:29">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row>
    <row r="151" spans="1:29">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row>
    <row r="152" spans="1:29">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row>
    <row r="153" spans="1:29">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row>
    <row r="154" spans="1:29">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row>
    <row r="155" spans="1:29">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C5FC62CA32FE4E8CE47DB5212EA0AC" ma:contentTypeVersion="2" ma:contentTypeDescription="Create a new document." ma:contentTypeScope="" ma:versionID="8f0bfd71f4e96054413f681a475cc483">
  <xsd:schema xmlns:xsd="http://www.w3.org/2001/XMLSchema" xmlns:xs="http://www.w3.org/2001/XMLSchema" xmlns:p="http://schemas.microsoft.com/office/2006/metadata/properties" xmlns:ns2="5046e5a8-b29e-4680-9ffd-0bb5601460c2" targetNamespace="http://schemas.microsoft.com/office/2006/metadata/properties" ma:root="true" ma:fieldsID="ea7472040db603f1c118e4f8d20d4023" ns2:_="">
    <xsd:import namespace="5046e5a8-b29e-4680-9ffd-0bb5601460c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6e5a8-b29e-4680-9ffd-0bb5601460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B248F8-52C9-489A-AB2B-A5296B33C0F5}"/>
</file>

<file path=customXml/itemProps2.xml><?xml version="1.0" encoding="utf-8"?>
<ds:datastoreItem xmlns:ds="http://schemas.openxmlformats.org/officeDocument/2006/customXml" ds:itemID="{FA75F619-9AAD-4B29-B3E9-19EB297516B8}"/>
</file>

<file path=customXml/itemProps3.xml><?xml version="1.0" encoding="utf-8"?>
<ds:datastoreItem xmlns:ds="http://schemas.openxmlformats.org/officeDocument/2006/customXml" ds:itemID="{81FFCE03-1561-4C3A-B25D-C2EAD2B280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Krystal Greene</dc:creator>
  <cp:keywords/>
  <dc:description/>
  <cp:lastModifiedBy>Jordan Wilson</cp:lastModifiedBy>
  <cp:revision/>
  <dcterms:created xsi:type="dcterms:W3CDTF">2015-06-07T02:45:44Z</dcterms:created>
  <dcterms:modified xsi:type="dcterms:W3CDTF">2023-01-10T20:19:39Z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0x010100DBC5FC62CA32FE4E8CE47DB5212EA0AC</vt:lpwstr>
  </property>
</Properties>
</file>