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hittier.sharepoint.com/sites/sponsoredresearch/Shared Documents/4-Applications_Pending/FY2024/NSF Career_Hanson/Budget/"/>
    </mc:Choice>
  </mc:AlternateContent>
  <xr:revisionPtr revIDLastSave="10" documentId="13_ncr:1_{4E2399D5-24BE-44CB-AE62-5FD54921D92D}" xr6:coauthVersionLast="47" xr6:coauthVersionMax="47" xr10:uidLastSave="{9597A517-A8B3-45E2-8416-7364DD9B5844}"/>
  <bookViews>
    <workbookView xWindow="8910" yWindow="170" windowWidth="10290" windowHeight="9910" tabRatio="500" xr2:uid="{00000000-000D-0000-FFFF-FFFF00000000}"/>
  </bookViews>
  <sheets>
    <sheet name="DRAFT (5)" sheetId="6" r:id="rId1"/>
    <sheet name="DRAFT (4)" sheetId="5" r:id="rId2"/>
    <sheet name="DRAFT (3)" sheetId="1" r:id="rId3"/>
    <sheet name="DRAFT (2)" sheetId="2" r:id="rId4"/>
    <sheet name="DRAFT" sheetId="3" r:id="rId5"/>
    <sheet name="Sheet1" sheetId="4" r:id="rId6"/>
  </sheets>
  <definedNames>
    <definedName name="_xlnm.Print_Titles" localSheetId="4">DRAFT!$4:$5</definedName>
    <definedName name="_xlnm.Print_Titles" localSheetId="3">'DRAFT (2)'!$4:$5</definedName>
    <definedName name="_xlnm.Print_Titles" localSheetId="2">'DRAFT (3)'!$4:$5</definedName>
    <definedName name="_xlnm.Print_Titles" localSheetId="1">'DRAFT (4)'!$4:$5</definedName>
    <definedName name="_xlnm.Print_Titles" localSheetId="0">'DRAFT (5)'!$4:$5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6" l="1"/>
  <c r="J27" i="6" s="1"/>
  <c r="B50" i="6"/>
  <c r="E50" i="6" s="1"/>
  <c r="J49" i="6"/>
  <c r="J48" i="6"/>
  <c r="I48" i="6"/>
  <c r="G48" i="6"/>
  <c r="F48" i="6"/>
  <c r="J47" i="6"/>
  <c r="J46" i="6"/>
  <c r="F45" i="6"/>
  <c r="J45" i="6" s="1"/>
  <c r="E45" i="6"/>
  <c r="I44" i="6"/>
  <c r="H44" i="6"/>
  <c r="G44" i="6"/>
  <c r="F44" i="6"/>
  <c r="E44" i="6"/>
  <c r="J44" i="6" s="1"/>
  <c r="J43" i="6"/>
  <c r="H43" i="6"/>
  <c r="G43" i="6"/>
  <c r="F43" i="6"/>
  <c r="E43" i="6"/>
  <c r="I42" i="6"/>
  <c r="H42" i="6"/>
  <c r="G42" i="6"/>
  <c r="F42" i="6"/>
  <c r="E42" i="6"/>
  <c r="E37" i="6"/>
  <c r="I36" i="6"/>
  <c r="H36" i="6"/>
  <c r="G36" i="6"/>
  <c r="E36" i="6"/>
  <c r="J36" i="6" s="1"/>
  <c r="H35" i="6"/>
  <c r="G35" i="6"/>
  <c r="E35" i="6"/>
  <c r="G34" i="6"/>
  <c r="G37" i="6" s="1"/>
  <c r="I33" i="6"/>
  <c r="H33" i="6"/>
  <c r="J33" i="6" s="1"/>
  <c r="G33" i="6"/>
  <c r="B33" i="6"/>
  <c r="H32" i="6"/>
  <c r="I32" i="6" s="1"/>
  <c r="G32" i="6"/>
  <c r="J32" i="6" s="1"/>
  <c r="I31" i="6"/>
  <c r="G31" i="6"/>
  <c r="H31" i="6" s="1"/>
  <c r="F31" i="6"/>
  <c r="F37" i="6" s="1"/>
  <c r="I28" i="6"/>
  <c r="H28" i="6"/>
  <c r="G28" i="6"/>
  <c r="F28" i="6"/>
  <c r="E26" i="6"/>
  <c r="A18" i="6"/>
  <c r="A17" i="6"/>
  <c r="E14" i="6"/>
  <c r="F14" i="6" s="1"/>
  <c r="F13" i="6"/>
  <c r="G13" i="6" s="1"/>
  <c r="H13" i="6" s="1"/>
  <c r="I13" i="6" s="1"/>
  <c r="E13" i="6"/>
  <c r="J13" i="6" s="1"/>
  <c r="C13" i="6"/>
  <c r="E12" i="6"/>
  <c r="C12" i="6"/>
  <c r="C11" i="6"/>
  <c r="E11" i="6" s="1"/>
  <c r="E9" i="6"/>
  <c r="B9" i="6"/>
  <c r="E26" i="5"/>
  <c r="J26" i="5" s="1"/>
  <c r="I36" i="5"/>
  <c r="H36" i="5"/>
  <c r="G36" i="5"/>
  <c r="H32" i="5"/>
  <c r="I32" i="5" s="1"/>
  <c r="H33" i="5"/>
  <c r="I33" i="5"/>
  <c r="H34" i="5"/>
  <c r="I34" i="5" s="1"/>
  <c r="H35" i="5"/>
  <c r="I35" i="5"/>
  <c r="G33" i="5"/>
  <c r="G34" i="5"/>
  <c r="G35" i="5"/>
  <c r="G32" i="5"/>
  <c r="B50" i="5"/>
  <c r="E50" i="5" s="1"/>
  <c r="J49" i="5"/>
  <c r="I48" i="5"/>
  <c r="J48" i="5" s="1"/>
  <c r="G48" i="5"/>
  <c r="F48" i="5"/>
  <c r="J47" i="5"/>
  <c r="J46" i="5"/>
  <c r="F45" i="5"/>
  <c r="E45" i="5"/>
  <c r="J45" i="5" s="1"/>
  <c r="I44" i="5"/>
  <c r="H44" i="5"/>
  <c r="G44" i="5"/>
  <c r="F44" i="5"/>
  <c r="E44" i="5"/>
  <c r="J44" i="5" s="1"/>
  <c r="H43" i="5"/>
  <c r="J43" i="5" s="1"/>
  <c r="G43" i="5"/>
  <c r="F43" i="5"/>
  <c r="E43" i="5"/>
  <c r="I42" i="5"/>
  <c r="H42" i="5"/>
  <c r="G42" i="5"/>
  <c r="F42" i="5"/>
  <c r="E42" i="5"/>
  <c r="E37" i="5"/>
  <c r="E36" i="5"/>
  <c r="E35" i="5"/>
  <c r="B33" i="5"/>
  <c r="I31" i="5"/>
  <c r="F31" i="5"/>
  <c r="I28" i="5"/>
  <c r="H28" i="5"/>
  <c r="G28" i="5"/>
  <c r="F28" i="5"/>
  <c r="E27" i="5"/>
  <c r="E18" i="5"/>
  <c r="A18" i="5"/>
  <c r="A17" i="5"/>
  <c r="E14" i="5"/>
  <c r="C13" i="5"/>
  <c r="E13" i="5" s="1"/>
  <c r="C12" i="5"/>
  <c r="E12" i="5" s="1"/>
  <c r="C11" i="5"/>
  <c r="E11" i="5" s="1"/>
  <c r="E9" i="5"/>
  <c r="F9" i="5" s="1"/>
  <c r="B9" i="5"/>
  <c r="E28" i="6" l="1"/>
  <c r="E53" i="6" s="1"/>
  <c r="G14" i="6"/>
  <c r="H14" i="6" s="1"/>
  <c r="I14" i="6" s="1"/>
  <c r="E19" i="6"/>
  <c r="F11" i="6"/>
  <c r="J31" i="6"/>
  <c r="I37" i="6"/>
  <c r="E51" i="6"/>
  <c r="F50" i="6"/>
  <c r="G50" i="6" s="1"/>
  <c r="H50" i="6" s="1"/>
  <c r="I50" i="6" s="1"/>
  <c r="I51" i="6" s="1"/>
  <c r="F12" i="6"/>
  <c r="I35" i="6"/>
  <c r="J35" i="6" s="1"/>
  <c r="J26" i="6"/>
  <c r="J28" i="6" s="1"/>
  <c r="H34" i="6"/>
  <c r="I34" i="6" s="1"/>
  <c r="J42" i="6"/>
  <c r="E20" i="6"/>
  <c r="E15" i="6"/>
  <c r="E18" i="6"/>
  <c r="F9" i="6"/>
  <c r="E28" i="5"/>
  <c r="E53" i="5" s="1"/>
  <c r="I37" i="5"/>
  <c r="I53" i="5" s="1"/>
  <c r="J32" i="5"/>
  <c r="F37" i="5"/>
  <c r="I51" i="5"/>
  <c r="E19" i="5"/>
  <c r="F11" i="5"/>
  <c r="E15" i="5"/>
  <c r="F12" i="5"/>
  <c r="E20" i="5"/>
  <c r="F13" i="5"/>
  <c r="G13" i="5" s="1"/>
  <c r="H13" i="5" s="1"/>
  <c r="I13" i="5" s="1"/>
  <c r="J13" i="5"/>
  <c r="G51" i="5"/>
  <c r="G9" i="5"/>
  <c r="F18" i="5"/>
  <c r="F50" i="5"/>
  <c r="G50" i="5" s="1"/>
  <c r="H50" i="5" s="1"/>
  <c r="I50" i="5" s="1"/>
  <c r="J50" i="5"/>
  <c r="K50" i="5" s="1"/>
  <c r="J36" i="5"/>
  <c r="J27" i="5"/>
  <c r="J28" i="5" s="1"/>
  <c r="G31" i="5"/>
  <c r="J35" i="5"/>
  <c r="E51" i="5"/>
  <c r="J34" i="5"/>
  <c r="J42" i="5"/>
  <c r="F14" i="5"/>
  <c r="G14" i="5" s="1"/>
  <c r="H14" i="5" s="1"/>
  <c r="I14" i="5" s="1"/>
  <c r="K47" i="1"/>
  <c r="K50" i="1"/>
  <c r="J59" i="1"/>
  <c r="I53" i="6" l="1"/>
  <c r="F51" i="6"/>
  <c r="F53" i="6" s="1"/>
  <c r="E21" i="6"/>
  <c r="E57" i="6"/>
  <c r="E23" i="6"/>
  <c r="E55" i="6" s="1"/>
  <c r="G11" i="6"/>
  <c r="F19" i="6"/>
  <c r="H51" i="6"/>
  <c r="J34" i="6"/>
  <c r="J37" i="6"/>
  <c r="J50" i="6"/>
  <c r="K50" i="6" s="1"/>
  <c r="K47" i="6"/>
  <c r="F18" i="6"/>
  <c r="F15" i="6"/>
  <c r="G9" i="6"/>
  <c r="G12" i="6"/>
  <c r="F20" i="6"/>
  <c r="H37" i="6"/>
  <c r="H53" i="6" s="1"/>
  <c r="J14" i="6"/>
  <c r="G51" i="6"/>
  <c r="G53" i="6" s="1"/>
  <c r="G18" i="5"/>
  <c r="H9" i="5"/>
  <c r="F53" i="5"/>
  <c r="G12" i="5"/>
  <c r="F20" i="5"/>
  <c r="E21" i="5"/>
  <c r="K47" i="5"/>
  <c r="J51" i="5"/>
  <c r="H51" i="5"/>
  <c r="E57" i="5"/>
  <c r="E23" i="5"/>
  <c r="E55" i="5" s="1"/>
  <c r="J14" i="5"/>
  <c r="G37" i="5"/>
  <c r="G53" i="5" s="1"/>
  <c r="H31" i="5"/>
  <c r="H37" i="5" s="1"/>
  <c r="H53" i="5" s="1"/>
  <c r="J31" i="5"/>
  <c r="F19" i="5"/>
  <c r="F21" i="5" s="1"/>
  <c r="G11" i="5"/>
  <c r="F51" i="5"/>
  <c r="F15" i="5"/>
  <c r="J33" i="5"/>
  <c r="F20" i="1"/>
  <c r="G20" i="1"/>
  <c r="H20" i="1"/>
  <c r="I20" i="1"/>
  <c r="E20" i="1"/>
  <c r="K14" i="1"/>
  <c r="E4" i="4"/>
  <c r="G50" i="3"/>
  <c r="J49" i="3"/>
  <c r="B49" i="3"/>
  <c r="J48" i="3"/>
  <c r="I47" i="3"/>
  <c r="G47" i="3"/>
  <c r="F47" i="3"/>
  <c r="J47" i="3" s="1"/>
  <c r="I45" i="3"/>
  <c r="J45" i="3" s="1"/>
  <c r="H45" i="3"/>
  <c r="G45" i="3"/>
  <c r="F45" i="3"/>
  <c r="E45" i="3"/>
  <c r="H44" i="3"/>
  <c r="J44" i="3" s="1"/>
  <c r="G44" i="3"/>
  <c r="F44" i="3"/>
  <c r="E44" i="3"/>
  <c r="I43" i="3"/>
  <c r="H43" i="3"/>
  <c r="G43" i="3"/>
  <c r="F43" i="3"/>
  <c r="F50" i="3" s="1"/>
  <c r="E43" i="3"/>
  <c r="J43" i="3" s="1"/>
  <c r="E38" i="3"/>
  <c r="I37" i="3"/>
  <c r="F37" i="3"/>
  <c r="G37" i="3" s="1"/>
  <c r="E37" i="3"/>
  <c r="F36" i="3"/>
  <c r="G36" i="3" s="1"/>
  <c r="H36" i="3" s="1"/>
  <c r="I36" i="3" s="1"/>
  <c r="E36" i="3"/>
  <c r="F35" i="3"/>
  <c r="I34" i="3"/>
  <c r="J34" i="3" s="1"/>
  <c r="B34" i="3"/>
  <c r="F34" i="3" s="1"/>
  <c r="G34" i="3" s="1"/>
  <c r="H34" i="3" s="1"/>
  <c r="J33" i="3"/>
  <c r="I33" i="3"/>
  <c r="H33" i="3"/>
  <c r="G33" i="3"/>
  <c r="F33" i="3"/>
  <c r="I32" i="3"/>
  <c r="G32" i="3"/>
  <c r="F32" i="3"/>
  <c r="I29" i="3"/>
  <c r="H29" i="3"/>
  <c r="G29" i="3"/>
  <c r="F28" i="3"/>
  <c r="F29" i="3" s="1"/>
  <c r="E28" i="3"/>
  <c r="E29" i="3" s="1"/>
  <c r="J27" i="3"/>
  <c r="E27" i="3"/>
  <c r="J26" i="3"/>
  <c r="E26" i="3"/>
  <c r="H19" i="3"/>
  <c r="A18" i="3"/>
  <c r="A17" i="3"/>
  <c r="E14" i="3"/>
  <c r="E13" i="3"/>
  <c r="F13" i="3" s="1"/>
  <c r="G13" i="3" s="1"/>
  <c r="H13" i="3" s="1"/>
  <c r="C13" i="3"/>
  <c r="C12" i="3"/>
  <c r="E12" i="3" s="1"/>
  <c r="F12" i="3" s="1"/>
  <c r="F20" i="3" s="1"/>
  <c r="H11" i="3"/>
  <c r="I11" i="3" s="1"/>
  <c r="F11" i="3"/>
  <c r="G11" i="3" s="1"/>
  <c r="G19" i="3" s="1"/>
  <c r="C11" i="3"/>
  <c r="E11" i="3" s="1"/>
  <c r="E19" i="3" s="1"/>
  <c r="E9" i="3"/>
  <c r="B9" i="3"/>
  <c r="B49" i="2"/>
  <c r="E49" i="2" s="1"/>
  <c r="J48" i="2"/>
  <c r="I47" i="2"/>
  <c r="G47" i="2"/>
  <c r="F47" i="2"/>
  <c r="J47" i="2" s="1"/>
  <c r="J45" i="2"/>
  <c r="F45" i="2"/>
  <c r="E45" i="2"/>
  <c r="I44" i="2"/>
  <c r="H44" i="2"/>
  <c r="G44" i="2"/>
  <c r="F44" i="2"/>
  <c r="E44" i="2"/>
  <c r="J44" i="2" s="1"/>
  <c r="J43" i="2"/>
  <c r="H43" i="2"/>
  <c r="G43" i="2"/>
  <c r="F43" i="2"/>
  <c r="E43" i="2"/>
  <c r="I42" i="2"/>
  <c r="H42" i="2"/>
  <c r="G42" i="2"/>
  <c r="F42" i="2"/>
  <c r="J42" i="2" s="1"/>
  <c r="E42" i="2"/>
  <c r="F36" i="2"/>
  <c r="G36" i="2" s="1"/>
  <c r="H36" i="2" s="1"/>
  <c r="I36" i="2" s="1"/>
  <c r="E36" i="2"/>
  <c r="E37" i="2" s="1"/>
  <c r="J35" i="2"/>
  <c r="I35" i="2"/>
  <c r="H35" i="2"/>
  <c r="F35" i="2"/>
  <c r="G35" i="2" s="1"/>
  <c r="E35" i="2"/>
  <c r="F34" i="2"/>
  <c r="F33" i="2"/>
  <c r="B33" i="2"/>
  <c r="I32" i="2"/>
  <c r="G32" i="2"/>
  <c r="H32" i="2" s="1"/>
  <c r="F32" i="2"/>
  <c r="I31" i="2"/>
  <c r="H31" i="2"/>
  <c r="G31" i="2"/>
  <c r="F31" i="2"/>
  <c r="I28" i="2"/>
  <c r="H28" i="2"/>
  <c r="G28" i="2"/>
  <c r="F28" i="2"/>
  <c r="E28" i="2"/>
  <c r="J27" i="2"/>
  <c r="E27" i="2"/>
  <c r="E26" i="2"/>
  <c r="J26" i="2" s="1"/>
  <c r="G18" i="2"/>
  <c r="F18" i="2"/>
  <c r="E18" i="2"/>
  <c r="A18" i="2"/>
  <c r="A17" i="2"/>
  <c r="F14" i="2"/>
  <c r="G14" i="2" s="1"/>
  <c r="H14" i="2" s="1"/>
  <c r="I14" i="2" s="1"/>
  <c r="E14" i="2"/>
  <c r="J13" i="2"/>
  <c r="I13" i="2"/>
  <c r="G13" i="2"/>
  <c r="H13" i="2" s="1"/>
  <c r="C13" i="2"/>
  <c r="E13" i="2" s="1"/>
  <c r="F13" i="2" s="1"/>
  <c r="C12" i="2"/>
  <c r="E12" i="2" s="1"/>
  <c r="E20" i="2" s="1"/>
  <c r="E11" i="2"/>
  <c r="F11" i="2" s="1"/>
  <c r="F19" i="2" s="1"/>
  <c r="C11" i="2"/>
  <c r="H9" i="2"/>
  <c r="G9" i="2"/>
  <c r="F9" i="2"/>
  <c r="B9" i="2"/>
  <c r="E9" i="2" s="1"/>
  <c r="B50" i="1"/>
  <c r="E50" i="1" s="1"/>
  <c r="J49" i="1"/>
  <c r="I48" i="1"/>
  <c r="J48" i="1" s="1"/>
  <c r="G48" i="1"/>
  <c r="F48" i="1"/>
  <c r="J47" i="1"/>
  <c r="J46" i="1"/>
  <c r="F45" i="1"/>
  <c r="E45" i="1"/>
  <c r="I44" i="1"/>
  <c r="H44" i="1"/>
  <c r="G44" i="1"/>
  <c r="F44" i="1"/>
  <c r="E44" i="1"/>
  <c r="J44" i="1" s="1"/>
  <c r="J43" i="1"/>
  <c r="H43" i="1"/>
  <c r="G43" i="1"/>
  <c r="F43" i="1"/>
  <c r="E43" i="1"/>
  <c r="I42" i="1"/>
  <c r="H42" i="1"/>
  <c r="G42" i="1"/>
  <c r="F42" i="1"/>
  <c r="E42" i="1"/>
  <c r="J42" i="1" s="1"/>
  <c r="E37" i="1"/>
  <c r="G36" i="1"/>
  <c r="H36" i="1" s="1"/>
  <c r="I36" i="1" s="1"/>
  <c r="J36" i="1" s="1"/>
  <c r="F36" i="1"/>
  <c r="E36" i="1"/>
  <c r="G35" i="1"/>
  <c r="H35" i="1" s="1"/>
  <c r="I35" i="1" s="1"/>
  <c r="F35" i="1"/>
  <c r="E35" i="1"/>
  <c r="J35" i="1" s="1"/>
  <c r="F34" i="1"/>
  <c r="G33" i="1"/>
  <c r="H33" i="1" s="1"/>
  <c r="F33" i="1"/>
  <c r="B33" i="1"/>
  <c r="I32" i="1"/>
  <c r="F32" i="1"/>
  <c r="G32" i="1" s="1"/>
  <c r="H32" i="1" s="1"/>
  <c r="I31" i="1"/>
  <c r="H31" i="1"/>
  <c r="G31" i="1"/>
  <c r="F31" i="1"/>
  <c r="I28" i="1"/>
  <c r="H28" i="1"/>
  <c r="G28" i="1"/>
  <c r="F28" i="1"/>
  <c r="E28" i="1"/>
  <c r="J27" i="1"/>
  <c r="E27" i="1"/>
  <c r="J26" i="1"/>
  <c r="J28" i="1" s="1"/>
  <c r="E26" i="1"/>
  <c r="A18" i="1"/>
  <c r="A17" i="1"/>
  <c r="E14" i="1"/>
  <c r="H13" i="1"/>
  <c r="I13" i="1" s="1"/>
  <c r="J13" i="1" s="1"/>
  <c r="F13" i="1"/>
  <c r="G13" i="1" s="1"/>
  <c r="E13" i="1"/>
  <c r="C13" i="1"/>
  <c r="E12" i="1"/>
  <c r="F12" i="1" s="1"/>
  <c r="C12" i="1"/>
  <c r="F11" i="1"/>
  <c r="F19" i="1" s="1"/>
  <c r="C11" i="1"/>
  <c r="E11" i="1" s="1"/>
  <c r="E19" i="1" s="1"/>
  <c r="E9" i="1"/>
  <c r="F9" i="1" s="1"/>
  <c r="B9" i="1"/>
  <c r="E59" i="6" l="1"/>
  <c r="G19" i="6"/>
  <c r="H11" i="6"/>
  <c r="G18" i="6"/>
  <c r="G15" i="6"/>
  <c r="H9" i="6"/>
  <c r="F57" i="6"/>
  <c r="F21" i="6"/>
  <c r="F23" i="6" s="1"/>
  <c r="F55" i="6" s="1"/>
  <c r="H12" i="6"/>
  <c r="G20" i="6"/>
  <c r="J51" i="6"/>
  <c r="J53" i="6" s="1"/>
  <c r="I9" i="5"/>
  <c r="H18" i="5"/>
  <c r="E59" i="5"/>
  <c r="G19" i="5"/>
  <c r="H11" i="5"/>
  <c r="G15" i="5"/>
  <c r="H12" i="5"/>
  <c r="G20" i="5"/>
  <c r="J37" i="5"/>
  <c r="J53" i="5" s="1"/>
  <c r="F57" i="5"/>
  <c r="F23" i="5"/>
  <c r="F55" i="5" s="1"/>
  <c r="J11" i="3"/>
  <c r="I19" i="3"/>
  <c r="I33" i="1"/>
  <c r="J33" i="1" s="1"/>
  <c r="F50" i="1"/>
  <c r="G50" i="1" s="1"/>
  <c r="H50" i="1" s="1"/>
  <c r="I50" i="1" s="1"/>
  <c r="J50" i="1"/>
  <c r="E53" i="1"/>
  <c r="F51" i="1"/>
  <c r="H51" i="1"/>
  <c r="G9" i="1"/>
  <c r="F18" i="1"/>
  <c r="F21" i="1" s="1"/>
  <c r="F49" i="2"/>
  <c r="G49" i="2" s="1"/>
  <c r="H49" i="2" s="1"/>
  <c r="I49" i="2" s="1"/>
  <c r="I50" i="2" s="1"/>
  <c r="I13" i="3"/>
  <c r="J13" i="3"/>
  <c r="I51" i="1"/>
  <c r="J37" i="3"/>
  <c r="E50" i="3"/>
  <c r="E52" i="3" s="1"/>
  <c r="E15" i="1"/>
  <c r="E18" i="1"/>
  <c r="E52" i="2"/>
  <c r="G12" i="1"/>
  <c r="J31" i="1"/>
  <c r="E51" i="1"/>
  <c r="I9" i="2"/>
  <c r="F12" i="2"/>
  <c r="F15" i="2" s="1"/>
  <c r="J14" i="2"/>
  <c r="G34" i="2"/>
  <c r="H34" i="2" s="1"/>
  <c r="I34" i="2" s="1"/>
  <c r="E50" i="2"/>
  <c r="E18" i="3"/>
  <c r="E15" i="3"/>
  <c r="F9" i="3"/>
  <c r="F19" i="3"/>
  <c r="J19" i="3" s="1"/>
  <c r="J32" i="3"/>
  <c r="F38" i="3"/>
  <c r="F52" i="3" s="1"/>
  <c r="J45" i="1"/>
  <c r="J51" i="1" s="1"/>
  <c r="E15" i="2"/>
  <c r="J32" i="2"/>
  <c r="G12" i="3"/>
  <c r="F14" i="3"/>
  <c r="G14" i="3" s="1"/>
  <c r="H14" i="3" s="1"/>
  <c r="I14" i="3" s="1"/>
  <c r="J28" i="3"/>
  <c r="J29" i="3" s="1"/>
  <c r="J50" i="3"/>
  <c r="G11" i="1"/>
  <c r="F37" i="1"/>
  <c r="F53" i="1" s="1"/>
  <c r="J36" i="2"/>
  <c r="J32" i="1"/>
  <c r="H18" i="2"/>
  <c r="J31" i="2"/>
  <c r="E20" i="3"/>
  <c r="G35" i="3"/>
  <c r="H35" i="3" s="1"/>
  <c r="I35" i="3" s="1"/>
  <c r="I38" i="3" s="1"/>
  <c r="I52" i="3" s="1"/>
  <c r="H37" i="3"/>
  <c r="H50" i="3"/>
  <c r="H32" i="3"/>
  <c r="F14" i="1"/>
  <c r="G14" i="1" s="1"/>
  <c r="H14" i="1" s="1"/>
  <c r="I14" i="1" s="1"/>
  <c r="G34" i="1"/>
  <c r="H34" i="1" s="1"/>
  <c r="I34" i="1" s="1"/>
  <c r="I37" i="1" s="1"/>
  <c r="I53" i="1" s="1"/>
  <c r="G11" i="2"/>
  <c r="E19" i="2"/>
  <c r="E21" i="2" s="1"/>
  <c r="G33" i="2"/>
  <c r="H33" i="2" s="1"/>
  <c r="I33" i="2" s="1"/>
  <c r="I37" i="2" s="1"/>
  <c r="I52" i="2" s="1"/>
  <c r="F37" i="2"/>
  <c r="I50" i="3"/>
  <c r="J36" i="3"/>
  <c r="F59" i="6" l="1"/>
  <c r="G21" i="6"/>
  <c r="G23" i="6" s="1"/>
  <c r="G55" i="6" s="1"/>
  <c r="I12" i="6"/>
  <c r="H20" i="6"/>
  <c r="H19" i="6"/>
  <c r="I11" i="6"/>
  <c r="I19" i="6" s="1"/>
  <c r="J19" i="6"/>
  <c r="H18" i="6"/>
  <c r="H21" i="6" s="1"/>
  <c r="H15" i="6"/>
  <c r="I9" i="6"/>
  <c r="G57" i="6"/>
  <c r="G21" i="5"/>
  <c r="G23" i="5" s="1"/>
  <c r="G55" i="5" s="1"/>
  <c r="H19" i="5"/>
  <c r="I11" i="5"/>
  <c r="I19" i="5" s="1"/>
  <c r="J19" i="5" s="1"/>
  <c r="J11" i="5"/>
  <c r="H21" i="5"/>
  <c r="I18" i="5"/>
  <c r="J9" i="5"/>
  <c r="H20" i="5"/>
  <c r="I12" i="5"/>
  <c r="H15" i="5"/>
  <c r="F59" i="5"/>
  <c r="G57" i="5"/>
  <c r="F56" i="2"/>
  <c r="H37" i="1"/>
  <c r="H53" i="1" s="1"/>
  <c r="G19" i="2"/>
  <c r="H11" i="2"/>
  <c r="E21" i="1"/>
  <c r="E23" i="1" s="1"/>
  <c r="E55" i="1" s="1"/>
  <c r="G50" i="2"/>
  <c r="G37" i="1"/>
  <c r="G53" i="1" s="1"/>
  <c r="H12" i="3"/>
  <c r="G20" i="3"/>
  <c r="J34" i="1"/>
  <c r="J33" i="2"/>
  <c r="H38" i="3"/>
  <c r="H52" i="3" s="1"/>
  <c r="J37" i="2"/>
  <c r="G19" i="1"/>
  <c r="H11" i="1"/>
  <c r="E23" i="2"/>
  <c r="E54" i="2" s="1"/>
  <c r="E56" i="2"/>
  <c r="F15" i="3"/>
  <c r="F18" i="3"/>
  <c r="F21" i="3" s="1"/>
  <c r="G9" i="3"/>
  <c r="F15" i="1"/>
  <c r="G37" i="2"/>
  <c r="G52" i="2" s="1"/>
  <c r="G38" i="3"/>
  <c r="G52" i="3" s="1"/>
  <c r="E56" i="3"/>
  <c r="J37" i="1"/>
  <c r="J53" i="1" s="1"/>
  <c r="J34" i="2"/>
  <c r="J14" i="1"/>
  <c r="J14" i="3"/>
  <c r="H50" i="2"/>
  <c r="E57" i="1"/>
  <c r="E21" i="3"/>
  <c r="E23" i="3" s="1"/>
  <c r="E54" i="3" s="1"/>
  <c r="H12" i="1"/>
  <c r="H9" i="1"/>
  <c r="G15" i="1"/>
  <c r="G18" i="1"/>
  <c r="G12" i="2"/>
  <c r="F20" i="2"/>
  <c r="F50" i="2"/>
  <c r="F52" i="2" s="1"/>
  <c r="I18" i="2"/>
  <c r="J49" i="2"/>
  <c r="J50" i="2" s="1"/>
  <c r="H37" i="2"/>
  <c r="J9" i="2"/>
  <c r="J35" i="3"/>
  <c r="J38" i="3" s="1"/>
  <c r="J52" i="3" s="1"/>
  <c r="G51" i="1"/>
  <c r="G59" i="6" l="1"/>
  <c r="I20" i="6"/>
  <c r="J20" i="6" s="1"/>
  <c r="J12" i="6"/>
  <c r="I18" i="6"/>
  <c r="I15" i="6"/>
  <c r="H57" i="6"/>
  <c r="H23" i="6"/>
  <c r="H55" i="6" s="1"/>
  <c r="H59" i="6" s="1"/>
  <c r="J11" i="6"/>
  <c r="J9" i="6"/>
  <c r="G59" i="5"/>
  <c r="H23" i="5"/>
  <c r="H55" i="5" s="1"/>
  <c r="H57" i="5"/>
  <c r="I20" i="5"/>
  <c r="J20" i="5" s="1"/>
  <c r="J12" i="5"/>
  <c r="K14" i="5"/>
  <c r="J15" i="5"/>
  <c r="I15" i="5"/>
  <c r="J18" i="5"/>
  <c r="E58" i="3"/>
  <c r="E59" i="1"/>
  <c r="I9" i="1"/>
  <c r="H15" i="1"/>
  <c r="H18" i="1"/>
  <c r="I11" i="1"/>
  <c r="H19" i="1"/>
  <c r="I12" i="1"/>
  <c r="G18" i="3"/>
  <c r="H9" i="3"/>
  <c r="G15" i="3"/>
  <c r="F21" i="2"/>
  <c r="F23" i="2" s="1"/>
  <c r="F54" i="2" s="1"/>
  <c r="F58" i="2" s="1"/>
  <c r="J18" i="2"/>
  <c r="H12" i="2"/>
  <c r="G20" i="2"/>
  <c r="G21" i="2" s="1"/>
  <c r="G15" i="2"/>
  <c r="F56" i="3"/>
  <c r="F23" i="3"/>
  <c r="F54" i="3" s="1"/>
  <c r="F58" i="3" s="1"/>
  <c r="I11" i="2"/>
  <c r="H19" i="2"/>
  <c r="H15" i="2"/>
  <c r="J20" i="1"/>
  <c r="F57" i="1"/>
  <c r="F23" i="1"/>
  <c r="F55" i="1" s="1"/>
  <c r="G21" i="1"/>
  <c r="H52" i="2"/>
  <c r="G57" i="1"/>
  <c r="G23" i="1"/>
  <c r="G55" i="1" s="1"/>
  <c r="G59" i="1" s="1"/>
  <c r="E58" i="2"/>
  <c r="H20" i="3"/>
  <c r="J20" i="3" s="1"/>
  <c r="I12" i="3"/>
  <c r="I20" i="3" s="1"/>
  <c r="I57" i="6" l="1"/>
  <c r="J57" i="6" s="1"/>
  <c r="I21" i="6"/>
  <c r="I23" i="6" s="1"/>
  <c r="I55" i="6" s="1"/>
  <c r="J18" i="6"/>
  <c r="J21" i="6" s="1"/>
  <c r="J15" i="6"/>
  <c r="K14" i="6"/>
  <c r="J21" i="5"/>
  <c r="H59" i="5"/>
  <c r="I21" i="5"/>
  <c r="J23" i="5"/>
  <c r="I23" i="5"/>
  <c r="I55" i="5" s="1"/>
  <c r="I59" i="5" s="1"/>
  <c r="I57" i="5"/>
  <c r="J57" i="5" s="1"/>
  <c r="I18" i="1"/>
  <c r="I15" i="1"/>
  <c r="J9" i="1"/>
  <c r="F59" i="1"/>
  <c r="J12" i="1"/>
  <c r="J12" i="3"/>
  <c r="G56" i="3"/>
  <c r="I19" i="1"/>
  <c r="J19" i="1" s="1"/>
  <c r="J11" i="1"/>
  <c r="H20" i="2"/>
  <c r="I12" i="2"/>
  <c r="I20" i="2" s="1"/>
  <c r="H21" i="1"/>
  <c r="H23" i="1" s="1"/>
  <c r="H55" i="1" s="1"/>
  <c r="H56" i="2"/>
  <c r="H18" i="3"/>
  <c r="H21" i="3" s="1"/>
  <c r="I9" i="3"/>
  <c r="H15" i="3"/>
  <c r="H21" i="2"/>
  <c r="H23" i="2" s="1"/>
  <c r="H54" i="2" s="1"/>
  <c r="H58" i="2" s="1"/>
  <c r="G21" i="3"/>
  <c r="G23" i="3" s="1"/>
  <c r="G54" i="3" s="1"/>
  <c r="H57" i="1"/>
  <c r="G23" i="2"/>
  <c r="G54" i="2" s="1"/>
  <c r="G56" i="2"/>
  <c r="I19" i="2"/>
  <c r="J11" i="2"/>
  <c r="I59" i="6" l="1"/>
  <c r="J55" i="6"/>
  <c r="J59" i="6" s="1"/>
  <c r="J23" i="6"/>
  <c r="J55" i="5"/>
  <c r="J59" i="5" s="1"/>
  <c r="H59" i="1"/>
  <c r="G58" i="3"/>
  <c r="J19" i="2"/>
  <c r="I21" i="2"/>
  <c r="G58" i="2"/>
  <c r="I15" i="3"/>
  <c r="I18" i="3"/>
  <c r="I21" i="3" s="1"/>
  <c r="J9" i="3"/>
  <c r="J15" i="3" s="1"/>
  <c r="I57" i="1"/>
  <c r="J20" i="2"/>
  <c r="H56" i="3"/>
  <c r="H23" i="3"/>
  <c r="H54" i="3" s="1"/>
  <c r="J15" i="1"/>
  <c r="I21" i="1"/>
  <c r="I23" i="1" s="1"/>
  <c r="I55" i="1" s="1"/>
  <c r="J18" i="1"/>
  <c r="J21" i="1" s="1"/>
  <c r="J57" i="1"/>
  <c r="J12" i="2"/>
  <c r="J15" i="2" s="1"/>
  <c r="I15" i="2"/>
  <c r="J18" i="3"/>
  <c r="J21" i="3" s="1"/>
  <c r="J23" i="1" l="1"/>
  <c r="I59" i="1"/>
  <c r="J55" i="1"/>
  <c r="J56" i="3"/>
  <c r="J23" i="2"/>
  <c r="J21" i="2"/>
  <c r="J23" i="3"/>
  <c r="I56" i="2"/>
  <c r="J56" i="2" s="1"/>
  <c r="I23" i="2"/>
  <c r="I54" i="2" s="1"/>
  <c r="H58" i="3"/>
  <c r="I56" i="3"/>
  <c r="I23" i="3"/>
  <c r="I54" i="3" s="1"/>
  <c r="I58" i="3" s="1"/>
  <c r="J54" i="3" l="1"/>
  <c r="J58" i="3" s="1"/>
  <c r="I58" i="2"/>
  <c r="J54" i="2"/>
  <c r="J58" i="2" s="1"/>
  <c r="J28" i="2"/>
  <c r="J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" authorId="0" shapeId="0" xr:uid="{A8483D9C-9797-4438-A532-B7E3F5658D7B}">
      <text>
        <r>
          <rPr>
            <sz val="10"/>
            <rFont val="Arial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>May get from Navy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" authorId="0" shapeId="0" xr:uid="{42D274F6-43CE-43DB-A05B-E941E9B08E1A}">
      <text>
        <r>
          <rPr>
            <sz val="10"/>
            <rFont val="Arial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>May get from Navy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" authorId="0" shapeId="0" xr:uid="{00000000-0006-0000-0000-000001000000}">
      <text>
        <r>
          <rPr>
            <sz val="10"/>
            <rFont val="Arial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>May get from Navy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" authorId="0" shapeId="0" xr:uid="{00000000-0006-0000-0100-000001000000}">
      <text>
        <r>
          <rPr>
            <sz val="10"/>
            <rFont val="Arial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>May get from Navy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" authorId="0" shapeId="0" xr:uid="{00000000-0006-0000-0200-000001000000}">
      <text>
        <r>
          <rPr>
            <sz val="10"/>
            <rFont val="Arial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>May get from Navy</t>
        </r>
      </text>
    </comment>
  </commentList>
</comments>
</file>

<file path=xl/sharedStrings.xml><?xml version="1.0" encoding="utf-8"?>
<sst xmlns="http://schemas.openxmlformats.org/spreadsheetml/2006/main" count="488" uniqueCount="99">
  <si>
    <t>CAREER: Translation of Machine Learning and Additive Manufacturing to Accelerate and Diversify Science and Engineering</t>
  </si>
  <si>
    <t>Sponsor:</t>
  </si>
  <si>
    <t>NSF</t>
  </si>
  <si>
    <t>PrincipaI Investigator: Jordan Hanson</t>
  </si>
  <si>
    <t>Institution:</t>
  </si>
  <si>
    <t>Whittier College</t>
  </si>
  <si>
    <t>NOFO:</t>
  </si>
  <si>
    <t>Faculty Early Career Development Program</t>
  </si>
  <si>
    <t>Categories</t>
  </si>
  <si>
    <t>Calculation</t>
  </si>
  <si>
    <t>Year 1</t>
  </si>
  <si>
    <t>Year 2</t>
  </si>
  <si>
    <t>Year 3</t>
  </si>
  <si>
    <t>Year 4</t>
  </si>
  <si>
    <t>Year 5</t>
  </si>
  <si>
    <t>Total Request</t>
  </si>
  <si>
    <t>7/1/24-6/30/25</t>
  </si>
  <si>
    <t>7/1/25-6/30/26</t>
  </si>
  <si>
    <t>7/1/26-6/30/27</t>
  </si>
  <si>
    <t>7/1/27-6/30/28</t>
  </si>
  <si>
    <t>7/1/28-6/30/29</t>
  </si>
  <si>
    <t>7/1/24-6/30/29</t>
  </si>
  <si>
    <t>PERSONNEL</t>
  </si>
  <si>
    <t>A. Senior/Key Personnel</t>
  </si>
  <si>
    <t>Annual</t>
  </si>
  <si>
    <t>Person Mths</t>
  </si>
  <si>
    <t>Increment</t>
  </si>
  <si>
    <t>PI AY Release</t>
  </si>
  <si>
    <t>PI Summer Salary</t>
  </si>
  <si>
    <t>B. Other Personnel</t>
  </si>
  <si>
    <t>Rate</t>
  </si>
  <si>
    <t>Hours</t>
  </si>
  <si>
    <t>Number</t>
  </si>
  <si>
    <t>UG Research Assistants-AY</t>
  </si>
  <si>
    <t>UG Research Assistants-Summer</t>
  </si>
  <si>
    <t>Post-baccalaureate Res. Asst.</t>
  </si>
  <si>
    <t>Subtotal - Salary &amp; Wages</t>
  </si>
  <si>
    <t>C. Fringe Benefits</t>
  </si>
  <si>
    <t>Fringe Rate</t>
  </si>
  <si>
    <t>AY overload</t>
  </si>
  <si>
    <t>Summer</t>
  </si>
  <si>
    <t>Students AY</t>
  </si>
  <si>
    <t>Students Summer</t>
  </si>
  <si>
    <t>Subtotal - Fringe Benefits</t>
  </si>
  <si>
    <t>TOTAL PERSONNEL</t>
  </si>
  <si>
    <t>NON-PERSONNEL EXPENSES</t>
  </si>
  <si>
    <t>D. Equipment</t>
  </si>
  <si>
    <t>Cost</t>
  </si>
  <si>
    <t>Quantity</t>
  </si>
  <si>
    <t>New GPU/Multi-core server, or upgrade</t>
  </si>
  <si>
    <t>Oscilloscope</t>
  </si>
  <si>
    <t>Subtotal - Equipment</t>
  </si>
  <si>
    <t>E. Travel</t>
  </si>
  <si>
    <t>Cost/Person</t>
  </si>
  <si>
    <t># People</t>
  </si>
  <si>
    <t># Days or Trips</t>
  </si>
  <si>
    <t>Local Travel</t>
  </si>
  <si>
    <t>0</t>
  </si>
  <si>
    <t>Airfare</t>
  </si>
  <si>
    <t>Hotel (x nights/trip)</t>
  </si>
  <si>
    <t>1</t>
  </si>
  <si>
    <t>Train Transportation</t>
  </si>
  <si>
    <t>Per Diem (x days/trip)</t>
  </si>
  <si>
    <t>Conference registration</t>
  </si>
  <si>
    <t>Subtotal - Travel</t>
  </si>
  <si>
    <t>F. Participant/Trainee Support Costs</t>
  </si>
  <si>
    <t>G. Other Direct Costs</t>
  </si>
  <si>
    <t>Frequency/Yr</t>
  </si>
  <si>
    <t>Materials &amp; supplies: 3D printers</t>
  </si>
  <si>
    <t>--</t>
  </si>
  <si>
    <t>Materials &amp; Supplies: Filament 50 rolls</t>
  </si>
  <si>
    <t>Materials &amp; Supplies: Connectors, cables, etc.</t>
  </si>
  <si>
    <t>Materials &amp; Supplies: Adj. phase shifters</t>
  </si>
  <si>
    <t>Android mobile devices</t>
  </si>
  <si>
    <t>Drone parts</t>
  </si>
  <si>
    <t>Publication/Documentation/Dissemination</t>
  </si>
  <si>
    <t>Professional Services: Speaker Honoraria</t>
  </si>
  <si>
    <t>Professional Services: Speaker Travel</t>
  </si>
  <si>
    <t>Subtotal - Other Direct Cost</t>
  </si>
  <si>
    <t>TOTAL NON-PERSONNEL</t>
  </si>
  <si>
    <t>G. TOTAL DIRECT COSTS</t>
  </si>
  <si>
    <t>Base</t>
  </si>
  <si>
    <t>H. INDIRECT COSTS</t>
  </si>
  <si>
    <t>Sal &amp; Wages</t>
  </si>
  <si>
    <t>TOTAL DIRECT AND INDIRECT COSTS</t>
  </si>
  <si>
    <t>GPU/Multi-core server</t>
  </si>
  <si>
    <t>Adjustable phase shifters</t>
  </si>
  <si>
    <t>PERSON MONTHS</t>
  </si>
  <si>
    <t>NAME</t>
  </si>
  <si>
    <t>MTH TYPE</t>
  </si>
  <si>
    <t>EFFORT</t>
  </si>
  <si>
    <t># OF MTHS</t>
  </si>
  <si>
    <t>PERSON MTHS</t>
  </si>
  <si>
    <t>Hanson</t>
  </si>
  <si>
    <t>CAREER: Translation, Acceleration, and Diversification of Science and Engineering with Open-Source Computational Electromagnetism and Additive Manufacturing</t>
  </si>
  <si>
    <t>Students Summer/Post-bacs</t>
  </si>
  <si>
    <t>300 &amp; 700</t>
  </si>
  <si>
    <t>Ground Transportation</t>
  </si>
  <si>
    <t>New GPU/Multi-core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</si>
</sst>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$#,##0.00"/>
    <numFmt numFmtId="165" formatCode="_(* #,##0.00_);_(* \(#,##0.00\);_(* \-??_);_(@_)"/>
    <numFmt numFmtId="166" formatCode="\$#,##0"/>
    <numFmt numFmtId="167" formatCode="_(\$* #,##0.00_);_(\$* \(#,##0.00\);_(\$* \-??_);_(@_)"/>
    <numFmt numFmtId="168" formatCode="\$#,##0.00_);[Red]&quot;($&quot;#,##0.00\)"/>
    <numFmt numFmtId="169" formatCode="0.0%"/>
  </numFmts>
  <fonts count="13" x14ac:knownFonts="1"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D4"/>
      <name val="Arial"/>
      <family val="2"/>
      <charset val="1"/>
    </font>
    <font>
      <sz val="10"/>
      <color rgb="FF515151"/>
      <name val="Arial"/>
      <family val="2"/>
      <charset val="1"/>
    </font>
    <font>
      <b/>
      <sz val="10"/>
      <color rgb="FF515151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D9D9D9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165" fontId="12" fillId="0" borderId="0" applyBorder="0" applyProtection="0"/>
    <xf numFmtId="167" fontId="12" fillId="0" borderId="0" applyBorder="0" applyProtection="0"/>
    <xf numFmtId="9" fontId="12" fillId="0" borderId="0" applyBorder="0" applyProtection="0"/>
    <xf numFmtId="0" fontId="1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7" fontId="2" fillId="4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locked="0"/>
    </xf>
    <xf numFmtId="0" fontId="1" fillId="0" borderId="5" xfId="0" applyFont="1" applyBorder="1" applyProtection="1">
      <protection locked="0"/>
    </xf>
    <xf numFmtId="4" fontId="1" fillId="0" borderId="3" xfId="0" applyNumberFormat="1" applyFont="1" applyBorder="1"/>
    <xf numFmtId="0" fontId="2" fillId="5" borderId="4" xfId="0" applyFont="1" applyFill="1" applyBorder="1" applyAlignment="1">
      <alignment horizontal="left" wrapText="1"/>
    </xf>
    <xf numFmtId="0" fontId="2" fillId="5" borderId="0" xfId="0" applyFont="1" applyFill="1" applyAlignment="1">
      <alignment horizontal="center"/>
    </xf>
    <xf numFmtId="4" fontId="2" fillId="5" borderId="0" xfId="1" applyNumberFormat="1" applyFont="1" applyFill="1" applyBorder="1" applyAlignment="1" applyProtection="1">
      <alignment horizontal="center"/>
      <protection locked="0"/>
    </xf>
    <xf numFmtId="10" fontId="1" fillId="5" borderId="3" xfId="1" applyNumberFormat="1" applyFont="1" applyFill="1" applyBorder="1" applyProtection="1"/>
    <xf numFmtId="10" fontId="1" fillId="5" borderId="3" xfId="0" applyNumberFormat="1" applyFont="1" applyFill="1" applyBorder="1"/>
    <xf numFmtId="40" fontId="1" fillId="0" borderId="0" xfId="0" applyNumberFormat="1" applyFont="1"/>
    <xf numFmtId="40" fontId="1" fillId="0" borderId="4" xfId="0" applyNumberFormat="1" applyFont="1" applyBorder="1" applyAlignment="1">
      <alignment horizontal="left" indent="2"/>
    </xf>
    <xf numFmtId="3" fontId="4" fillId="0" borderId="0" xfId="0" applyNumberFormat="1" applyFont="1" applyAlignment="1">
      <alignment horizontal="center"/>
    </xf>
    <xf numFmtId="9" fontId="1" fillId="0" borderId="0" xfId="3" applyFont="1" applyBorder="1" applyAlignment="1" applyProtection="1">
      <alignment horizontal="center"/>
    </xf>
    <xf numFmtId="38" fontId="1" fillId="0" borderId="0" xfId="0" applyNumberFormat="1" applyFont="1" applyAlignment="1" applyProtection="1">
      <alignment horizontal="center"/>
      <protection locked="0"/>
    </xf>
    <xf numFmtId="164" fontId="1" fillId="0" borderId="3" xfId="0" applyNumberFormat="1" applyFont="1" applyBorder="1"/>
    <xf numFmtId="38" fontId="1" fillId="0" borderId="0" xfId="0" applyNumberFormat="1" applyFont="1"/>
    <xf numFmtId="2" fontId="1" fillId="0" borderId="0" xfId="3" applyNumberFormat="1" applyFont="1" applyBorder="1" applyAlignment="1" applyProtection="1">
      <alignment horizontal="center"/>
    </xf>
    <xf numFmtId="40" fontId="1" fillId="0" borderId="0" xfId="0" applyNumberFormat="1" applyFont="1" applyAlignment="1" applyProtection="1">
      <alignment horizontal="center"/>
      <protection locked="0"/>
    </xf>
    <xf numFmtId="166" fontId="1" fillId="0" borderId="3" xfId="0" applyNumberFormat="1" applyFont="1" applyBorder="1"/>
    <xf numFmtId="40" fontId="2" fillId="5" borderId="4" xfId="0" applyNumberFormat="1" applyFont="1" applyFill="1" applyBorder="1"/>
    <xf numFmtId="3" fontId="5" fillId="5" borderId="0" xfId="0" applyNumberFormat="1" applyFont="1" applyFill="1" applyAlignment="1">
      <alignment horizontal="center"/>
    </xf>
    <xf numFmtId="9" fontId="2" fillId="5" borderId="0" xfId="3" applyFont="1" applyFill="1" applyBorder="1" applyAlignment="1" applyProtection="1">
      <alignment horizontal="center"/>
    </xf>
    <xf numFmtId="40" fontId="2" fillId="5" borderId="0" xfId="0" applyNumberFormat="1" applyFont="1" applyFill="1" applyAlignment="1" applyProtection="1">
      <alignment horizontal="center"/>
      <protection locked="0"/>
    </xf>
    <xf numFmtId="166" fontId="1" fillId="5" borderId="3" xfId="0" applyNumberFormat="1" applyFont="1" applyFill="1" applyBorder="1"/>
    <xf numFmtId="4" fontId="1" fillId="0" borderId="0" xfId="0" applyNumberFormat="1" applyFont="1" applyAlignment="1">
      <alignment horizontal="center"/>
    </xf>
    <xf numFmtId="1" fontId="1" fillId="0" borderId="0" xfId="3" applyNumberFormat="1" applyFont="1" applyBorder="1" applyAlignment="1" applyProtection="1">
      <alignment horizontal="center"/>
    </xf>
    <xf numFmtId="166" fontId="1" fillId="6" borderId="3" xfId="0" applyNumberFormat="1" applyFont="1" applyFill="1" applyBorder="1"/>
    <xf numFmtId="3" fontId="1" fillId="0" borderId="0" xfId="0" applyNumberFormat="1" applyFont="1" applyAlignment="1">
      <alignment horizontal="center"/>
    </xf>
    <xf numFmtId="40" fontId="2" fillId="3" borderId="4" xfId="0" applyNumberFormat="1" applyFont="1" applyFill="1" applyBorder="1" applyAlignment="1">
      <alignment horizontal="left" indent="2"/>
    </xf>
    <xf numFmtId="40" fontId="2" fillId="3" borderId="0" xfId="0" applyNumberFormat="1" applyFont="1" applyFill="1"/>
    <xf numFmtId="40" fontId="2" fillId="3" borderId="0" xfId="0" applyNumberFormat="1" applyFont="1" applyFill="1" applyProtection="1">
      <protection locked="0"/>
    </xf>
    <xf numFmtId="166" fontId="2" fillId="3" borderId="3" xfId="1" applyNumberFormat="1" applyFont="1" applyFill="1" applyBorder="1" applyProtection="1"/>
    <xf numFmtId="166" fontId="1" fillId="0" borderId="0" xfId="0" applyNumberFormat="1" applyFont="1"/>
    <xf numFmtId="49" fontId="2" fillId="5" borderId="4" xfId="0" applyNumberFormat="1" applyFont="1" applyFill="1" applyBorder="1" applyAlignment="1">
      <alignment vertical="top"/>
    </xf>
    <xf numFmtId="167" fontId="2" fillId="5" borderId="0" xfId="2" applyFont="1" applyFill="1" applyBorder="1" applyAlignment="1" applyProtection="1">
      <alignment horizontal="center" vertical="center"/>
    </xf>
    <xf numFmtId="166" fontId="1" fillId="5" borderId="3" xfId="0" applyNumberFormat="1" applyFont="1" applyFill="1" applyBorder="1" applyAlignment="1">
      <alignment vertical="top"/>
    </xf>
    <xf numFmtId="10" fontId="1" fillId="0" borderId="0" xfId="3" applyNumberFormat="1" applyFont="1" applyBorder="1" applyAlignment="1" applyProtection="1">
      <alignment horizontal="center"/>
      <protection locked="0"/>
    </xf>
    <xf numFmtId="10" fontId="1" fillId="0" borderId="0" xfId="3" applyNumberFormat="1" applyFont="1" applyBorder="1" applyAlignment="1" applyProtection="1">
      <alignment horizontal="center"/>
    </xf>
    <xf numFmtId="164" fontId="1" fillId="0" borderId="0" xfId="0" applyNumberFormat="1" applyFont="1"/>
    <xf numFmtId="166" fontId="2" fillId="3" borderId="3" xfId="0" applyNumberFormat="1" applyFont="1" applyFill="1" applyBorder="1"/>
    <xf numFmtId="0" fontId="2" fillId="0" borderId="4" xfId="0" applyFont="1" applyBorder="1"/>
    <xf numFmtId="4" fontId="2" fillId="0" borderId="0" xfId="0" applyNumberFormat="1" applyFont="1" applyProtection="1">
      <protection locked="0"/>
    </xf>
    <xf numFmtId="166" fontId="2" fillId="0" borderId="3" xfId="0" applyNumberFormat="1" applyFont="1" applyBorder="1"/>
    <xf numFmtId="40" fontId="2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6" fontId="2" fillId="0" borderId="3" xfId="0" applyNumberFormat="1" applyFont="1" applyBorder="1" applyAlignment="1">
      <alignment horizontal="center"/>
    </xf>
    <xf numFmtId="40" fontId="2" fillId="5" borderId="0" xfId="0" applyNumberFormat="1" applyFont="1" applyFill="1" applyAlignment="1">
      <alignment horizontal="center"/>
    </xf>
    <xf numFmtId="166" fontId="1" fillId="5" borderId="3" xfId="1" applyNumberFormat="1" applyFont="1" applyFill="1" applyBorder="1" applyProtection="1"/>
    <xf numFmtId="38" fontId="1" fillId="0" borderId="0" xfId="0" applyNumberFormat="1" applyFont="1" applyProtection="1">
      <protection locked="0"/>
    </xf>
    <xf numFmtId="166" fontId="1" fillId="0" borderId="3" xfId="1" applyNumberFormat="1" applyFont="1" applyBorder="1" applyProtection="1"/>
    <xf numFmtId="0" fontId="2" fillId="3" borderId="4" xfId="0" applyFont="1" applyFill="1" applyBorder="1" applyAlignment="1">
      <alignment horizontal="left" indent="2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166" fontId="2" fillId="3" borderId="3" xfId="0" applyNumberFormat="1" applyFont="1" applyFill="1" applyBorder="1" applyAlignment="1">
      <alignment horizontal="right"/>
    </xf>
    <xf numFmtId="166" fontId="6" fillId="5" borderId="3" xfId="1" applyNumberFormat="1" applyFont="1" applyFill="1" applyBorder="1" applyAlignment="1" applyProtection="1">
      <alignment horizontal="center"/>
    </xf>
    <xf numFmtId="38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left" indent="2"/>
    </xf>
    <xf numFmtId="0" fontId="1" fillId="0" borderId="0" xfId="0" applyFont="1" applyAlignment="1">
      <alignment horizontal="center"/>
    </xf>
    <xf numFmtId="1" fontId="1" fillId="0" borderId="0" xfId="3" applyNumberFormat="1" applyFont="1" applyBorder="1" applyAlignment="1" applyProtection="1">
      <alignment horizontal="center" vertical="center"/>
      <protection locked="0"/>
    </xf>
    <xf numFmtId="49" fontId="2" fillId="3" borderId="0" xfId="0" applyNumberFormat="1" applyFont="1" applyFill="1" applyAlignment="1">
      <alignment horizontal="center"/>
    </xf>
    <xf numFmtId="2" fontId="2" fillId="3" borderId="0" xfId="3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Border="1"/>
    <xf numFmtId="2" fontId="1" fillId="0" borderId="0" xfId="3" applyNumberFormat="1" applyFont="1" applyBorder="1" applyAlignment="1" applyProtection="1">
      <alignment horizontal="center" vertical="center"/>
      <protection locked="0"/>
    </xf>
    <xf numFmtId="0" fontId="2" fillId="5" borderId="4" xfId="0" applyFont="1" applyFill="1" applyBorder="1"/>
    <xf numFmtId="0" fontId="1" fillId="5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2" fontId="1" fillId="5" borderId="0" xfId="3" applyNumberFormat="1" applyFont="1" applyFill="1" applyBorder="1" applyAlignment="1" applyProtection="1">
      <alignment horizontal="center" vertical="center"/>
      <protection locked="0"/>
    </xf>
    <xf numFmtId="166" fontId="1" fillId="6" borderId="3" xfId="1" applyNumberFormat="1" applyFont="1" applyFill="1" applyBorder="1" applyProtection="1"/>
    <xf numFmtId="40" fontId="2" fillId="0" borderId="4" xfId="0" applyNumberFormat="1" applyFont="1" applyBorder="1"/>
    <xf numFmtId="40" fontId="2" fillId="0" borderId="0" xfId="0" applyNumberFormat="1" applyFont="1"/>
    <xf numFmtId="40" fontId="2" fillId="0" borderId="0" xfId="0" applyNumberFormat="1" applyFont="1" applyProtection="1">
      <protection locked="0"/>
    </xf>
    <xf numFmtId="0" fontId="7" fillId="3" borderId="4" xfId="0" applyFont="1" applyFill="1" applyBorder="1" applyAlignment="1">
      <alignment horizontal="left" vertical="top" wrapText="1"/>
    </xf>
    <xf numFmtId="40" fontId="1" fillId="3" borderId="0" xfId="0" applyNumberFormat="1" applyFont="1" applyFill="1" applyAlignment="1">
      <alignment horizontal="right"/>
    </xf>
    <xf numFmtId="40" fontId="1" fillId="3" borderId="0" xfId="0" applyNumberFormat="1" applyFont="1" applyFill="1" applyAlignment="1" applyProtection="1">
      <alignment horizontal="right"/>
      <protection locked="0"/>
    </xf>
    <xf numFmtId="168" fontId="1" fillId="0" borderId="0" xfId="0" applyNumberFormat="1" applyFont="1"/>
    <xf numFmtId="0" fontId="7" fillId="0" borderId="4" xfId="0" applyFont="1" applyBorder="1" applyAlignment="1">
      <alignment horizontal="left" vertical="top" wrapText="1"/>
    </xf>
    <xf numFmtId="40" fontId="1" fillId="0" borderId="0" xfId="0" applyNumberFormat="1" applyFont="1" applyAlignment="1">
      <alignment horizontal="right"/>
    </xf>
    <xf numFmtId="40" fontId="1" fillId="0" borderId="0" xfId="0" applyNumberFormat="1" applyFont="1" applyAlignment="1" applyProtection="1">
      <alignment horizontal="right"/>
      <protection locked="0"/>
    </xf>
    <xf numFmtId="166" fontId="2" fillId="0" borderId="3" xfId="1" applyNumberFormat="1" applyFont="1" applyBorder="1" applyProtection="1"/>
    <xf numFmtId="40" fontId="8" fillId="0" borderId="0" xfId="0" applyNumberFormat="1" applyFont="1" applyAlignment="1">
      <alignment horizontal="center"/>
    </xf>
    <xf numFmtId="169" fontId="1" fillId="3" borderId="0" xfId="3" applyNumberFormat="1" applyFont="1" applyFill="1" applyBorder="1" applyAlignment="1" applyProtection="1">
      <alignment horizontal="center"/>
    </xf>
    <xf numFmtId="40" fontId="1" fillId="3" borderId="0" xfId="0" applyNumberFormat="1" applyFont="1" applyFill="1" applyAlignment="1">
      <alignment horizontal="center"/>
    </xf>
    <xf numFmtId="169" fontId="1" fillId="0" borderId="0" xfId="3" applyNumberFormat="1" applyFont="1" applyBorder="1" applyAlignment="1" applyProtection="1">
      <alignment horizontal="center"/>
    </xf>
    <xf numFmtId="40" fontId="2" fillId="7" borderId="6" xfId="0" applyNumberFormat="1" applyFont="1" applyFill="1" applyBorder="1"/>
    <xf numFmtId="40" fontId="2" fillId="7" borderId="7" xfId="0" applyNumberFormat="1" applyFont="1" applyFill="1" applyBorder="1"/>
    <xf numFmtId="40" fontId="2" fillId="7" borderId="7" xfId="0" applyNumberFormat="1" applyFont="1" applyFill="1" applyBorder="1" applyProtection="1">
      <protection locked="0"/>
    </xf>
    <xf numFmtId="166" fontId="2" fillId="7" borderId="3" xfId="2" applyNumberFormat="1" applyFont="1" applyFill="1" applyBorder="1" applyProtection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locked="0"/>
    </xf>
    <xf numFmtId="0" fontId="1" fillId="0" borderId="0" xfId="0" applyFont="1" applyAlignment="1">
      <alignment vertical="center"/>
    </xf>
    <xf numFmtId="40" fontId="1" fillId="6" borderId="4" xfId="0" applyNumberFormat="1" applyFont="1" applyFill="1" applyBorder="1" applyAlignment="1">
      <alignment horizontal="left" indent="2"/>
    </xf>
    <xf numFmtId="38" fontId="1" fillId="6" borderId="0" xfId="0" applyNumberFormat="1" applyFont="1" applyFill="1"/>
    <xf numFmtId="40" fontId="1" fillId="6" borderId="0" xfId="0" applyNumberFormat="1" applyFont="1" applyFill="1"/>
    <xf numFmtId="38" fontId="1" fillId="6" borderId="0" xfId="0" applyNumberFormat="1" applyFont="1" applyFill="1" applyProtection="1">
      <protection locked="0"/>
    </xf>
    <xf numFmtId="38" fontId="1" fillId="6" borderId="0" xfId="0" applyNumberFormat="1" applyFont="1" applyFill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0" fontId="11" fillId="0" borderId="0" xfId="4" applyFont="1"/>
    <xf numFmtId="0" fontId="1" fillId="0" borderId="0" xfId="4" applyAlignment="1">
      <alignment horizontal="center"/>
    </xf>
    <xf numFmtId="0" fontId="1" fillId="0" borderId="0" xfId="4"/>
    <xf numFmtId="0" fontId="11" fillId="0" borderId="0" xfId="4" applyFont="1" applyAlignment="1">
      <alignment horizontal="center"/>
    </xf>
    <xf numFmtId="164" fontId="1" fillId="0" borderId="3" xfId="1" applyNumberFormat="1" applyFont="1" applyBorder="1" applyProtection="1"/>
    <xf numFmtId="164" fontId="1" fillId="6" borderId="3" xfId="0" applyNumberFormat="1" applyFont="1" applyFill="1" applyBorder="1"/>
    <xf numFmtId="164" fontId="2" fillId="3" borderId="3" xfId="1" applyNumberFormat="1" applyFont="1" applyFill="1" applyBorder="1" applyProtection="1"/>
    <xf numFmtId="38" fontId="1" fillId="8" borderId="0" xfId="0" applyNumberFormat="1" applyFont="1" applyFill="1" applyAlignment="1" applyProtection="1">
      <alignment horizontal="center"/>
      <protection locked="0"/>
    </xf>
    <xf numFmtId="38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40" fontId="1" fillId="8" borderId="4" xfId="0" applyNumberFormat="1" applyFont="1" applyFill="1" applyBorder="1" applyAlignment="1">
      <alignment horizontal="left" indent="2"/>
    </xf>
    <xf numFmtId="38" fontId="1" fillId="8" borderId="0" xfId="0" applyNumberFormat="1" applyFont="1" applyFill="1"/>
    <xf numFmtId="0" fontId="2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2" xfId="4" xr:uid="{00000000-0005-0000-0000-000006000000}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15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CB84-EAA4-4C40-97BF-29C168399458}">
  <sheetPr>
    <pageSetUpPr fitToPage="1"/>
  </sheetPr>
  <dimension ref="A1:AMJ61"/>
  <sheetViews>
    <sheetView tabSelected="1" showOutlineSymbols="0" topLeftCell="A13" zoomScale="96" zoomScaleNormal="85" workbookViewId="0">
      <selection activeCell="A24" sqref="A24"/>
    </sheetView>
  </sheetViews>
  <sheetFormatPr defaultColWidth="8.81640625" defaultRowHeight="12.5" x14ac:dyDescent="0.25"/>
  <cols>
    <col min="1" max="1" width="36.54296875" style="1" customWidth="1"/>
    <col min="2" max="2" width="10.54296875" style="1" customWidth="1"/>
    <col min="3" max="3" width="11.6328125" style="1" customWidth="1"/>
    <col min="4" max="4" width="12.6328125" style="2" customWidth="1"/>
    <col min="5" max="5" width="18.81640625" style="1" customWidth="1"/>
    <col min="6" max="9" width="19.453125" style="1" customWidth="1"/>
    <col min="10" max="10" width="18.81640625" style="1" customWidth="1"/>
    <col min="11" max="11" width="15.453125" style="1" customWidth="1"/>
    <col min="12" max="12" width="11.453125" style="1" customWidth="1"/>
    <col min="13" max="15" width="9.81640625" style="1" customWidth="1"/>
    <col min="16" max="16" width="10.81640625" style="1" customWidth="1"/>
    <col min="17" max="50" width="9.1796875" style="1" customWidth="1"/>
    <col min="51" max="1024" width="8.81640625" style="1"/>
  </cols>
  <sheetData>
    <row r="1" spans="1:16" s="3" customFormat="1" ht="12.75" customHeight="1" x14ac:dyDescent="0.25">
      <c r="A1" s="125" t="s">
        <v>94</v>
      </c>
      <c r="B1" s="125"/>
      <c r="C1" s="125"/>
      <c r="D1" s="125"/>
      <c r="E1" s="125"/>
      <c r="F1" s="125"/>
      <c r="G1" s="125"/>
      <c r="H1" s="125"/>
      <c r="I1" s="3" t="s">
        <v>1</v>
      </c>
      <c r="J1" s="4" t="s">
        <v>2</v>
      </c>
    </row>
    <row r="2" spans="1:16" ht="13" x14ac:dyDescent="0.3">
      <c r="A2" s="5" t="s">
        <v>3</v>
      </c>
      <c r="B2" s="5" t="s">
        <v>4</v>
      </c>
      <c r="C2" s="1" t="s">
        <v>5</v>
      </c>
      <c r="D2" s="6"/>
      <c r="H2" s="7" t="s">
        <v>6</v>
      </c>
      <c r="I2" s="1" t="s">
        <v>7</v>
      </c>
    </row>
    <row r="3" spans="1:16" ht="13" x14ac:dyDescent="0.3">
      <c r="B3" s="5"/>
      <c r="C3" s="8"/>
      <c r="D3" s="6"/>
      <c r="E3" s="9"/>
      <c r="F3" s="9"/>
      <c r="G3" s="9"/>
      <c r="H3" s="9"/>
      <c r="I3" s="9"/>
    </row>
    <row r="4" spans="1:16" ht="13" x14ac:dyDescent="0.3">
      <c r="A4" s="126" t="s">
        <v>8</v>
      </c>
      <c r="B4" s="127" t="s">
        <v>9</v>
      </c>
      <c r="C4" s="127"/>
      <c r="D4" s="127"/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1" t="s">
        <v>15</v>
      </c>
    </row>
    <row r="5" spans="1:16" ht="13" x14ac:dyDescent="0.3">
      <c r="A5" s="126"/>
      <c r="B5" s="127"/>
      <c r="C5" s="127"/>
      <c r="D5" s="127"/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</row>
    <row r="6" spans="1:16" ht="13" x14ac:dyDescent="0.3">
      <c r="A6" s="13" t="s">
        <v>22</v>
      </c>
      <c r="B6" s="14"/>
      <c r="C6" s="15"/>
      <c r="D6" s="16"/>
      <c r="E6" s="17"/>
      <c r="F6" s="17"/>
      <c r="G6" s="17"/>
      <c r="H6" s="17"/>
      <c r="I6" s="17"/>
      <c r="J6" s="17"/>
    </row>
    <row r="7" spans="1:16" s="23" customFormat="1" ht="13" x14ac:dyDescent="0.3">
      <c r="A7" s="18" t="s">
        <v>23</v>
      </c>
      <c r="B7" s="19" t="s">
        <v>24</v>
      </c>
      <c r="C7" s="19" t="s">
        <v>25</v>
      </c>
      <c r="D7" s="20" t="s">
        <v>26</v>
      </c>
      <c r="E7" s="21"/>
      <c r="F7" s="21"/>
      <c r="G7" s="21"/>
      <c r="H7" s="21"/>
      <c r="I7" s="21"/>
      <c r="J7" s="22"/>
    </row>
    <row r="8" spans="1:16" s="23" customFormat="1" x14ac:dyDescent="0.25">
      <c r="A8" s="24" t="s">
        <v>27</v>
      </c>
      <c r="B8" s="25"/>
      <c r="C8" s="26"/>
      <c r="D8" s="27"/>
      <c r="E8" s="28"/>
      <c r="F8" s="28"/>
      <c r="G8" s="28"/>
      <c r="H8" s="28"/>
      <c r="I8" s="28"/>
      <c r="J8" s="28"/>
      <c r="K8" s="29"/>
      <c r="L8" s="29"/>
      <c r="M8" s="29"/>
      <c r="N8" s="29"/>
      <c r="O8" s="29"/>
      <c r="P8" s="29"/>
    </row>
    <row r="9" spans="1:16" s="23" customFormat="1" x14ac:dyDescent="0.25">
      <c r="A9" s="24" t="s">
        <v>28</v>
      </c>
      <c r="B9" s="25">
        <f>(74460+2700)*1.02</f>
        <v>78703.199999999997</v>
      </c>
      <c r="C9" s="30">
        <v>2</v>
      </c>
      <c r="D9" s="31">
        <v>1.02</v>
      </c>
      <c r="E9" s="32">
        <f>B9/10*C9</f>
        <v>15740.64</v>
      </c>
      <c r="F9" s="32">
        <f>E9*1.02</f>
        <v>16055.452799999999</v>
      </c>
      <c r="G9" s="32">
        <f>F9*1.02</f>
        <v>16376.561856</v>
      </c>
      <c r="H9" s="32">
        <f>G9*1.02</f>
        <v>16704.093093120002</v>
      </c>
      <c r="I9" s="32">
        <f>H9*1.02</f>
        <v>17038.174954982402</v>
      </c>
      <c r="J9" s="32">
        <f>SUM(E9:I9)</f>
        <v>81914.922704102399</v>
      </c>
      <c r="K9" s="29"/>
      <c r="L9" s="29"/>
      <c r="M9" s="29"/>
      <c r="N9" s="29"/>
      <c r="O9" s="29"/>
      <c r="P9" s="29"/>
    </row>
    <row r="10" spans="1:16" s="23" customFormat="1" ht="13" x14ac:dyDescent="0.3">
      <c r="A10" s="33" t="s">
        <v>29</v>
      </c>
      <c r="B10" s="34" t="s">
        <v>30</v>
      </c>
      <c r="C10" s="35" t="s">
        <v>31</v>
      </c>
      <c r="D10" s="36" t="s">
        <v>32</v>
      </c>
      <c r="E10" s="37"/>
      <c r="F10" s="37"/>
      <c r="G10" s="37"/>
      <c r="H10" s="37"/>
      <c r="I10" s="37"/>
      <c r="J10" s="37"/>
    </row>
    <row r="11" spans="1:16" s="23" customFormat="1" x14ac:dyDescent="0.25">
      <c r="A11" s="24" t="s">
        <v>33</v>
      </c>
      <c r="B11" s="38">
        <v>15.5</v>
      </c>
      <c r="C11" s="39">
        <f>10*13*2</f>
        <v>260</v>
      </c>
      <c r="D11" s="27">
        <v>4</v>
      </c>
      <c r="E11" s="32">
        <f>B11*C11*D11</f>
        <v>16120</v>
      </c>
      <c r="F11" s="32">
        <f>E11*1.02*5/4</f>
        <v>20553</v>
      </c>
      <c r="G11" s="32">
        <f>F11*1.02*4/5</f>
        <v>16771.248</v>
      </c>
      <c r="H11" s="32">
        <f>G11*1.02*2/4</f>
        <v>8553.3364799999999</v>
      </c>
      <c r="I11" s="32">
        <f>H11*1.02*4/2</f>
        <v>17448.806419200002</v>
      </c>
      <c r="J11" s="32">
        <f>SUM(E11:I11)</f>
        <v>79446.390899199992</v>
      </c>
    </row>
    <row r="12" spans="1:16" s="23" customFormat="1" x14ac:dyDescent="0.25">
      <c r="A12" s="24" t="s">
        <v>34</v>
      </c>
      <c r="B12" s="38">
        <v>15.5</v>
      </c>
      <c r="C12" s="39">
        <f>18*10</f>
        <v>180</v>
      </c>
      <c r="D12" s="27">
        <v>3</v>
      </c>
      <c r="E12" s="32">
        <f>B12*C12*D12</f>
        <v>8370</v>
      </c>
      <c r="F12" s="32">
        <f>E12*1.02*1/3</f>
        <v>2845.7999999999997</v>
      </c>
      <c r="G12" s="32">
        <f>F12*1.02*3</f>
        <v>8708.1479999999992</v>
      </c>
      <c r="H12" s="32">
        <f>G12*1.02*2/3</f>
        <v>5921.5406399999993</v>
      </c>
      <c r="I12" s="32">
        <f>H12*1.02</f>
        <v>6039.9714527999995</v>
      </c>
      <c r="J12" s="32">
        <f>SUM(E12:I12)</f>
        <v>31885.460092799996</v>
      </c>
    </row>
    <row r="13" spans="1:16" s="23" customFormat="1" x14ac:dyDescent="0.25">
      <c r="A13" s="24" t="s">
        <v>35</v>
      </c>
      <c r="B13" s="41">
        <v>25</v>
      </c>
      <c r="C13" s="39">
        <f>18*10</f>
        <v>180</v>
      </c>
      <c r="D13" s="27">
        <v>2</v>
      </c>
      <c r="E13" s="32">
        <f>B13*C13*D13</f>
        <v>9000</v>
      </c>
      <c r="F13" s="32">
        <f t="shared" ref="F13:H14" si="0">E13*1.02</f>
        <v>9180</v>
      </c>
      <c r="G13" s="32">
        <f t="shared" si="0"/>
        <v>9363.6</v>
      </c>
      <c r="H13" s="32">
        <f t="shared" si="0"/>
        <v>9550.8720000000012</v>
      </c>
      <c r="I13" s="32">
        <f>H13*1.02</f>
        <v>9741.8894400000008</v>
      </c>
      <c r="J13" s="32">
        <f>SUM(E13:I13)</f>
        <v>46836.361440000001</v>
      </c>
    </row>
    <row r="14" spans="1:16" s="23" customFormat="1" x14ac:dyDescent="0.25">
      <c r="A14" s="24"/>
      <c r="B14" s="41"/>
      <c r="C14" s="39"/>
      <c r="D14" s="27"/>
      <c r="E14" s="32">
        <f>B14*C14*D14</f>
        <v>0</v>
      </c>
      <c r="F14" s="32">
        <f t="shared" si="0"/>
        <v>0</v>
      </c>
      <c r="G14" s="32">
        <f t="shared" si="0"/>
        <v>0</v>
      </c>
      <c r="H14" s="32">
        <f t="shared" si="0"/>
        <v>0</v>
      </c>
      <c r="I14" s="32">
        <f>H14*1.02</f>
        <v>0</v>
      </c>
      <c r="J14" s="32">
        <f>SUM(E14:I14)</f>
        <v>0</v>
      </c>
      <c r="K14" s="23">
        <f>SUM(J11:J14)</f>
        <v>158168.212432</v>
      </c>
    </row>
    <row r="15" spans="1:16" ht="13" x14ac:dyDescent="0.3">
      <c r="A15" s="42" t="s">
        <v>36</v>
      </c>
      <c r="B15" s="43"/>
      <c r="C15" s="43"/>
      <c r="D15" s="44"/>
      <c r="E15" s="45">
        <f t="shared" ref="E15:J15" si="1">SUM(E8:E14)</f>
        <v>49230.64</v>
      </c>
      <c r="F15" s="45">
        <f t="shared" si="1"/>
        <v>48634.252800000002</v>
      </c>
      <c r="G15" s="45">
        <f t="shared" si="1"/>
        <v>51219.557855999999</v>
      </c>
      <c r="H15" s="45">
        <f t="shared" si="1"/>
        <v>40729.842213120006</v>
      </c>
      <c r="I15" s="45">
        <f t="shared" si="1"/>
        <v>50268.842266982399</v>
      </c>
      <c r="J15" s="45">
        <f t="shared" si="1"/>
        <v>240083.13513610241</v>
      </c>
      <c r="K15" s="46"/>
      <c r="L15" s="46"/>
      <c r="M15" s="46"/>
      <c r="N15" s="46"/>
      <c r="O15" s="46"/>
      <c r="P15" s="46"/>
    </row>
    <row r="16" spans="1:16" s="4" customFormat="1" ht="12.75" customHeight="1" x14ac:dyDescent="0.25">
      <c r="A16" s="47" t="s">
        <v>37</v>
      </c>
      <c r="B16" s="48" t="s">
        <v>38</v>
      </c>
      <c r="C16" s="48" t="s">
        <v>39</v>
      </c>
      <c r="D16" s="48" t="s">
        <v>40</v>
      </c>
      <c r="E16" s="49"/>
      <c r="F16" s="49"/>
      <c r="G16" s="49"/>
      <c r="H16" s="49"/>
      <c r="I16" s="49"/>
      <c r="J16" s="49"/>
    </row>
    <row r="17" spans="1:11" x14ac:dyDescent="0.25">
      <c r="A17" s="24" t="str">
        <f>A8</f>
        <v>PI AY Release</v>
      </c>
      <c r="B17" s="26">
        <v>0.32</v>
      </c>
      <c r="C17" s="50"/>
      <c r="D17" s="50"/>
      <c r="E17" s="32"/>
      <c r="F17" s="32"/>
      <c r="G17" s="32"/>
      <c r="H17" s="32"/>
      <c r="I17" s="32"/>
      <c r="J17" s="32"/>
    </row>
    <row r="18" spans="1:11" x14ac:dyDescent="0.25">
      <c r="A18" s="24" t="str">
        <f>A9</f>
        <v>PI Summer Salary</v>
      </c>
      <c r="B18" s="51"/>
      <c r="C18" s="50"/>
      <c r="D18" s="50">
        <v>8.4900000000000003E-2</v>
      </c>
      <c r="E18" s="32">
        <f>$D$18*E9</f>
        <v>1336.3803359999999</v>
      </c>
      <c r="F18" s="32">
        <f>$D$18*F9</f>
        <v>1363.10794272</v>
      </c>
      <c r="G18" s="32">
        <f>$D$18*G9</f>
        <v>1390.3701015744</v>
      </c>
      <c r="H18" s="32">
        <f>$D$18*H9</f>
        <v>1418.1775036058882</v>
      </c>
      <c r="I18" s="32">
        <f>$D$18*I9</f>
        <v>1446.5410536780059</v>
      </c>
      <c r="J18" s="32">
        <f>SUM(E18:I18)</f>
        <v>6954.5769375782947</v>
      </c>
      <c r="K18" s="52"/>
    </row>
    <row r="19" spans="1:11" x14ac:dyDescent="0.25">
      <c r="A19" s="24" t="s">
        <v>41</v>
      </c>
      <c r="B19" s="50">
        <v>3.3340000000000002E-3</v>
      </c>
      <c r="C19" s="50"/>
      <c r="E19" s="32">
        <f>$B$19*E11</f>
        <v>53.744080000000004</v>
      </c>
      <c r="F19" s="32">
        <f>$B$19*F11</f>
        <v>68.523702</v>
      </c>
      <c r="G19" s="32">
        <f>$B$19*G11</f>
        <v>55.915340831999998</v>
      </c>
      <c r="H19" s="32">
        <f>$B$19*H11</f>
        <v>28.516823824319999</v>
      </c>
      <c r="I19" s="32">
        <f>$B$19*I11</f>
        <v>58.174320601612813</v>
      </c>
      <c r="J19" s="32">
        <f>SUM(E19:I19)</f>
        <v>264.87426725793284</v>
      </c>
    </row>
    <row r="20" spans="1:11" x14ac:dyDescent="0.25">
      <c r="A20" s="24" t="s">
        <v>95</v>
      </c>
      <c r="B20" s="51"/>
      <c r="C20" s="50"/>
      <c r="D20" s="50">
        <v>7.9799999999999996E-2</v>
      </c>
      <c r="E20" s="32">
        <f>(E12+E13)*$D$20</f>
        <v>1386.126</v>
      </c>
      <c r="F20" s="32">
        <f t="shared" ref="F20:I20" si="2">(F12+F13)*$D$20</f>
        <v>959.65883999999994</v>
      </c>
      <c r="G20" s="32">
        <f t="shared" si="2"/>
        <v>1442.1254904</v>
      </c>
      <c r="H20" s="32">
        <f t="shared" si="2"/>
        <v>1234.6985286720001</v>
      </c>
      <c r="I20" s="32">
        <f t="shared" si="2"/>
        <v>1259.3924992454399</v>
      </c>
      <c r="J20" s="32">
        <f>SUM(E20:I20)</f>
        <v>6282.0013583174405</v>
      </c>
      <c r="K20" s="52"/>
    </row>
    <row r="21" spans="1:11" ht="13" x14ac:dyDescent="0.3">
      <c r="A21" s="42" t="s">
        <v>43</v>
      </c>
      <c r="B21" s="43"/>
      <c r="C21" s="43"/>
      <c r="D21" s="44"/>
      <c r="E21" s="53">
        <f t="shared" ref="E21:J21" si="3">SUM(E17:E20)</f>
        <v>2776.2504159999999</v>
      </c>
      <c r="F21" s="53">
        <f t="shared" si="3"/>
        <v>2391.2904847199998</v>
      </c>
      <c r="G21" s="53">
        <f t="shared" si="3"/>
        <v>2888.4109328064001</v>
      </c>
      <c r="H21" s="53">
        <f t="shared" si="3"/>
        <v>2681.3928561022085</v>
      </c>
      <c r="I21" s="53">
        <f t="shared" si="3"/>
        <v>2764.1078735250585</v>
      </c>
      <c r="J21" s="53">
        <f t="shared" si="3"/>
        <v>13501.452563153667</v>
      </c>
    </row>
    <row r="22" spans="1:11" ht="13" x14ac:dyDescent="0.3">
      <c r="A22" s="54"/>
      <c r="B22" s="7"/>
      <c r="C22" s="7"/>
      <c r="D22" s="55"/>
      <c r="E22" s="56"/>
      <c r="F22" s="56"/>
      <c r="G22" s="56"/>
      <c r="H22" s="56"/>
      <c r="I22" s="56"/>
      <c r="J22" s="56"/>
    </row>
    <row r="23" spans="1:11" ht="13" x14ac:dyDescent="0.3">
      <c r="A23" s="57" t="s">
        <v>44</v>
      </c>
      <c r="B23" s="43"/>
      <c r="C23" s="43"/>
      <c r="D23" s="44"/>
      <c r="E23" s="45">
        <f t="shared" ref="E23:J23" si="4">E15+E21</f>
        <v>52006.890416000002</v>
      </c>
      <c r="F23" s="45">
        <f t="shared" si="4"/>
        <v>51025.543284719999</v>
      </c>
      <c r="G23" s="45">
        <f t="shared" si="4"/>
        <v>54107.9687888064</v>
      </c>
      <c r="H23" s="45">
        <f t="shared" si="4"/>
        <v>43411.235069222217</v>
      </c>
      <c r="I23" s="45">
        <f t="shared" si="4"/>
        <v>53032.950140507455</v>
      </c>
      <c r="J23" s="45">
        <f t="shared" si="4"/>
        <v>253584.58769925608</v>
      </c>
    </row>
    <row r="24" spans="1:11" ht="13" x14ac:dyDescent="0.3">
      <c r="A24" s="13" t="s">
        <v>45</v>
      </c>
      <c r="B24" s="58"/>
      <c r="C24" s="58"/>
      <c r="D24" s="59"/>
      <c r="E24" s="60"/>
      <c r="F24" s="60"/>
      <c r="G24" s="60"/>
      <c r="H24" s="60"/>
      <c r="I24" s="60"/>
      <c r="J24" s="32"/>
    </row>
    <row r="25" spans="1:11" ht="13" x14ac:dyDescent="0.3">
      <c r="A25" s="33" t="s">
        <v>46</v>
      </c>
      <c r="B25" s="61" t="s">
        <v>47</v>
      </c>
      <c r="C25" s="61"/>
      <c r="D25" s="36" t="s">
        <v>48</v>
      </c>
      <c r="E25" s="62"/>
      <c r="F25" s="62"/>
      <c r="G25" s="62"/>
      <c r="H25" s="62"/>
      <c r="I25" s="62"/>
      <c r="J25" s="62"/>
    </row>
    <row r="26" spans="1:11" x14ac:dyDescent="0.25">
      <c r="A26" s="123" t="s">
        <v>98</v>
      </c>
      <c r="B26" s="124">
        <v>32000</v>
      </c>
      <c r="C26" s="23"/>
      <c r="D26" s="63">
        <v>1</v>
      </c>
      <c r="E26" s="64">
        <f>B26*D26</f>
        <v>32000</v>
      </c>
      <c r="F26" s="64">
        <v>0</v>
      </c>
      <c r="G26" s="64">
        <v>0</v>
      </c>
      <c r="H26" s="64">
        <v>0</v>
      </c>
      <c r="I26" s="64">
        <v>0</v>
      </c>
      <c r="J26" s="32">
        <f>SUM(E26:I26)</f>
        <v>32000</v>
      </c>
    </row>
    <row r="27" spans="1:11" x14ac:dyDescent="0.25">
      <c r="A27" s="123" t="s">
        <v>50</v>
      </c>
      <c r="B27" s="124">
        <v>37000</v>
      </c>
      <c r="C27" s="23"/>
      <c r="D27" s="63">
        <v>1</v>
      </c>
      <c r="E27" s="64">
        <f>B27*D27</f>
        <v>37000</v>
      </c>
      <c r="F27" s="64">
        <v>0</v>
      </c>
      <c r="G27" s="64">
        <v>0</v>
      </c>
      <c r="H27" s="64">
        <v>0</v>
      </c>
      <c r="I27" s="64">
        <v>0</v>
      </c>
      <c r="J27" s="32">
        <f>SUM(E27:I27)</f>
        <v>37000</v>
      </c>
    </row>
    <row r="28" spans="1:11" ht="13" x14ac:dyDescent="0.3">
      <c r="A28" s="65" t="s">
        <v>51</v>
      </c>
      <c r="B28" s="66"/>
      <c r="C28" s="66"/>
      <c r="D28" s="67"/>
      <c r="E28" s="68">
        <f t="shared" ref="E28:J28" si="5">SUM(E26:E27)</f>
        <v>69000</v>
      </c>
      <c r="F28" s="68">
        <f t="shared" si="5"/>
        <v>0</v>
      </c>
      <c r="G28" s="68">
        <f t="shared" si="5"/>
        <v>0</v>
      </c>
      <c r="H28" s="68">
        <f t="shared" si="5"/>
        <v>0</v>
      </c>
      <c r="I28" s="68">
        <f t="shared" si="5"/>
        <v>0</v>
      </c>
      <c r="J28" s="68">
        <f t="shared" si="5"/>
        <v>69000</v>
      </c>
    </row>
    <row r="29" spans="1:11" s="1" customFormat="1" x14ac:dyDescent="0.25"/>
    <row r="30" spans="1:11" ht="13" x14ac:dyDescent="0.3">
      <c r="A30" s="33" t="s">
        <v>52</v>
      </c>
      <c r="B30" s="61" t="s">
        <v>53</v>
      </c>
      <c r="C30" s="61" t="s">
        <v>54</v>
      </c>
      <c r="D30" s="36" t="s">
        <v>55</v>
      </c>
      <c r="E30" s="69"/>
      <c r="F30" s="69"/>
      <c r="G30" s="69"/>
      <c r="H30" s="69"/>
      <c r="I30" s="69"/>
      <c r="J30" s="62"/>
    </row>
    <row r="31" spans="1:11" x14ac:dyDescent="0.25">
      <c r="A31" s="24" t="s">
        <v>56</v>
      </c>
      <c r="B31" s="70">
        <v>0</v>
      </c>
      <c r="C31" s="71" t="s">
        <v>57</v>
      </c>
      <c r="D31" s="27">
        <v>0</v>
      </c>
      <c r="E31" s="64">
        <v>0</v>
      </c>
      <c r="F31" s="64">
        <f t="shared" ref="F31:H31" si="6">1.02*E31</f>
        <v>0</v>
      </c>
      <c r="G31" s="64">
        <f t="shared" si="6"/>
        <v>0</v>
      </c>
      <c r="H31" s="64">
        <f t="shared" si="6"/>
        <v>0</v>
      </c>
      <c r="I31" s="64">
        <f>B31*D31</f>
        <v>0</v>
      </c>
      <c r="J31" s="32">
        <f t="shared" ref="J31:J36" si="7">SUM(E31:I31)</f>
        <v>0</v>
      </c>
    </row>
    <row r="32" spans="1:11" x14ac:dyDescent="0.25">
      <c r="A32" s="24" t="s">
        <v>58</v>
      </c>
      <c r="B32" s="70">
        <v>500</v>
      </c>
      <c r="C32" s="71" t="s">
        <v>57</v>
      </c>
      <c r="D32" s="27">
        <v>0</v>
      </c>
      <c r="E32" s="64">
        <v>0</v>
      </c>
      <c r="F32" s="64">
        <v>500</v>
      </c>
      <c r="G32" s="64">
        <f>F32*1.02</f>
        <v>510</v>
      </c>
      <c r="H32" s="64">
        <f t="shared" ref="H32:I32" si="8">G32*1.02</f>
        <v>520.20000000000005</v>
      </c>
      <c r="I32" s="64">
        <f t="shared" si="8"/>
        <v>530.60400000000004</v>
      </c>
      <c r="J32" s="32">
        <f t="shared" si="7"/>
        <v>2060.8040000000001</v>
      </c>
    </row>
    <row r="33" spans="1:12" x14ac:dyDescent="0.25">
      <c r="A33" s="24" t="s">
        <v>59</v>
      </c>
      <c r="B33" s="70">
        <f>250</f>
        <v>250</v>
      </c>
      <c r="C33" s="71" t="s">
        <v>60</v>
      </c>
      <c r="D33" s="120">
        <v>3</v>
      </c>
      <c r="E33" s="64">
        <v>0</v>
      </c>
      <c r="F33" s="64">
        <v>750</v>
      </c>
      <c r="G33" s="64">
        <f t="shared" ref="G33:I35" si="9">F33*1.02</f>
        <v>765</v>
      </c>
      <c r="H33" s="64">
        <f t="shared" si="9"/>
        <v>780.30000000000007</v>
      </c>
      <c r="I33" s="64">
        <f t="shared" si="9"/>
        <v>795.90600000000006</v>
      </c>
      <c r="J33" s="32">
        <f t="shared" si="7"/>
        <v>3091.2060000000001</v>
      </c>
    </row>
    <row r="34" spans="1:12" x14ac:dyDescent="0.25">
      <c r="A34" s="24" t="s">
        <v>97</v>
      </c>
      <c r="B34" s="121">
        <v>200</v>
      </c>
      <c r="C34" s="71" t="s">
        <v>60</v>
      </c>
      <c r="D34" s="27">
        <v>1</v>
      </c>
      <c r="E34" s="64">
        <v>0</v>
      </c>
      <c r="F34" s="64">
        <v>200</v>
      </c>
      <c r="G34" s="64">
        <f t="shared" si="9"/>
        <v>204</v>
      </c>
      <c r="H34" s="64">
        <f t="shared" si="9"/>
        <v>208.08</v>
      </c>
      <c r="I34" s="64">
        <f t="shared" si="9"/>
        <v>212.24160000000001</v>
      </c>
      <c r="J34" s="32">
        <f t="shared" si="7"/>
        <v>824.32159999999999</v>
      </c>
    </row>
    <row r="35" spans="1:12" x14ac:dyDescent="0.25">
      <c r="A35" s="24" t="s">
        <v>62</v>
      </c>
      <c r="B35" s="70">
        <v>60</v>
      </c>
      <c r="C35" s="71" t="s">
        <v>60</v>
      </c>
      <c r="D35" s="120">
        <v>4</v>
      </c>
      <c r="E35" s="64">
        <f>0</f>
        <v>0</v>
      </c>
      <c r="F35" s="64">
        <v>240</v>
      </c>
      <c r="G35" s="64">
        <f t="shared" si="9"/>
        <v>244.8</v>
      </c>
      <c r="H35" s="64">
        <f t="shared" si="9"/>
        <v>249.69600000000003</v>
      </c>
      <c r="I35" s="64">
        <f t="shared" si="9"/>
        <v>254.68992000000003</v>
      </c>
      <c r="J35" s="32">
        <f t="shared" si="7"/>
        <v>989.18592000000012</v>
      </c>
    </row>
    <row r="36" spans="1:12" x14ac:dyDescent="0.25">
      <c r="A36" s="72" t="s">
        <v>63</v>
      </c>
      <c r="B36" s="122" t="s">
        <v>96</v>
      </c>
      <c r="C36" s="71" t="s">
        <v>60</v>
      </c>
      <c r="D36" s="74">
        <v>1</v>
      </c>
      <c r="E36" s="64">
        <f>0</f>
        <v>0</v>
      </c>
      <c r="F36" s="64">
        <v>1000</v>
      </c>
      <c r="G36" s="64">
        <f>700*1.02</f>
        <v>714</v>
      </c>
      <c r="H36" s="64">
        <f>1000*1.04</f>
        <v>1040</v>
      </c>
      <c r="I36" s="64">
        <f>700*1.06</f>
        <v>742</v>
      </c>
      <c r="J36" s="32">
        <f t="shared" si="7"/>
        <v>3496</v>
      </c>
      <c r="L36" s="52"/>
    </row>
    <row r="37" spans="1:12" s="7" customFormat="1" ht="13" x14ac:dyDescent="0.3">
      <c r="A37" s="65" t="s">
        <v>64</v>
      </c>
      <c r="B37" s="66"/>
      <c r="C37" s="75"/>
      <c r="D37" s="76"/>
      <c r="E37" s="45">
        <f t="shared" ref="E37:J37" si="10">SUM(E31:E36)</f>
        <v>0</v>
      </c>
      <c r="F37" s="45">
        <f t="shared" si="10"/>
        <v>2690</v>
      </c>
      <c r="G37" s="45">
        <f t="shared" si="10"/>
        <v>2437.8000000000002</v>
      </c>
      <c r="H37" s="45">
        <f t="shared" si="10"/>
        <v>2798.2759999999998</v>
      </c>
      <c r="I37" s="45">
        <f t="shared" si="10"/>
        <v>2535.4415200000003</v>
      </c>
      <c r="J37" s="45">
        <f t="shared" si="10"/>
        <v>10461.517520000001</v>
      </c>
    </row>
    <row r="38" spans="1:12" x14ac:dyDescent="0.25">
      <c r="A38" s="77"/>
      <c r="B38" s="73"/>
      <c r="C38" s="71"/>
      <c r="D38" s="78"/>
      <c r="E38" s="64"/>
      <c r="F38" s="64"/>
      <c r="G38" s="64"/>
      <c r="H38" s="64"/>
      <c r="I38" s="64"/>
      <c r="J38" s="64"/>
    </row>
    <row r="39" spans="1:12" ht="13" x14ac:dyDescent="0.3">
      <c r="A39" s="79" t="s">
        <v>65</v>
      </c>
      <c r="B39" s="80"/>
      <c r="C39" s="81"/>
      <c r="D39" s="82"/>
      <c r="E39" s="62"/>
      <c r="F39" s="62"/>
      <c r="G39" s="62"/>
      <c r="H39" s="62"/>
      <c r="I39" s="62"/>
      <c r="J39" s="62"/>
    </row>
    <row r="40" spans="1:12" x14ac:dyDescent="0.25">
      <c r="A40" s="72"/>
      <c r="B40" s="73"/>
      <c r="C40" s="71"/>
      <c r="D40" s="78"/>
      <c r="E40" s="64"/>
      <c r="F40" s="64"/>
      <c r="G40" s="64"/>
      <c r="H40" s="64"/>
      <c r="I40" s="64"/>
      <c r="J40" s="64"/>
    </row>
    <row r="41" spans="1:12" ht="13" x14ac:dyDescent="0.3">
      <c r="A41" s="33" t="s">
        <v>66</v>
      </c>
      <c r="B41" s="61" t="s">
        <v>30</v>
      </c>
      <c r="C41" s="61" t="s">
        <v>48</v>
      </c>
      <c r="D41" s="36" t="s">
        <v>67</v>
      </c>
      <c r="E41" s="62"/>
      <c r="F41" s="62"/>
      <c r="G41" s="62"/>
      <c r="H41" s="62"/>
      <c r="I41" s="62"/>
      <c r="J41" s="62"/>
    </row>
    <row r="42" spans="1:12" x14ac:dyDescent="0.25">
      <c r="A42" s="24" t="s">
        <v>68</v>
      </c>
      <c r="B42" s="23">
        <v>1200</v>
      </c>
      <c r="C42" s="70" t="s">
        <v>69</v>
      </c>
      <c r="D42" s="70" t="s">
        <v>69</v>
      </c>
      <c r="E42" s="64">
        <f>1*B42</f>
        <v>1200</v>
      </c>
      <c r="F42" s="64">
        <f>2*B42*1.02</f>
        <v>2448</v>
      </c>
      <c r="G42" s="64">
        <f>4*B42*1.04</f>
        <v>4992</v>
      </c>
      <c r="H42" s="64">
        <f>2*B42*1.06</f>
        <v>2544</v>
      </c>
      <c r="I42" s="64">
        <f>1*B42*1.08</f>
        <v>1296</v>
      </c>
      <c r="J42" s="117">
        <f t="shared" ref="J42:J50" si="11">SUM(E42:I42)</f>
        <v>12480</v>
      </c>
      <c r="K42" s="52"/>
    </row>
    <row r="43" spans="1:12" x14ac:dyDescent="0.25">
      <c r="A43" s="24" t="s">
        <v>70</v>
      </c>
      <c r="B43" s="23">
        <v>194</v>
      </c>
      <c r="C43" s="70">
        <v>50</v>
      </c>
      <c r="D43" s="27" t="s">
        <v>69</v>
      </c>
      <c r="E43" s="64">
        <f>5*B43</f>
        <v>970</v>
      </c>
      <c r="F43" s="64">
        <f>10*B43*1.02</f>
        <v>1978.8</v>
      </c>
      <c r="G43" s="64">
        <f>20*B43*1.04</f>
        <v>4035.2000000000003</v>
      </c>
      <c r="H43" s="64">
        <f>15*B43*1.06</f>
        <v>3084.6000000000004</v>
      </c>
      <c r="I43" s="64">
        <v>0</v>
      </c>
      <c r="J43" s="117">
        <f t="shared" si="11"/>
        <v>10068.6</v>
      </c>
      <c r="K43" s="52"/>
    </row>
    <row r="44" spans="1:12" x14ac:dyDescent="0.25">
      <c r="A44" s="24" t="s">
        <v>71</v>
      </c>
      <c r="B44" s="23">
        <v>500</v>
      </c>
      <c r="C44" s="70" t="s">
        <v>69</v>
      </c>
      <c r="D44" s="70">
        <v>1</v>
      </c>
      <c r="E44" s="64">
        <f>B44</f>
        <v>500</v>
      </c>
      <c r="F44" s="64">
        <f>B44*1.02</f>
        <v>510</v>
      </c>
      <c r="G44" s="64">
        <f>B44*1.04</f>
        <v>520</v>
      </c>
      <c r="H44" s="64">
        <f>B44*1.06</f>
        <v>530</v>
      </c>
      <c r="I44" s="64">
        <f>B44*1.08</f>
        <v>540</v>
      </c>
      <c r="J44" s="117">
        <f t="shared" si="11"/>
        <v>2600</v>
      </c>
      <c r="K44" s="52"/>
    </row>
    <row r="45" spans="1:12" x14ac:dyDescent="0.25">
      <c r="A45" s="24" t="s">
        <v>72</v>
      </c>
      <c r="B45" s="29">
        <v>1740</v>
      </c>
      <c r="C45" s="23"/>
      <c r="D45" s="63">
        <v>8</v>
      </c>
      <c r="E45" s="64">
        <f>0</f>
        <v>0</v>
      </c>
      <c r="F45" s="64">
        <f>B45*D45</f>
        <v>13920</v>
      </c>
      <c r="G45" s="64">
        <v>0</v>
      </c>
      <c r="H45" s="64">
        <v>0</v>
      </c>
      <c r="I45" s="64">
        <v>0</v>
      </c>
      <c r="J45" s="28">
        <f t="shared" si="11"/>
        <v>13920</v>
      </c>
    </row>
    <row r="46" spans="1:12" x14ac:dyDescent="0.25">
      <c r="A46" s="24" t="s">
        <v>73</v>
      </c>
      <c r="B46" s="23">
        <v>500</v>
      </c>
      <c r="C46" s="70">
        <v>4</v>
      </c>
      <c r="D46" s="70"/>
      <c r="E46" s="64">
        <v>0</v>
      </c>
      <c r="F46" s="64">
        <v>0</v>
      </c>
      <c r="G46" s="64">
        <v>2000</v>
      </c>
      <c r="H46" s="64">
        <v>0</v>
      </c>
      <c r="I46" s="64">
        <v>0</v>
      </c>
      <c r="J46" s="118">
        <f t="shared" si="11"/>
        <v>2000</v>
      </c>
      <c r="K46" s="52"/>
    </row>
    <row r="47" spans="1:12" x14ac:dyDescent="0.25">
      <c r="A47" s="24" t="s">
        <v>74</v>
      </c>
      <c r="B47" s="23">
        <v>1000</v>
      </c>
      <c r="C47" s="70"/>
      <c r="D47" s="70"/>
      <c r="E47" s="64">
        <v>0</v>
      </c>
      <c r="F47" s="64">
        <v>0</v>
      </c>
      <c r="G47" s="83">
        <v>1000</v>
      </c>
      <c r="H47" s="83">
        <v>1000</v>
      </c>
      <c r="I47" s="83">
        <v>1000</v>
      </c>
      <c r="J47" s="28">
        <f t="shared" si="11"/>
        <v>3000</v>
      </c>
      <c r="K47" s="52">
        <f>SUM(J42:J47)</f>
        <v>44068.6</v>
      </c>
    </row>
    <row r="48" spans="1:12" x14ac:dyDescent="0.25">
      <c r="A48" s="24" t="s">
        <v>75</v>
      </c>
      <c r="B48" s="23">
        <v>2500</v>
      </c>
      <c r="C48" s="70">
        <v>2</v>
      </c>
      <c r="D48" s="70" t="s">
        <v>69</v>
      </c>
      <c r="E48" s="64">
        <v>0</v>
      </c>
      <c r="F48" s="64">
        <f>B48</f>
        <v>2500</v>
      </c>
      <c r="G48" s="64">
        <f>B48</f>
        <v>2500</v>
      </c>
      <c r="H48" s="83">
        <v>1000</v>
      </c>
      <c r="I48" s="64">
        <f>0</f>
        <v>0</v>
      </c>
      <c r="J48" s="117">
        <f t="shared" si="11"/>
        <v>6000</v>
      </c>
      <c r="K48" s="52"/>
    </row>
    <row r="49" spans="1:11" x14ac:dyDescent="0.25">
      <c r="A49" s="24" t="s">
        <v>76</v>
      </c>
      <c r="B49" s="23">
        <v>500</v>
      </c>
      <c r="C49" s="70">
        <v>1</v>
      </c>
      <c r="D49" s="70">
        <v>1</v>
      </c>
      <c r="E49" s="64">
        <v>500</v>
      </c>
      <c r="F49" s="64">
        <v>500</v>
      </c>
      <c r="G49" s="64">
        <v>500</v>
      </c>
      <c r="H49" s="64">
        <v>500</v>
      </c>
      <c r="I49" s="64">
        <v>500</v>
      </c>
      <c r="J49" s="117">
        <f t="shared" si="11"/>
        <v>2500</v>
      </c>
      <c r="K49" s="52"/>
    </row>
    <row r="50" spans="1:11" x14ac:dyDescent="0.25">
      <c r="A50" s="24" t="s">
        <v>77</v>
      </c>
      <c r="B50" s="23">
        <f>500+(2*250)+(3*74)+100</f>
        <v>1322</v>
      </c>
      <c r="C50" s="70">
        <v>1</v>
      </c>
      <c r="D50" s="70">
        <v>1</v>
      </c>
      <c r="E50" s="64">
        <f>B50*C50*D50</f>
        <v>1322</v>
      </c>
      <c r="F50" s="64">
        <f>E50*1.02</f>
        <v>1348.44</v>
      </c>
      <c r="G50" s="64">
        <f>F50*1.02</f>
        <v>1375.4088000000002</v>
      </c>
      <c r="H50" s="64">
        <f>G50*1.02</f>
        <v>1402.9169760000002</v>
      </c>
      <c r="I50" s="64">
        <f>H50*1.02</f>
        <v>1430.9753155200003</v>
      </c>
      <c r="J50" s="117">
        <f t="shared" si="11"/>
        <v>6879.7410915200007</v>
      </c>
      <c r="K50" s="52">
        <f>J49+J50</f>
        <v>9379.7410915200016</v>
      </c>
    </row>
    <row r="51" spans="1:11" ht="13" x14ac:dyDescent="0.3">
      <c r="A51" s="42" t="s">
        <v>78</v>
      </c>
      <c r="B51" s="43"/>
      <c r="C51" s="43"/>
      <c r="D51" s="44"/>
      <c r="E51" s="45">
        <f t="shared" ref="E51:J51" si="12">SUM(E42:E50)</f>
        <v>4492</v>
      </c>
      <c r="F51" s="45">
        <f t="shared" si="12"/>
        <v>23205.239999999998</v>
      </c>
      <c r="G51" s="45">
        <f t="shared" si="12"/>
        <v>16922.608800000002</v>
      </c>
      <c r="H51" s="45">
        <f t="shared" si="12"/>
        <v>10061.516976000001</v>
      </c>
      <c r="I51" s="45">
        <f t="shared" si="12"/>
        <v>4766.9753155200005</v>
      </c>
      <c r="J51" s="119">
        <f t="shared" si="12"/>
        <v>59448.34109152</v>
      </c>
    </row>
    <row r="52" spans="1:11" ht="13" x14ac:dyDescent="0.3">
      <c r="A52" s="84"/>
      <c r="B52" s="85"/>
      <c r="C52" s="85"/>
      <c r="D52" s="86"/>
      <c r="E52" s="64"/>
      <c r="F52" s="64"/>
      <c r="G52" s="64"/>
      <c r="H52" s="64"/>
      <c r="I52" s="64"/>
      <c r="J52" s="64"/>
    </row>
    <row r="53" spans="1:11" ht="13" x14ac:dyDescent="0.3">
      <c r="A53" s="87" t="s">
        <v>79</v>
      </c>
      <c r="B53" s="88"/>
      <c r="C53" s="88"/>
      <c r="D53" s="89"/>
      <c r="E53" s="45">
        <f t="shared" ref="E53:J53" si="13">E28+E37+E51</f>
        <v>73492</v>
      </c>
      <c r="F53" s="45">
        <f t="shared" si="13"/>
        <v>25895.239999999998</v>
      </c>
      <c r="G53" s="45">
        <f t="shared" si="13"/>
        <v>19360.408800000001</v>
      </c>
      <c r="H53" s="45">
        <f t="shared" si="13"/>
        <v>12859.792976000001</v>
      </c>
      <c r="I53" s="45">
        <f t="shared" si="13"/>
        <v>7302.4168355200009</v>
      </c>
      <c r="J53" s="45">
        <f t="shared" si="13"/>
        <v>138909.85861152</v>
      </c>
      <c r="K53" s="90"/>
    </row>
    <row r="54" spans="1:11" ht="13" x14ac:dyDescent="0.3">
      <c r="A54" s="91"/>
      <c r="B54" s="92"/>
      <c r="C54" s="92"/>
      <c r="D54" s="93"/>
      <c r="E54" s="94"/>
      <c r="F54" s="94"/>
      <c r="G54" s="94"/>
      <c r="H54" s="94"/>
      <c r="I54" s="94"/>
      <c r="J54" s="56"/>
      <c r="K54" s="90"/>
    </row>
    <row r="55" spans="1:11" ht="13" x14ac:dyDescent="0.3">
      <c r="A55" s="87" t="s">
        <v>80</v>
      </c>
      <c r="B55" s="88"/>
      <c r="C55" s="88"/>
      <c r="D55" s="89"/>
      <c r="E55" s="45">
        <f>E23+E53</f>
        <v>125498.89041600001</v>
      </c>
      <c r="F55" s="45">
        <f>F23+F53</f>
        <v>76920.783284720004</v>
      </c>
      <c r="G55" s="45">
        <f>G23+G53</f>
        <v>73468.377588806397</v>
      </c>
      <c r="H55" s="45">
        <f>H23+H53</f>
        <v>56271.028045222221</v>
      </c>
      <c r="I55" s="45">
        <f>I23+I53</f>
        <v>60335.366976027457</v>
      </c>
      <c r="J55" s="53">
        <f>SUM(E55:I55)</f>
        <v>392494.44631077605</v>
      </c>
      <c r="K55" s="90"/>
    </row>
    <row r="56" spans="1:11" ht="13.5" customHeight="1" x14ac:dyDescent="0.3">
      <c r="A56" s="91"/>
      <c r="B56" s="95" t="s">
        <v>30</v>
      </c>
      <c r="C56" s="95" t="s">
        <v>81</v>
      </c>
      <c r="D56" s="93"/>
      <c r="E56" s="94"/>
      <c r="F56" s="94"/>
      <c r="G56" s="94"/>
      <c r="H56" s="94"/>
      <c r="I56" s="94"/>
      <c r="J56" s="56"/>
      <c r="K56" s="90"/>
    </row>
    <row r="57" spans="1:11" ht="13" x14ac:dyDescent="0.3">
      <c r="A57" s="87" t="s">
        <v>82</v>
      </c>
      <c r="B57" s="96">
        <v>0.55700000000000005</v>
      </c>
      <c r="C57" s="97" t="s">
        <v>83</v>
      </c>
      <c r="D57" s="89"/>
      <c r="E57" s="45">
        <f>E15*0.557</f>
        <v>27421.466480000003</v>
      </c>
      <c r="F57" s="45">
        <f>F15*0.557</f>
        <v>27089.278809600004</v>
      </c>
      <c r="G57" s="45">
        <f>G15*0.557</f>
        <v>28529.293725792002</v>
      </c>
      <c r="H57" s="45">
        <f>H15*0.557</f>
        <v>22686.522112707844</v>
      </c>
      <c r="I57" s="45">
        <f>I15*0.557</f>
        <v>27999.745142709198</v>
      </c>
      <c r="J57" s="53">
        <f>SUM(E57:I57)</f>
        <v>133726.30627080903</v>
      </c>
    </row>
    <row r="58" spans="1:11" ht="13" x14ac:dyDescent="0.3">
      <c r="A58" s="91"/>
      <c r="B58" s="98"/>
      <c r="C58" s="92"/>
      <c r="D58" s="93"/>
      <c r="E58" s="94"/>
      <c r="F58" s="94"/>
      <c r="G58" s="94"/>
      <c r="H58" s="94"/>
      <c r="I58" s="94"/>
      <c r="J58" s="56"/>
    </row>
    <row r="59" spans="1:11" ht="13" x14ac:dyDescent="0.3">
      <c r="A59" s="99" t="s">
        <v>84</v>
      </c>
      <c r="B59" s="100"/>
      <c r="C59" s="100"/>
      <c r="D59" s="101"/>
      <c r="E59" s="102">
        <f t="shared" ref="E59:J59" si="14">E55+E57</f>
        <v>152920.35689600001</v>
      </c>
      <c r="F59" s="102">
        <f t="shared" si="14"/>
        <v>104010.06209432</v>
      </c>
      <c r="G59" s="102">
        <f t="shared" si="14"/>
        <v>101997.6713145984</v>
      </c>
      <c r="H59" s="102">
        <f t="shared" si="14"/>
        <v>78957.550157930062</v>
      </c>
      <c r="I59" s="102">
        <f t="shared" si="14"/>
        <v>88335.112118736652</v>
      </c>
      <c r="J59" s="102">
        <f t="shared" si="14"/>
        <v>526220.75258158508</v>
      </c>
      <c r="K59" s="90"/>
    </row>
    <row r="60" spans="1:11" ht="12.75" customHeight="1" x14ac:dyDescent="0.3">
      <c r="A60" s="103"/>
      <c r="D60" s="104"/>
      <c r="E60" s="52"/>
      <c r="F60" s="52"/>
      <c r="G60" s="52"/>
      <c r="H60" s="52"/>
      <c r="I60" s="52"/>
      <c r="J60" s="52"/>
    </row>
    <row r="61" spans="1:11" ht="12.75" customHeight="1" x14ac:dyDescent="0.3">
      <c r="A61" s="105"/>
      <c r="D61" s="104"/>
      <c r="E61" s="52"/>
      <c r="F61" s="52"/>
      <c r="G61" s="52"/>
      <c r="H61" s="52"/>
      <c r="I61" s="52"/>
      <c r="J61" s="52"/>
    </row>
  </sheetData>
  <mergeCells count="3">
    <mergeCell ref="A1:H1"/>
    <mergeCell ref="A4:A5"/>
    <mergeCell ref="B4:D5"/>
  </mergeCells>
  <printOptions horizontalCentered="1" verticalCentered="1"/>
  <pageMargins left="0.5" right="0.5" top="0.5" bottom="0.5" header="0.511811023622047" footer="0.511811023622047"/>
  <pageSetup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6A1-27B4-44D7-9D44-EA4482935472}">
  <sheetPr>
    <pageSetUpPr fitToPage="1"/>
  </sheetPr>
  <dimension ref="A1:AMJ61"/>
  <sheetViews>
    <sheetView showOutlineSymbols="0" topLeftCell="A18" zoomScale="96" zoomScaleNormal="85" workbookViewId="0">
      <selection activeCell="B27" sqref="B27"/>
    </sheetView>
  </sheetViews>
  <sheetFormatPr defaultColWidth="8.81640625" defaultRowHeight="12.5" x14ac:dyDescent="0.25"/>
  <cols>
    <col min="1" max="1" width="36.54296875" style="1" customWidth="1"/>
    <col min="2" max="2" width="10.54296875" style="1" customWidth="1"/>
    <col min="3" max="3" width="11.6328125" style="1" customWidth="1"/>
    <col min="4" max="4" width="12.6328125" style="2" customWidth="1"/>
    <col min="5" max="5" width="18.81640625" style="1" customWidth="1"/>
    <col min="6" max="9" width="19.453125" style="1" customWidth="1"/>
    <col min="10" max="10" width="18.81640625" style="1" customWidth="1"/>
    <col min="11" max="11" width="15.453125" style="1" customWidth="1"/>
    <col min="12" max="12" width="11.453125" style="1" customWidth="1"/>
    <col min="13" max="15" width="9.81640625" style="1" customWidth="1"/>
    <col min="16" max="16" width="10.81640625" style="1" customWidth="1"/>
    <col min="17" max="50" width="9.1796875" style="1" customWidth="1"/>
    <col min="51" max="1024" width="8.81640625" style="1"/>
  </cols>
  <sheetData>
    <row r="1" spans="1:16" s="3" customFormat="1" ht="12.75" customHeight="1" x14ac:dyDescent="0.25">
      <c r="A1" s="125" t="s">
        <v>94</v>
      </c>
      <c r="B1" s="125"/>
      <c r="C1" s="125"/>
      <c r="D1" s="125"/>
      <c r="E1" s="125"/>
      <c r="F1" s="125"/>
      <c r="G1" s="125"/>
      <c r="H1" s="125"/>
      <c r="I1" s="3" t="s">
        <v>1</v>
      </c>
      <c r="J1" s="4" t="s">
        <v>2</v>
      </c>
    </row>
    <row r="2" spans="1:16" ht="13" x14ac:dyDescent="0.3">
      <c r="A2" s="5" t="s">
        <v>3</v>
      </c>
      <c r="B2" s="5" t="s">
        <v>4</v>
      </c>
      <c r="C2" s="1" t="s">
        <v>5</v>
      </c>
      <c r="D2" s="6"/>
      <c r="H2" s="7" t="s">
        <v>6</v>
      </c>
      <c r="I2" s="1" t="s">
        <v>7</v>
      </c>
    </row>
    <row r="3" spans="1:16" ht="13" x14ac:dyDescent="0.3">
      <c r="B3" s="5"/>
      <c r="C3" s="8"/>
      <c r="D3" s="6"/>
      <c r="E3" s="9"/>
      <c r="F3" s="9"/>
      <c r="G3" s="9"/>
      <c r="H3" s="9"/>
      <c r="I3" s="9"/>
    </row>
    <row r="4" spans="1:16" ht="13" x14ac:dyDescent="0.3">
      <c r="A4" s="126" t="s">
        <v>8</v>
      </c>
      <c r="B4" s="127" t="s">
        <v>9</v>
      </c>
      <c r="C4" s="127"/>
      <c r="D4" s="127"/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1" t="s">
        <v>15</v>
      </c>
    </row>
    <row r="5" spans="1:16" ht="13" x14ac:dyDescent="0.3">
      <c r="A5" s="126"/>
      <c r="B5" s="127"/>
      <c r="C5" s="127"/>
      <c r="D5" s="127"/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</row>
    <row r="6" spans="1:16" ht="13" x14ac:dyDescent="0.3">
      <c r="A6" s="13" t="s">
        <v>22</v>
      </c>
      <c r="B6" s="14"/>
      <c r="C6" s="15"/>
      <c r="D6" s="16"/>
      <c r="E6" s="17"/>
      <c r="F6" s="17"/>
      <c r="G6" s="17"/>
      <c r="H6" s="17"/>
      <c r="I6" s="17"/>
      <c r="J6" s="17"/>
    </row>
    <row r="7" spans="1:16" s="23" customFormat="1" ht="13" x14ac:dyDescent="0.3">
      <c r="A7" s="18" t="s">
        <v>23</v>
      </c>
      <c r="B7" s="19" t="s">
        <v>24</v>
      </c>
      <c r="C7" s="19" t="s">
        <v>25</v>
      </c>
      <c r="D7" s="20" t="s">
        <v>26</v>
      </c>
      <c r="E7" s="21"/>
      <c r="F7" s="21"/>
      <c r="G7" s="21"/>
      <c r="H7" s="21"/>
      <c r="I7" s="21"/>
      <c r="J7" s="22"/>
    </row>
    <row r="8" spans="1:16" s="23" customFormat="1" x14ac:dyDescent="0.25">
      <c r="A8" s="24" t="s">
        <v>27</v>
      </c>
      <c r="B8" s="25"/>
      <c r="C8" s="26"/>
      <c r="D8" s="27"/>
      <c r="E8" s="28"/>
      <c r="F8" s="28"/>
      <c r="G8" s="28"/>
      <c r="H8" s="28"/>
      <c r="I8" s="28"/>
      <c r="J8" s="28"/>
      <c r="K8" s="29"/>
      <c r="L8" s="29"/>
      <c r="M8" s="29"/>
      <c r="N8" s="29"/>
      <c r="O8" s="29"/>
      <c r="P8" s="29"/>
    </row>
    <row r="9" spans="1:16" s="23" customFormat="1" x14ac:dyDescent="0.25">
      <c r="A9" s="24" t="s">
        <v>28</v>
      </c>
      <c r="B9" s="25">
        <f>(74460+2700)*1.02</f>
        <v>78703.199999999997</v>
      </c>
      <c r="C9" s="30">
        <v>2</v>
      </c>
      <c r="D9" s="31">
        <v>1.02</v>
      </c>
      <c r="E9" s="32">
        <f>B9/10*C9</f>
        <v>15740.64</v>
      </c>
      <c r="F9" s="32">
        <f>E9*1.02</f>
        <v>16055.452799999999</v>
      </c>
      <c r="G9" s="32">
        <f>F9*1.02</f>
        <v>16376.561856</v>
      </c>
      <c r="H9" s="32">
        <f>G9*1.02</f>
        <v>16704.093093120002</v>
      </c>
      <c r="I9" s="32">
        <f>H9*1.02</f>
        <v>17038.174954982402</v>
      </c>
      <c r="J9" s="32">
        <f>SUM(E9:I9)</f>
        <v>81914.922704102399</v>
      </c>
      <c r="K9" s="29"/>
      <c r="L9" s="29"/>
      <c r="M9" s="29"/>
      <c r="N9" s="29"/>
      <c r="O9" s="29"/>
      <c r="P9" s="29"/>
    </row>
    <row r="10" spans="1:16" s="23" customFormat="1" ht="13" x14ac:dyDescent="0.3">
      <c r="A10" s="33" t="s">
        <v>29</v>
      </c>
      <c r="B10" s="34" t="s">
        <v>30</v>
      </c>
      <c r="C10" s="35" t="s">
        <v>31</v>
      </c>
      <c r="D10" s="36" t="s">
        <v>32</v>
      </c>
      <c r="E10" s="37"/>
      <c r="F10" s="37"/>
      <c r="G10" s="37"/>
      <c r="H10" s="37"/>
      <c r="I10" s="37"/>
      <c r="J10" s="37"/>
    </row>
    <row r="11" spans="1:16" s="23" customFormat="1" x14ac:dyDescent="0.25">
      <c r="A11" s="24" t="s">
        <v>33</v>
      </c>
      <c r="B11" s="38">
        <v>15.5</v>
      </c>
      <c r="C11" s="39">
        <f>10*13*2</f>
        <v>260</v>
      </c>
      <c r="D11" s="27">
        <v>4</v>
      </c>
      <c r="E11" s="32">
        <f>B11*C11*D11</f>
        <v>16120</v>
      </c>
      <c r="F11" s="32">
        <f>E11*1.02*5/4</f>
        <v>20553</v>
      </c>
      <c r="G11" s="32">
        <f>F11*1.02*4/5</f>
        <v>16771.248</v>
      </c>
      <c r="H11" s="32">
        <f>G11*1.02*2/4</f>
        <v>8553.3364799999999</v>
      </c>
      <c r="I11" s="32">
        <f>H11*1.02*4/2</f>
        <v>17448.806419200002</v>
      </c>
      <c r="J11" s="32">
        <f>SUM(E11:I11)</f>
        <v>79446.390899199992</v>
      </c>
    </row>
    <row r="12" spans="1:16" s="23" customFormat="1" x14ac:dyDescent="0.25">
      <c r="A12" s="24" t="s">
        <v>34</v>
      </c>
      <c r="B12" s="38">
        <v>15.5</v>
      </c>
      <c r="C12" s="39">
        <f>18*10</f>
        <v>180</v>
      </c>
      <c r="D12" s="27">
        <v>3</v>
      </c>
      <c r="E12" s="32">
        <f>B12*C12*D12</f>
        <v>8370</v>
      </c>
      <c r="F12" s="32">
        <f>E12*1.02*1/3</f>
        <v>2845.7999999999997</v>
      </c>
      <c r="G12" s="32">
        <f>F12*1.02*3</f>
        <v>8708.1479999999992</v>
      </c>
      <c r="H12" s="32">
        <f>G12*1.02*2/3</f>
        <v>5921.5406399999993</v>
      </c>
      <c r="I12" s="32">
        <f>H12*1.02</f>
        <v>6039.9714527999995</v>
      </c>
      <c r="J12" s="32">
        <f>SUM(E12:I12)</f>
        <v>31885.460092799996</v>
      </c>
    </row>
    <row r="13" spans="1:16" s="23" customFormat="1" x14ac:dyDescent="0.25">
      <c r="A13" s="24" t="s">
        <v>35</v>
      </c>
      <c r="B13" s="41">
        <v>25</v>
      </c>
      <c r="C13" s="39">
        <f>18*10</f>
        <v>180</v>
      </c>
      <c r="D13" s="27">
        <v>2</v>
      </c>
      <c r="E13" s="32">
        <f>B13*C13*D13</f>
        <v>9000</v>
      </c>
      <c r="F13" s="32">
        <f t="shared" ref="F13:H14" si="0">E13*1.02</f>
        <v>9180</v>
      </c>
      <c r="G13" s="32">
        <f t="shared" si="0"/>
        <v>9363.6</v>
      </c>
      <c r="H13" s="32">
        <f t="shared" si="0"/>
        <v>9550.8720000000012</v>
      </c>
      <c r="I13" s="32">
        <f>H13*1.02</f>
        <v>9741.8894400000008</v>
      </c>
      <c r="J13" s="32">
        <f>SUM(E13:I13)</f>
        <v>46836.361440000001</v>
      </c>
    </row>
    <row r="14" spans="1:16" s="23" customFormat="1" x14ac:dyDescent="0.25">
      <c r="A14" s="24"/>
      <c r="B14" s="41"/>
      <c r="C14" s="39"/>
      <c r="D14" s="27"/>
      <c r="E14" s="32">
        <f>B14*C14*D14</f>
        <v>0</v>
      </c>
      <c r="F14" s="32">
        <f t="shared" si="0"/>
        <v>0</v>
      </c>
      <c r="G14" s="32">
        <f t="shared" si="0"/>
        <v>0</v>
      </c>
      <c r="H14" s="32">
        <f t="shared" si="0"/>
        <v>0</v>
      </c>
      <c r="I14" s="32">
        <f>H14*1.02</f>
        <v>0</v>
      </c>
      <c r="J14" s="32">
        <f>SUM(E14:I14)</f>
        <v>0</v>
      </c>
      <c r="K14" s="23">
        <f>SUM(J11:J14)</f>
        <v>158168.212432</v>
      </c>
    </row>
    <row r="15" spans="1:16" ht="13" x14ac:dyDescent="0.3">
      <c r="A15" s="42" t="s">
        <v>36</v>
      </c>
      <c r="B15" s="43"/>
      <c r="C15" s="43"/>
      <c r="D15" s="44"/>
      <c r="E15" s="45">
        <f t="shared" ref="E15:J15" si="1">SUM(E8:E14)</f>
        <v>49230.64</v>
      </c>
      <c r="F15" s="45">
        <f t="shared" si="1"/>
        <v>48634.252800000002</v>
      </c>
      <c r="G15" s="45">
        <f t="shared" si="1"/>
        <v>51219.557855999999</v>
      </c>
      <c r="H15" s="45">
        <f t="shared" si="1"/>
        <v>40729.842213120006</v>
      </c>
      <c r="I15" s="45">
        <f t="shared" si="1"/>
        <v>50268.842266982399</v>
      </c>
      <c r="J15" s="45">
        <f t="shared" si="1"/>
        <v>240083.13513610241</v>
      </c>
      <c r="K15" s="46"/>
      <c r="L15" s="46"/>
      <c r="M15" s="46"/>
      <c r="N15" s="46"/>
      <c r="O15" s="46"/>
      <c r="P15" s="46"/>
    </row>
    <row r="16" spans="1:16" s="4" customFormat="1" ht="12.75" customHeight="1" x14ac:dyDescent="0.25">
      <c r="A16" s="47" t="s">
        <v>37</v>
      </c>
      <c r="B16" s="48" t="s">
        <v>38</v>
      </c>
      <c r="C16" s="48" t="s">
        <v>39</v>
      </c>
      <c r="D16" s="48" t="s">
        <v>40</v>
      </c>
      <c r="E16" s="49"/>
      <c r="F16" s="49"/>
      <c r="G16" s="49"/>
      <c r="H16" s="49"/>
      <c r="I16" s="49"/>
      <c r="J16" s="49"/>
    </row>
    <row r="17" spans="1:11" x14ac:dyDescent="0.25">
      <c r="A17" s="24" t="str">
        <f>A8</f>
        <v>PI AY Release</v>
      </c>
      <c r="B17" s="26">
        <v>0.32</v>
      </c>
      <c r="C17" s="50"/>
      <c r="D17" s="50"/>
      <c r="E17" s="32"/>
      <c r="F17" s="32"/>
      <c r="G17" s="32"/>
      <c r="H17" s="32"/>
      <c r="I17" s="32"/>
      <c r="J17" s="32"/>
    </row>
    <row r="18" spans="1:11" x14ac:dyDescent="0.25">
      <c r="A18" s="24" t="str">
        <f>A9</f>
        <v>PI Summer Salary</v>
      </c>
      <c r="B18" s="51"/>
      <c r="C18" s="50"/>
      <c r="D18" s="50">
        <v>8.4900000000000003E-2</v>
      </c>
      <c r="E18" s="32">
        <f>$D$18*E9</f>
        <v>1336.3803359999999</v>
      </c>
      <c r="F18" s="32">
        <f>$D$18*F9</f>
        <v>1363.10794272</v>
      </c>
      <c r="G18" s="32">
        <f>$D$18*G9</f>
        <v>1390.3701015744</v>
      </c>
      <c r="H18" s="32">
        <f>$D$18*H9</f>
        <v>1418.1775036058882</v>
      </c>
      <c r="I18" s="32">
        <f>$D$18*I9</f>
        <v>1446.5410536780059</v>
      </c>
      <c r="J18" s="32">
        <f>SUM(E18:I18)</f>
        <v>6954.5769375782947</v>
      </c>
      <c r="K18" s="52"/>
    </row>
    <row r="19" spans="1:11" x14ac:dyDescent="0.25">
      <c r="A19" s="24" t="s">
        <v>41</v>
      </c>
      <c r="B19" s="50">
        <v>3.3340000000000002E-3</v>
      </c>
      <c r="C19" s="50"/>
      <c r="E19" s="32">
        <f>$B$19*E11</f>
        <v>53.744080000000004</v>
      </c>
      <c r="F19" s="32">
        <f>$B$19*F11</f>
        <v>68.523702</v>
      </c>
      <c r="G19" s="32">
        <f>$B$19*G11</f>
        <v>55.915340831999998</v>
      </c>
      <c r="H19" s="32">
        <f>$B$19*H11</f>
        <v>28.516823824319999</v>
      </c>
      <c r="I19" s="32">
        <f>$B$19*I11</f>
        <v>58.174320601612813</v>
      </c>
      <c r="J19" s="32">
        <f>SUM(E19:I19)</f>
        <v>264.87426725793284</v>
      </c>
    </row>
    <row r="20" spans="1:11" x14ac:dyDescent="0.25">
      <c r="A20" s="24" t="s">
        <v>95</v>
      </c>
      <c r="B20" s="51"/>
      <c r="C20" s="50"/>
      <c r="D20" s="50">
        <v>7.9799999999999996E-2</v>
      </c>
      <c r="E20" s="32">
        <f>(E12+E13)*$D$20</f>
        <v>1386.126</v>
      </c>
      <c r="F20" s="32">
        <f t="shared" ref="F20:I20" si="2">(F12+F13)*$D$20</f>
        <v>959.65883999999994</v>
      </c>
      <c r="G20" s="32">
        <f t="shared" si="2"/>
        <v>1442.1254904</v>
      </c>
      <c r="H20" s="32">
        <f t="shared" si="2"/>
        <v>1234.6985286720001</v>
      </c>
      <c r="I20" s="32">
        <f t="shared" si="2"/>
        <v>1259.3924992454399</v>
      </c>
      <c r="J20" s="32">
        <f>SUM(E20:I20)</f>
        <v>6282.0013583174405</v>
      </c>
      <c r="K20" s="52"/>
    </row>
    <row r="21" spans="1:11" ht="13" x14ac:dyDescent="0.3">
      <c r="A21" s="42" t="s">
        <v>43</v>
      </c>
      <c r="B21" s="43"/>
      <c r="C21" s="43"/>
      <c r="D21" s="44"/>
      <c r="E21" s="53">
        <f t="shared" ref="E21:J21" si="3">SUM(E17:E20)</f>
        <v>2776.2504159999999</v>
      </c>
      <c r="F21" s="53">
        <f t="shared" si="3"/>
        <v>2391.2904847199998</v>
      </c>
      <c r="G21" s="53">
        <f t="shared" si="3"/>
        <v>2888.4109328064001</v>
      </c>
      <c r="H21" s="53">
        <f t="shared" si="3"/>
        <v>2681.3928561022085</v>
      </c>
      <c r="I21" s="53">
        <f t="shared" si="3"/>
        <v>2764.1078735250585</v>
      </c>
      <c r="J21" s="53">
        <f t="shared" si="3"/>
        <v>13501.452563153667</v>
      </c>
    </row>
    <row r="22" spans="1:11" ht="13" x14ac:dyDescent="0.3">
      <c r="A22" s="54"/>
      <c r="B22" s="7"/>
      <c r="C22" s="7"/>
      <c r="D22" s="55"/>
      <c r="E22" s="56"/>
      <c r="F22" s="56"/>
      <c r="G22" s="56"/>
      <c r="H22" s="56"/>
      <c r="I22" s="56"/>
      <c r="J22" s="56"/>
    </row>
    <row r="23" spans="1:11" ht="13" x14ac:dyDescent="0.3">
      <c r="A23" s="57" t="s">
        <v>44</v>
      </c>
      <c r="B23" s="43"/>
      <c r="C23" s="43"/>
      <c r="D23" s="44"/>
      <c r="E23" s="45">
        <f t="shared" ref="E23:J23" si="4">E15+E21</f>
        <v>52006.890416000002</v>
      </c>
      <c r="F23" s="45">
        <f t="shared" si="4"/>
        <v>51025.543284719999</v>
      </c>
      <c r="G23" s="45">
        <f t="shared" si="4"/>
        <v>54107.9687888064</v>
      </c>
      <c r="H23" s="45">
        <f t="shared" si="4"/>
        <v>43411.235069222217</v>
      </c>
      <c r="I23" s="45">
        <f t="shared" si="4"/>
        <v>53032.950140507455</v>
      </c>
      <c r="J23" s="45">
        <f t="shared" si="4"/>
        <v>253584.58769925608</v>
      </c>
    </row>
    <row r="24" spans="1:11" ht="13" x14ac:dyDescent="0.3">
      <c r="A24" s="13" t="s">
        <v>45</v>
      </c>
      <c r="B24" s="58"/>
      <c r="C24" s="58"/>
      <c r="D24" s="59"/>
      <c r="E24" s="60"/>
      <c r="F24" s="60"/>
      <c r="G24" s="60"/>
      <c r="H24" s="60"/>
      <c r="I24" s="60"/>
      <c r="J24" s="32"/>
    </row>
    <row r="25" spans="1:11" ht="13" x14ac:dyDescent="0.3">
      <c r="A25" s="33" t="s">
        <v>46</v>
      </c>
      <c r="B25" s="61" t="s">
        <v>47</v>
      </c>
      <c r="C25" s="61"/>
      <c r="D25" s="36" t="s">
        <v>48</v>
      </c>
      <c r="E25" s="62"/>
      <c r="F25" s="62"/>
      <c r="G25" s="62"/>
      <c r="H25" s="62"/>
      <c r="I25" s="62"/>
      <c r="J25" s="62"/>
    </row>
    <row r="26" spans="1:11" x14ac:dyDescent="0.25">
      <c r="A26" s="123" t="s">
        <v>49</v>
      </c>
      <c r="B26" s="124">
        <v>30000</v>
      </c>
      <c r="C26" s="23"/>
      <c r="D26" s="63">
        <v>1</v>
      </c>
      <c r="E26" s="64">
        <f>B26*D26</f>
        <v>30000</v>
      </c>
      <c r="F26" s="64">
        <v>0</v>
      </c>
      <c r="G26" s="64">
        <v>0</v>
      </c>
      <c r="H26" s="64">
        <v>0</v>
      </c>
      <c r="I26" s="64">
        <v>0</v>
      </c>
      <c r="J26" s="32">
        <f>SUM(E26:I26)</f>
        <v>30000</v>
      </c>
    </row>
    <row r="27" spans="1:11" x14ac:dyDescent="0.25">
      <c r="A27" s="123" t="s">
        <v>50</v>
      </c>
      <c r="B27" s="124">
        <v>30000</v>
      </c>
      <c r="C27" s="23"/>
      <c r="D27" s="63">
        <v>1</v>
      </c>
      <c r="E27" s="64">
        <f>B27*D27</f>
        <v>30000</v>
      </c>
      <c r="F27" s="64">
        <v>0</v>
      </c>
      <c r="G27" s="64">
        <v>0</v>
      </c>
      <c r="H27" s="64">
        <v>0</v>
      </c>
      <c r="I27" s="64">
        <v>0</v>
      </c>
      <c r="J27" s="32">
        <f>SUM(E27:I27)</f>
        <v>30000</v>
      </c>
    </row>
    <row r="28" spans="1:11" ht="13" x14ac:dyDescent="0.3">
      <c r="A28" s="65" t="s">
        <v>51</v>
      </c>
      <c r="B28" s="66"/>
      <c r="C28" s="66"/>
      <c r="D28" s="67"/>
      <c r="E28" s="68">
        <f t="shared" ref="E28:J28" si="5">SUM(E26:E27)</f>
        <v>60000</v>
      </c>
      <c r="F28" s="68">
        <f t="shared" si="5"/>
        <v>0</v>
      </c>
      <c r="G28" s="68">
        <f t="shared" si="5"/>
        <v>0</v>
      </c>
      <c r="H28" s="68">
        <f t="shared" si="5"/>
        <v>0</v>
      </c>
      <c r="I28" s="68">
        <f t="shared" si="5"/>
        <v>0</v>
      </c>
      <c r="J28" s="68">
        <f t="shared" si="5"/>
        <v>60000</v>
      </c>
    </row>
    <row r="29" spans="1:11" s="1" customFormat="1" x14ac:dyDescent="0.25"/>
    <row r="30" spans="1:11" ht="13" x14ac:dyDescent="0.3">
      <c r="A30" s="33" t="s">
        <v>52</v>
      </c>
      <c r="B30" s="61" t="s">
        <v>53</v>
      </c>
      <c r="C30" s="61" t="s">
        <v>54</v>
      </c>
      <c r="D30" s="36" t="s">
        <v>55</v>
      </c>
      <c r="E30" s="69"/>
      <c r="F30" s="69"/>
      <c r="G30" s="69"/>
      <c r="H30" s="69"/>
      <c r="I30" s="69"/>
      <c r="J30" s="62"/>
    </row>
    <row r="31" spans="1:11" x14ac:dyDescent="0.25">
      <c r="A31" s="24" t="s">
        <v>56</v>
      </c>
      <c r="B31" s="70">
        <v>0</v>
      </c>
      <c r="C31" s="71" t="s">
        <v>57</v>
      </c>
      <c r="D31" s="27">
        <v>0</v>
      </c>
      <c r="E31" s="64">
        <v>0</v>
      </c>
      <c r="F31" s="64">
        <f t="shared" ref="F31:H31" si="6">1.02*E31</f>
        <v>0</v>
      </c>
      <c r="G31" s="64">
        <f t="shared" si="6"/>
        <v>0</v>
      </c>
      <c r="H31" s="64">
        <f t="shared" si="6"/>
        <v>0</v>
      </c>
      <c r="I31" s="64">
        <f>B31*D31</f>
        <v>0</v>
      </c>
      <c r="J31" s="32">
        <f t="shared" ref="J31:J36" si="7">SUM(E31:I31)</f>
        <v>0</v>
      </c>
    </row>
    <row r="32" spans="1:11" x14ac:dyDescent="0.25">
      <c r="A32" s="24" t="s">
        <v>58</v>
      </c>
      <c r="B32" s="70">
        <v>500</v>
      </c>
      <c r="C32" s="71" t="s">
        <v>57</v>
      </c>
      <c r="D32" s="27">
        <v>0</v>
      </c>
      <c r="E32" s="64">
        <v>0</v>
      </c>
      <c r="F32" s="64">
        <v>500</v>
      </c>
      <c r="G32" s="64">
        <f>F32*1.02</f>
        <v>510</v>
      </c>
      <c r="H32" s="64">
        <f t="shared" ref="H32:I32" si="8">G32*1.02</f>
        <v>520.20000000000005</v>
      </c>
      <c r="I32" s="64">
        <f t="shared" si="8"/>
        <v>530.60400000000004</v>
      </c>
      <c r="J32" s="32">
        <f t="shared" si="7"/>
        <v>2060.8040000000001</v>
      </c>
    </row>
    <row r="33" spans="1:12" x14ac:dyDescent="0.25">
      <c r="A33" s="24" t="s">
        <v>59</v>
      </c>
      <c r="B33" s="70">
        <f>250</f>
        <v>250</v>
      </c>
      <c r="C33" s="71" t="s">
        <v>60</v>
      </c>
      <c r="D33" s="120">
        <v>3</v>
      </c>
      <c r="E33" s="64">
        <v>0</v>
      </c>
      <c r="F33" s="64">
        <v>750</v>
      </c>
      <c r="G33" s="64">
        <f t="shared" ref="G33:I35" si="9">F33*1.02</f>
        <v>765</v>
      </c>
      <c r="H33" s="64">
        <f t="shared" si="9"/>
        <v>780.30000000000007</v>
      </c>
      <c r="I33" s="64">
        <f t="shared" si="9"/>
        <v>795.90600000000006</v>
      </c>
      <c r="J33" s="32">
        <f t="shared" si="7"/>
        <v>3091.2060000000001</v>
      </c>
    </row>
    <row r="34" spans="1:12" x14ac:dyDescent="0.25">
      <c r="A34" s="24" t="s">
        <v>97</v>
      </c>
      <c r="B34" s="121">
        <v>200</v>
      </c>
      <c r="C34" s="71" t="s">
        <v>60</v>
      </c>
      <c r="D34" s="27">
        <v>1</v>
      </c>
      <c r="E34" s="64">
        <v>0</v>
      </c>
      <c r="F34" s="64">
        <v>200</v>
      </c>
      <c r="G34" s="64">
        <f t="shared" si="9"/>
        <v>204</v>
      </c>
      <c r="H34" s="64">
        <f t="shared" si="9"/>
        <v>208.08</v>
      </c>
      <c r="I34" s="64">
        <f t="shared" si="9"/>
        <v>212.24160000000001</v>
      </c>
      <c r="J34" s="32">
        <f t="shared" si="7"/>
        <v>824.32159999999999</v>
      </c>
    </row>
    <row r="35" spans="1:12" x14ac:dyDescent="0.25">
      <c r="A35" s="24" t="s">
        <v>62</v>
      </c>
      <c r="B35" s="70">
        <v>60</v>
      </c>
      <c r="C35" s="71" t="s">
        <v>60</v>
      </c>
      <c r="D35" s="120">
        <v>4</v>
      </c>
      <c r="E35" s="64">
        <f>0</f>
        <v>0</v>
      </c>
      <c r="F35" s="64">
        <v>240</v>
      </c>
      <c r="G35" s="64">
        <f t="shared" si="9"/>
        <v>244.8</v>
      </c>
      <c r="H35" s="64">
        <f t="shared" si="9"/>
        <v>249.69600000000003</v>
      </c>
      <c r="I35" s="64">
        <f t="shared" si="9"/>
        <v>254.68992000000003</v>
      </c>
      <c r="J35" s="32">
        <f t="shared" si="7"/>
        <v>989.18592000000012</v>
      </c>
    </row>
    <row r="36" spans="1:12" x14ac:dyDescent="0.25">
      <c r="A36" s="72" t="s">
        <v>63</v>
      </c>
      <c r="B36" s="122" t="s">
        <v>96</v>
      </c>
      <c r="C36" s="71" t="s">
        <v>60</v>
      </c>
      <c r="D36" s="74">
        <v>1</v>
      </c>
      <c r="E36" s="64">
        <f>0</f>
        <v>0</v>
      </c>
      <c r="F36" s="64">
        <v>1000</v>
      </c>
      <c r="G36" s="64">
        <f>700*1.02</f>
        <v>714</v>
      </c>
      <c r="H36" s="64">
        <f>1000*1.04</f>
        <v>1040</v>
      </c>
      <c r="I36" s="64">
        <f>700*1.06</f>
        <v>742</v>
      </c>
      <c r="J36" s="32">
        <f t="shared" si="7"/>
        <v>3496</v>
      </c>
      <c r="L36" s="52"/>
    </row>
    <row r="37" spans="1:12" s="7" customFormat="1" ht="13" x14ac:dyDescent="0.3">
      <c r="A37" s="65" t="s">
        <v>64</v>
      </c>
      <c r="B37" s="66"/>
      <c r="C37" s="75"/>
      <c r="D37" s="76"/>
      <c r="E37" s="45">
        <f t="shared" ref="E37:J37" si="10">SUM(E31:E36)</f>
        <v>0</v>
      </c>
      <c r="F37" s="45">
        <f t="shared" si="10"/>
        <v>2690</v>
      </c>
      <c r="G37" s="45">
        <f t="shared" si="10"/>
        <v>2437.8000000000002</v>
      </c>
      <c r="H37" s="45">
        <f t="shared" si="10"/>
        <v>2798.2759999999998</v>
      </c>
      <c r="I37" s="45">
        <f t="shared" si="10"/>
        <v>2535.4415200000003</v>
      </c>
      <c r="J37" s="45">
        <f t="shared" si="10"/>
        <v>10461.517520000001</v>
      </c>
    </row>
    <row r="38" spans="1:12" x14ac:dyDescent="0.25">
      <c r="A38" s="77"/>
      <c r="B38" s="73"/>
      <c r="C38" s="71"/>
      <c r="D38" s="78"/>
      <c r="E38" s="64"/>
      <c r="F38" s="64"/>
      <c r="G38" s="64"/>
      <c r="H38" s="64"/>
      <c r="I38" s="64"/>
      <c r="J38" s="64"/>
    </row>
    <row r="39" spans="1:12" ht="13" x14ac:dyDescent="0.3">
      <c r="A39" s="79" t="s">
        <v>65</v>
      </c>
      <c r="B39" s="80"/>
      <c r="C39" s="81"/>
      <c r="D39" s="82"/>
      <c r="E39" s="62"/>
      <c r="F39" s="62"/>
      <c r="G39" s="62"/>
      <c r="H39" s="62"/>
      <c r="I39" s="62"/>
      <c r="J39" s="62"/>
    </row>
    <row r="40" spans="1:12" x14ac:dyDescent="0.25">
      <c r="A40" s="72"/>
      <c r="B40" s="73"/>
      <c r="C40" s="71"/>
      <c r="D40" s="78"/>
      <c r="E40" s="64"/>
      <c r="F40" s="64"/>
      <c r="G40" s="64"/>
      <c r="H40" s="64"/>
      <c r="I40" s="64"/>
      <c r="J40" s="64"/>
    </row>
    <row r="41" spans="1:12" ht="13" x14ac:dyDescent="0.3">
      <c r="A41" s="33" t="s">
        <v>66</v>
      </c>
      <c r="B41" s="61" t="s">
        <v>30</v>
      </c>
      <c r="C41" s="61" t="s">
        <v>48</v>
      </c>
      <c r="D41" s="36" t="s">
        <v>67</v>
      </c>
      <c r="E41" s="62"/>
      <c r="F41" s="62"/>
      <c r="G41" s="62"/>
      <c r="H41" s="62"/>
      <c r="I41" s="62"/>
      <c r="J41" s="62"/>
    </row>
    <row r="42" spans="1:12" x14ac:dyDescent="0.25">
      <c r="A42" s="24" t="s">
        <v>68</v>
      </c>
      <c r="B42" s="23">
        <v>1200</v>
      </c>
      <c r="C42" s="70" t="s">
        <v>69</v>
      </c>
      <c r="D42" s="70" t="s">
        <v>69</v>
      </c>
      <c r="E42" s="64">
        <f>1*B42</f>
        <v>1200</v>
      </c>
      <c r="F42" s="64">
        <f>2*B42*1.02</f>
        <v>2448</v>
      </c>
      <c r="G42" s="64">
        <f>4*B42*1.04</f>
        <v>4992</v>
      </c>
      <c r="H42" s="64">
        <f>2*B42*1.06</f>
        <v>2544</v>
      </c>
      <c r="I42" s="64">
        <f>1*B42*1.08</f>
        <v>1296</v>
      </c>
      <c r="J42" s="117">
        <f t="shared" ref="J42:J50" si="11">SUM(E42:I42)</f>
        <v>12480</v>
      </c>
      <c r="K42" s="52"/>
    </row>
    <row r="43" spans="1:12" x14ac:dyDescent="0.25">
      <c r="A43" s="24" t="s">
        <v>70</v>
      </c>
      <c r="B43" s="23">
        <v>194</v>
      </c>
      <c r="C43" s="70">
        <v>50</v>
      </c>
      <c r="D43" s="27" t="s">
        <v>69</v>
      </c>
      <c r="E43" s="64">
        <f>5*B43</f>
        <v>970</v>
      </c>
      <c r="F43" s="64">
        <f>10*B43*1.02</f>
        <v>1978.8</v>
      </c>
      <c r="G43" s="64">
        <f>20*B43*1.04</f>
        <v>4035.2000000000003</v>
      </c>
      <c r="H43" s="64">
        <f>15*B43*1.06</f>
        <v>3084.6000000000004</v>
      </c>
      <c r="I43" s="64">
        <v>0</v>
      </c>
      <c r="J43" s="117">
        <f t="shared" si="11"/>
        <v>10068.6</v>
      </c>
      <c r="K43" s="52"/>
    </row>
    <row r="44" spans="1:12" x14ac:dyDescent="0.25">
      <c r="A44" s="24" t="s">
        <v>71</v>
      </c>
      <c r="B44" s="23">
        <v>500</v>
      </c>
      <c r="C44" s="70" t="s">
        <v>69</v>
      </c>
      <c r="D44" s="70">
        <v>1</v>
      </c>
      <c r="E44" s="64">
        <f>B44</f>
        <v>500</v>
      </c>
      <c r="F44" s="64">
        <f>B44*1.02</f>
        <v>510</v>
      </c>
      <c r="G44" s="64">
        <f>B44*1.04</f>
        <v>520</v>
      </c>
      <c r="H44" s="64">
        <f>B44*1.06</f>
        <v>530</v>
      </c>
      <c r="I44" s="64">
        <f>B44*1.08</f>
        <v>540</v>
      </c>
      <c r="J44" s="117">
        <f t="shared" si="11"/>
        <v>2600</v>
      </c>
      <c r="K44" s="52"/>
    </row>
    <row r="45" spans="1:12" x14ac:dyDescent="0.25">
      <c r="A45" s="24" t="s">
        <v>72</v>
      </c>
      <c r="B45" s="29">
        <v>1740</v>
      </c>
      <c r="C45" s="23"/>
      <c r="D45" s="63">
        <v>8</v>
      </c>
      <c r="E45" s="64">
        <f>0</f>
        <v>0</v>
      </c>
      <c r="F45" s="64">
        <f>B45*D45</f>
        <v>13920</v>
      </c>
      <c r="G45" s="64">
        <v>0</v>
      </c>
      <c r="H45" s="64">
        <v>0</v>
      </c>
      <c r="I45" s="64">
        <v>0</v>
      </c>
      <c r="J45" s="28">
        <f t="shared" si="11"/>
        <v>13920</v>
      </c>
    </row>
    <row r="46" spans="1:12" x14ac:dyDescent="0.25">
      <c r="A46" s="24" t="s">
        <v>73</v>
      </c>
      <c r="B46" s="23">
        <v>500</v>
      </c>
      <c r="C46" s="70">
        <v>4</v>
      </c>
      <c r="D46" s="70"/>
      <c r="E46" s="64">
        <v>0</v>
      </c>
      <c r="F46" s="64">
        <v>0</v>
      </c>
      <c r="G46" s="64">
        <v>2000</v>
      </c>
      <c r="H46" s="64">
        <v>0</v>
      </c>
      <c r="I46" s="64">
        <v>0</v>
      </c>
      <c r="J46" s="118">
        <f t="shared" si="11"/>
        <v>2000</v>
      </c>
      <c r="K46" s="52"/>
    </row>
    <row r="47" spans="1:12" x14ac:dyDescent="0.25">
      <c r="A47" s="24" t="s">
        <v>74</v>
      </c>
      <c r="B47" s="23">
        <v>1000</v>
      </c>
      <c r="C47" s="70"/>
      <c r="D47" s="70"/>
      <c r="E47" s="64">
        <v>0</v>
      </c>
      <c r="F47" s="64">
        <v>0</v>
      </c>
      <c r="G47" s="83">
        <v>1000</v>
      </c>
      <c r="H47" s="83">
        <v>1000</v>
      </c>
      <c r="I47" s="83">
        <v>1000</v>
      </c>
      <c r="J47" s="28">
        <f t="shared" si="11"/>
        <v>3000</v>
      </c>
      <c r="K47" s="52">
        <f>SUM(J42:J47)</f>
        <v>44068.6</v>
      </c>
    </row>
    <row r="48" spans="1:12" x14ac:dyDescent="0.25">
      <c r="A48" s="24" t="s">
        <v>75</v>
      </c>
      <c r="B48" s="23">
        <v>2500</v>
      </c>
      <c r="C48" s="70">
        <v>2</v>
      </c>
      <c r="D48" s="70" t="s">
        <v>69</v>
      </c>
      <c r="E48" s="64">
        <v>0</v>
      </c>
      <c r="F48" s="64">
        <f>B48</f>
        <v>2500</v>
      </c>
      <c r="G48" s="64">
        <f>B48</f>
        <v>2500</v>
      </c>
      <c r="H48" s="83">
        <v>1000</v>
      </c>
      <c r="I48" s="64">
        <f>0</f>
        <v>0</v>
      </c>
      <c r="J48" s="117">
        <f t="shared" si="11"/>
        <v>6000</v>
      </c>
      <c r="K48" s="52"/>
    </row>
    <row r="49" spans="1:11" x14ac:dyDescent="0.25">
      <c r="A49" s="24" t="s">
        <v>76</v>
      </c>
      <c r="B49" s="23">
        <v>500</v>
      </c>
      <c r="C49" s="70">
        <v>1</v>
      </c>
      <c r="D49" s="70">
        <v>1</v>
      </c>
      <c r="E49" s="64">
        <v>500</v>
      </c>
      <c r="F49" s="64">
        <v>500</v>
      </c>
      <c r="G49" s="64">
        <v>500</v>
      </c>
      <c r="H49" s="64">
        <v>500</v>
      </c>
      <c r="I49" s="64">
        <v>500</v>
      </c>
      <c r="J49" s="117">
        <f t="shared" si="11"/>
        <v>2500</v>
      </c>
      <c r="K49" s="52"/>
    </row>
    <row r="50" spans="1:11" x14ac:dyDescent="0.25">
      <c r="A50" s="24" t="s">
        <v>77</v>
      </c>
      <c r="B50" s="23">
        <f>500+(2*250)+(3*74)+100</f>
        <v>1322</v>
      </c>
      <c r="C50" s="70">
        <v>1</v>
      </c>
      <c r="D50" s="70">
        <v>1</v>
      </c>
      <c r="E50" s="64">
        <f>B50*C50*D50</f>
        <v>1322</v>
      </c>
      <c r="F50" s="64">
        <f>E50*1.02</f>
        <v>1348.44</v>
      </c>
      <c r="G50" s="64">
        <f>F50*1.02</f>
        <v>1375.4088000000002</v>
      </c>
      <c r="H50" s="64">
        <f>G50*1.02</f>
        <v>1402.9169760000002</v>
      </c>
      <c r="I50" s="64">
        <f>H50*1.02</f>
        <v>1430.9753155200003</v>
      </c>
      <c r="J50" s="117">
        <f t="shared" si="11"/>
        <v>6879.7410915200007</v>
      </c>
      <c r="K50" s="52">
        <f>J49+J50</f>
        <v>9379.7410915200016</v>
      </c>
    </row>
    <row r="51" spans="1:11" ht="13" x14ac:dyDescent="0.3">
      <c r="A51" s="42" t="s">
        <v>78</v>
      </c>
      <c r="B51" s="43"/>
      <c r="C51" s="43"/>
      <c r="D51" s="44"/>
      <c r="E51" s="45">
        <f t="shared" ref="E51:J51" si="12">SUM(E42:E50)</f>
        <v>4492</v>
      </c>
      <c r="F51" s="45">
        <f t="shared" si="12"/>
        <v>23205.239999999998</v>
      </c>
      <c r="G51" s="45">
        <f t="shared" si="12"/>
        <v>16922.608800000002</v>
      </c>
      <c r="H51" s="45">
        <f t="shared" si="12"/>
        <v>10061.516976000001</v>
      </c>
      <c r="I51" s="45">
        <f t="shared" si="12"/>
        <v>4766.9753155200005</v>
      </c>
      <c r="J51" s="119">
        <f t="shared" si="12"/>
        <v>59448.34109152</v>
      </c>
    </row>
    <row r="52" spans="1:11" ht="13" x14ac:dyDescent="0.3">
      <c r="A52" s="84"/>
      <c r="B52" s="85"/>
      <c r="C52" s="85"/>
      <c r="D52" s="86"/>
      <c r="E52" s="64"/>
      <c r="F52" s="64"/>
      <c r="G52" s="64"/>
      <c r="H52" s="64"/>
      <c r="I52" s="64"/>
      <c r="J52" s="64"/>
    </row>
    <row r="53" spans="1:11" ht="13" x14ac:dyDescent="0.3">
      <c r="A53" s="87" t="s">
        <v>79</v>
      </c>
      <c r="B53" s="88"/>
      <c r="C53" s="88"/>
      <c r="D53" s="89"/>
      <c r="E53" s="45">
        <f t="shared" ref="E53:J53" si="13">E28+E37+E51</f>
        <v>64492</v>
      </c>
      <c r="F53" s="45">
        <f t="shared" si="13"/>
        <v>25895.239999999998</v>
      </c>
      <c r="G53" s="45">
        <f t="shared" si="13"/>
        <v>19360.408800000001</v>
      </c>
      <c r="H53" s="45">
        <f t="shared" si="13"/>
        <v>12859.792976000001</v>
      </c>
      <c r="I53" s="45">
        <f t="shared" si="13"/>
        <v>7302.4168355200009</v>
      </c>
      <c r="J53" s="45">
        <f t="shared" si="13"/>
        <v>129909.85861152</v>
      </c>
      <c r="K53" s="90"/>
    </row>
    <row r="54" spans="1:11" ht="13" x14ac:dyDescent="0.3">
      <c r="A54" s="91"/>
      <c r="B54" s="92"/>
      <c r="C54" s="92"/>
      <c r="D54" s="93"/>
      <c r="E54" s="94"/>
      <c r="F54" s="94"/>
      <c r="G54" s="94"/>
      <c r="H54" s="94"/>
      <c r="I54" s="94"/>
      <c r="J54" s="56"/>
      <c r="K54" s="90"/>
    </row>
    <row r="55" spans="1:11" ht="13" x14ac:dyDescent="0.3">
      <c r="A55" s="87" t="s">
        <v>80</v>
      </c>
      <c r="B55" s="88"/>
      <c r="C55" s="88"/>
      <c r="D55" s="89"/>
      <c r="E55" s="45">
        <f>E23+E53</f>
        <v>116498.89041600001</v>
      </c>
      <c r="F55" s="45">
        <f>F23+F53</f>
        <v>76920.783284720004</v>
      </c>
      <c r="G55" s="45">
        <f>G23+G53</f>
        <v>73468.377588806397</v>
      </c>
      <c r="H55" s="45">
        <f>H23+H53</f>
        <v>56271.028045222221</v>
      </c>
      <c r="I55" s="45">
        <f>I23+I53</f>
        <v>60335.366976027457</v>
      </c>
      <c r="J55" s="53">
        <f>SUM(E55:I55)</f>
        <v>383494.44631077605</v>
      </c>
      <c r="K55" s="90"/>
    </row>
    <row r="56" spans="1:11" ht="13.5" customHeight="1" x14ac:dyDescent="0.3">
      <c r="A56" s="91"/>
      <c r="B56" s="95" t="s">
        <v>30</v>
      </c>
      <c r="C56" s="95" t="s">
        <v>81</v>
      </c>
      <c r="D56" s="93"/>
      <c r="E56" s="94"/>
      <c r="F56" s="94"/>
      <c r="G56" s="94"/>
      <c r="H56" s="94"/>
      <c r="I56" s="94"/>
      <c r="J56" s="56"/>
      <c r="K56" s="90"/>
    </row>
    <row r="57" spans="1:11" ht="13" x14ac:dyDescent="0.3">
      <c r="A57" s="87" t="s">
        <v>82</v>
      </c>
      <c r="B57" s="96">
        <v>0.55700000000000005</v>
      </c>
      <c r="C57" s="97" t="s">
        <v>83</v>
      </c>
      <c r="D57" s="89"/>
      <c r="E57" s="45">
        <f>E15*0.557</f>
        <v>27421.466480000003</v>
      </c>
      <c r="F57" s="45">
        <f>F15*0.557</f>
        <v>27089.278809600004</v>
      </c>
      <c r="G57" s="45">
        <f>G15*0.557</f>
        <v>28529.293725792002</v>
      </c>
      <c r="H57" s="45">
        <f>H15*0.557</f>
        <v>22686.522112707844</v>
      </c>
      <c r="I57" s="45">
        <f>I15*0.557</f>
        <v>27999.745142709198</v>
      </c>
      <c r="J57" s="53">
        <f>SUM(E57:I57)</f>
        <v>133726.30627080903</v>
      </c>
    </row>
    <row r="58" spans="1:11" ht="13" x14ac:dyDescent="0.3">
      <c r="A58" s="91"/>
      <c r="B58" s="98"/>
      <c r="C58" s="92"/>
      <c r="D58" s="93"/>
      <c r="E58" s="94"/>
      <c r="F58" s="94"/>
      <c r="G58" s="94"/>
      <c r="H58" s="94"/>
      <c r="I58" s="94"/>
      <c r="J58" s="56"/>
    </row>
    <row r="59" spans="1:11" ht="13" x14ac:dyDescent="0.3">
      <c r="A59" s="99" t="s">
        <v>84</v>
      </c>
      <c r="B59" s="100"/>
      <c r="C59" s="100"/>
      <c r="D59" s="101"/>
      <c r="E59" s="102">
        <f t="shared" ref="E59:J59" si="14">E55+E57</f>
        <v>143920.35689600001</v>
      </c>
      <c r="F59" s="102">
        <f t="shared" si="14"/>
        <v>104010.06209432</v>
      </c>
      <c r="G59" s="102">
        <f t="shared" si="14"/>
        <v>101997.6713145984</v>
      </c>
      <c r="H59" s="102">
        <f t="shared" si="14"/>
        <v>78957.550157930062</v>
      </c>
      <c r="I59" s="102">
        <f t="shared" si="14"/>
        <v>88335.112118736652</v>
      </c>
      <c r="J59" s="102">
        <f t="shared" si="14"/>
        <v>517220.75258158508</v>
      </c>
      <c r="K59" s="90"/>
    </row>
    <row r="60" spans="1:11" ht="12.75" customHeight="1" x14ac:dyDescent="0.3">
      <c r="A60" s="103"/>
      <c r="D60" s="104"/>
      <c r="E60" s="52"/>
      <c r="F60" s="52"/>
      <c r="G60" s="52"/>
      <c r="H60" s="52"/>
      <c r="I60" s="52"/>
      <c r="J60" s="52"/>
    </row>
    <row r="61" spans="1:11" ht="12.75" customHeight="1" x14ac:dyDescent="0.3">
      <c r="A61" s="105"/>
      <c r="D61" s="104"/>
      <c r="E61" s="52"/>
      <c r="F61" s="52"/>
      <c r="G61" s="52"/>
      <c r="H61" s="52"/>
      <c r="I61" s="52"/>
      <c r="J61" s="52"/>
    </row>
  </sheetData>
  <mergeCells count="3">
    <mergeCell ref="A1:H1"/>
    <mergeCell ref="A4:A5"/>
    <mergeCell ref="B4:D5"/>
  </mergeCells>
  <printOptions horizontalCentered="1" verticalCentered="1"/>
  <pageMargins left="0.5" right="0.5" top="0.5" bottom="0.5" header="0.511811023622047" footer="0.511811023622047"/>
  <pageSetup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61"/>
  <sheetViews>
    <sheetView showOutlineSymbols="0" topLeftCell="A25" zoomScale="96" zoomScaleNormal="85" workbookViewId="0">
      <selection activeCell="D35" sqref="D35"/>
    </sheetView>
  </sheetViews>
  <sheetFormatPr defaultColWidth="8.81640625" defaultRowHeight="12.5" x14ac:dyDescent="0.25"/>
  <cols>
    <col min="1" max="1" width="36.54296875" style="1" customWidth="1"/>
    <col min="2" max="2" width="10.54296875" style="1" customWidth="1"/>
    <col min="3" max="3" width="11.6328125" style="1" customWidth="1"/>
    <col min="4" max="4" width="12.6328125" style="2" customWidth="1"/>
    <col min="5" max="5" width="18.81640625" style="1" customWidth="1"/>
    <col min="6" max="9" width="19.453125" style="1" customWidth="1"/>
    <col min="10" max="10" width="18.81640625" style="1" customWidth="1"/>
    <col min="11" max="11" width="15.453125" style="1" customWidth="1"/>
    <col min="12" max="12" width="11.453125" style="1" customWidth="1"/>
    <col min="13" max="15" width="9.81640625" style="1" customWidth="1"/>
    <col min="16" max="16" width="10.81640625" style="1" customWidth="1"/>
    <col min="17" max="50" width="9.1796875" style="1" customWidth="1"/>
    <col min="51" max="1024" width="8.81640625" style="1"/>
  </cols>
  <sheetData>
    <row r="1" spans="1:16" s="3" customFormat="1" ht="12.75" customHeight="1" x14ac:dyDescent="0.25">
      <c r="A1" s="125" t="s">
        <v>94</v>
      </c>
      <c r="B1" s="125"/>
      <c r="C1" s="125"/>
      <c r="D1" s="125"/>
      <c r="E1" s="125"/>
      <c r="F1" s="125"/>
      <c r="G1" s="125"/>
      <c r="H1" s="125"/>
      <c r="I1" s="3" t="s">
        <v>1</v>
      </c>
      <c r="J1" s="4" t="s">
        <v>2</v>
      </c>
    </row>
    <row r="2" spans="1:16" ht="13" x14ac:dyDescent="0.3">
      <c r="A2" s="5" t="s">
        <v>3</v>
      </c>
      <c r="B2" s="5" t="s">
        <v>4</v>
      </c>
      <c r="C2" s="1" t="s">
        <v>5</v>
      </c>
      <c r="D2" s="6"/>
      <c r="H2" s="7" t="s">
        <v>6</v>
      </c>
      <c r="I2" s="1" t="s">
        <v>7</v>
      </c>
    </row>
    <row r="3" spans="1:16" ht="13" x14ac:dyDescent="0.3">
      <c r="B3" s="5"/>
      <c r="C3" s="8"/>
      <c r="D3" s="6"/>
      <c r="E3" s="9"/>
      <c r="F3" s="9"/>
      <c r="G3" s="9"/>
      <c r="H3" s="9"/>
      <c r="I3" s="9"/>
    </row>
    <row r="4" spans="1:16" ht="13" x14ac:dyDescent="0.3">
      <c r="A4" s="126" t="s">
        <v>8</v>
      </c>
      <c r="B4" s="127" t="s">
        <v>9</v>
      </c>
      <c r="C4" s="127"/>
      <c r="D4" s="127"/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1" t="s">
        <v>15</v>
      </c>
    </row>
    <row r="5" spans="1:16" ht="13" x14ac:dyDescent="0.3">
      <c r="A5" s="126"/>
      <c r="B5" s="127"/>
      <c r="C5" s="127"/>
      <c r="D5" s="127"/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</row>
    <row r="6" spans="1:16" ht="13" x14ac:dyDescent="0.3">
      <c r="A6" s="13" t="s">
        <v>22</v>
      </c>
      <c r="B6" s="14"/>
      <c r="C6" s="15"/>
      <c r="D6" s="16"/>
      <c r="E6" s="17"/>
      <c r="F6" s="17"/>
      <c r="G6" s="17"/>
      <c r="H6" s="17"/>
      <c r="I6" s="17"/>
      <c r="J6" s="17"/>
    </row>
    <row r="7" spans="1:16" s="23" customFormat="1" ht="13" x14ac:dyDescent="0.3">
      <c r="A7" s="18" t="s">
        <v>23</v>
      </c>
      <c r="B7" s="19" t="s">
        <v>24</v>
      </c>
      <c r="C7" s="19" t="s">
        <v>25</v>
      </c>
      <c r="D7" s="20" t="s">
        <v>26</v>
      </c>
      <c r="E7" s="21"/>
      <c r="F7" s="21"/>
      <c r="G7" s="21"/>
      <c r="H7" s="21"/>
      <c r="I7" s="21"/>
      <c r="J7" s="22"/>
    </row>
    <row r="8" spans="1:16" s="23" customFormat="1" x14ac:dyDescent="0.25">
      <c r="A8" s="24" t="s">
        <v>27</v>
      </c>
      <c r="B8" s="25"/>
      <c r="C8" s="26"/>
      <c r="D8" s="27"/>
      <c r="E8" s="28"/>
      <c r="F8" s="28"/>
      <c r="G8" s="28"/>
      <c r="H8" s="28"/>
      <c r="I8" s="28"/>
      <c r="J8" s="28"/>
      <c r="K8" s="29"/>
      <c r="L8" s="29"/>
      <c r="M8" s="29"/>
      <c r="N8" s="29"/>
      <c r="O8" s="29"/>
      <c r="P8" s="29"/>
    </row>
    <row r="9" spans="1:16" s="23" customFormat="1" x14ac:dyDescent="0.25">
      <c r="A9" s="24" t="s">
        <v>28</v>
      </c>
      <c r="B9" s="25">
        <f>(74460+2700)*1.02</f>
        <v>78703.199999999997</v>
      </c>
      <c r="C9" s="30">
        <v>2</v>
      </c>
      <c r="D9" s="31">
        <v>1.02</v>
      </c>
      <c r="E9" s="32">
        <f>B9/10*C9</f>
        <v>15740.64</v>
      </c>
      <c r="F9" s="32">
        <f>E9*1.02</f>
        <v>16055.452799999999</v>
      </c>
      <c r="G9" s="32">
        <f>F9*1.02</f>
        <v>16376.561856</v>
      </c>
      <c r="H9" s="32">
        <f>G9*1.02</f>
        <v>16704.093093120002</v>
      </c>
      <c r="I9" s="32">
        <f>H9*1.02</f>
        <v>17038.174954982402</v>
      </c>
      <c r="J9" s="32">
        <f>SUM(E9:I9)</f>
        <v>81914.922704102399</v>
      </c>
      <c r="K9" s="29"/>
      <c r="L9" s="29"/>
      <c r="M9" s="29"/>
      <c r="N9" s="29"/>
      <c r="O9" s="29"/>
      <c r="P9" s="29"/>
    </row>
    <row r="10" spans="1:16" s="23" customFormat="1" ht="13" x14ac:dyDescent="0.3">
      <c r="A10" s="33" t="s">
        <v>29</v>
      </c>
      <c r="B10" s="34" t="s">
        <v>30</v>
      </c>
      <c r="C10" s="35" t="s">
        <v>31</v>
      </c>
      <c r="D10" s="36" t="s">
        <v>32</v>
      </c>
      <c r="E10" s="37"/>
      <c r="F10" s="37"/>
      <c r="G10" s="37"/>
      <c r="H10" s="37"/>
      <c r="I10" s="37"/>
      <c r="J10" s="37"/>
    </row>
    <row r="11" spans="1:16" s="23" customFormat="1" x14ac:dyDescent="0.25">
      <c r="A11" s="24" t="s">
        <v>33</v>
      </c>
      <c r="B11" s="38">
        <v>15.5</v>
      </c>
      <c r="C11" s="39">
        <f>10*13*2</f>
        <v>260</v>
      </c>
      <c r="D11" s="27">
        <v>4</v>
      </c>
      <c r="E11" s="32">
        <f>B11*C11*D11</f>
        <v>16120</v>
      </c>
      <c r="F11" s="32">
        <f>E11*1.02*5/4</f>
        <v>20553</v>
      </c>
      <c r="G11" s="32">
        <f>F11*1.02*4/5</f>
        <v>16771.248</v>
      </c>
      <c r="H11" s="32">
        <f>G11*1.02*2/4</f>
        <v>8553.3364799999999</v>
      </c>
      <c r="I11" s="32">
        <f>H11*1.02*4/2</f>
        <v>17448.806419200002</v>
      </c>
      <c r="J11" s="32">
        <f>SUM(E11:I11)</f>
        <v>79446.390899199992</v>
      </c>
    </row>
    <row r="12" spans="1:16" s="23" customFormat="1" x14ac:dyDescent="0.25">
      <c r="A12" s="24" t="s">
        <v>34</v>
      </c>
      <c r="B12" s="38">
        <v>15.5</v>
      </c>
      <c r="C12" s="39">
        <f>18*10</f>
        <v>180</v>
      </c>
      <c r="D12" s="27">
        <v>3</v>
      </c>
      <c r="E12" s="32">
        <f>B12*C12*D12</f>
        <v>8370</v>
      </c>
      <c r="F12" s="32">
        <f>E12*1.02*1/3</f>
        <v>2845.7999999999997</v>
      </c>
      <c r="G12" s="32">
        <f>F12*1.02*3</f>
        <v>8708.1479999999992</v>
      </c>
      <c r="H12" s="32">
        <f>G12*1.02*2/3</f>
        <v>5921.5406399999993</v>
      </c>
      <c r="I12" s="32">
        <f>H12*1.02</f>
        <v>6039.9714527999995</v>
      </c>
      <c r="J12" s="32">
        <f>SUM(E12:I12)</f>
        <v>31885.460092799996</v>
      </c>
    </row>
    <row r="13" spans="1:16" s="23" customFormat="1" x14ac:dyDescent="0.25">
      <c r="A13" s="24" t="s">
        <v>35</v>
      </c>
      <c r="B13" s="41">
        <v>25</v>
      </c>
      <c r="C13" s="39">
        <f>18*10</f>
        <v>180</v>
      </c>
      <c r="D13" s="27">
        <v>2</v>
      </c>
      <c r="E13" s="32">
        <f>B13*C13*D13</f>
        <v>9000</v>
      </c>
      <c r="F13" s="32">
        <f t="shared" ref="F13:H14" si="0">E13*1.02</f>
        <v>9180</v>
      </c>
      <c r="G13" s="32">
        <f t="shared" si="0"/>
        <v>9363.6</v>
      </c>
      <c r="H13" s="32">
        <f t="shared" si="0"/>
        <v>9550.8720000000012</v>
      </c>
      <c r="I13" s="32">
        <f>H13*1.02</f>
        <v>9741.8894400000008</v>
      </c>
      <c r="J13" s="32">
        <f>SUM(E13:I13)</f>
        <v>46836.361440000001</v>
      </c>
    </row>
    <row r="14" spans="1:16" s="23" customFormat="1" x14ac:dyDescent="0.25">
      <c r="A14" s="24"/>
      <c r="B14" s="41"/>
      <c r="C14" s="39"/>
      <c r="D14" s="27"/>
      <c r="E14" s="32">
        <f>B14*C14*D14</f>
        <v>0</v>
      </c>
      <c r="F14" s="32">
        <f t="shared" si="0"/>
        <v>0</v>
      </c>
      <c r="G14" s="32">
        <f t="shared" si="0"/>
        <v>0</v>
      </c>
      <c r="H14" s="32">
        <f t="shared" si="0"/>
        <v>0</v>
      </c>
      <c r="I14" s="32">
        <f>H14*1.02</f>
        <v>0</v>
      </c>
      <c r="J14" s="32">
        <f>SUM(E14:I14)</f>
        <v>0</v>
      </c>
      <c r="K14" s="23">
        <f>SUM(J11:J14)</f>
        <v>158168.212432</v>
      </c>
    </row>
    <row r="15" spans="1:16" ht="13" x14ac:dyDescent="0.3">
      <c r="A15" s="42" t="s">
        <v>36</v>
      </c>
      <c r="B15" s="43"/>
      <c r="C15" s="43"/>
      <c r="D15" s="44"/>
      <c r="E15" s="45">
        <f t="shared" ref="E15:J15" si="1">SUM(E8:E14)</f>
        <v>49230.64</v>
      </c>
      <c r="F15" s="45">
        <f t="shared" si="1"/>
        <v>48634.252800000002</v>
      </c>
      <c r="G15" s="45">
        <f t="shared" si="1"/>
        <v>51219.557855999999</v>
      </c>
      <c r="H15" s="45">
        <f t="shared" si="1"/>
        <v>40729.842213120006</v>
      </c>
      <c r="I15" s="45">
        <f t="shared" si="1"/>
        <v>50268.842266982399</v>
      </c>
      <c r="J15" s="45">
        <f t="shared" si="1"/>
        <v>240083.13513610241</v>
      </c>
      <c r="K15" s="46"/>
      <c r="L15" s="46"/>
      <c r="M15" s="46"/>
      <c r="N15" s="46"/>
      <c r="O15" s="46"/>
      <c r="P15" s="46"/>
    </row>
    <row r="16" spans="1:16" s="4" customFormat="1" ht="12.75" customHeight="1" x14ac:dyDescent="0.25">
      <c r="A16" s="47" t="s">
        <v>37</v>
      </c>
      <c r="B16" s="48" t="s">
        <v>38</v>
      </c>
      <c r="C16" s="48" t="s">
        <v>39</v>
      </c>
      <c r="D16" s="48" t="s">
        <v>40</v>
      </c>
      <c r="E16" s="49"/>
      <c r="F16" s="49"/>
      <c r="G16" s="49"/>
      <c r="H16" s="49"/>
      <c r="I16" s="49"/>
      <c r="J16" s="49"/>
    </row>
    <row r="17" spans="1:11" x14ac:dyDescent="0.25">
      <c r="A17" s="24" t="str">
        <f>A8</f>
        <v>PI AY Release</v>
      </c>
      <c r="B17" s="26">
        <v>0.32</v>
      </c>
      <c r="C17" s="50"/>
      <c r="D17" s="50"/>
      <c r="E17" s="32"/>
      <c r="F17" s="32"/>
      <c r="G17" s="32"/>
      <c r="H17" s="32"/>
      <c r="I17" s="32"/>
      <c r="J17" s="32"/>
    </row>
    <row r="18" spans="1:11" x14ac:dyDescent="0.25">
      <c r="A18" s="24" t="str">
        <f>A9</f>
        <v>PI Summer Salary</v>
      </c>
      <c r="B18" s="51"/>
      <c r="C18" s="50"/>
      <c r="D18" s="50">
        <v>8.4900000000000003E-2</v>
      </c>
      <c r="E18" s="32">
        <f>$D$18*E9</f>
        <v>1336.3803359999999</v>
      </c>
      <c r="F18" s="32">
        <f>$D$18*F9</f>
        <v>1363.10794272</v>
      </c>
      <c r="G18" s="32">
        <f>$D$18*G9</f>
        <v>1390.3701015744</v>
      </c>
      <c r="H18" s="32">
        <f>$D$18*H9</f>
        <v>1418.1775036058882</v>
      </c>
      <c r="I18" s="32">
        <f>$D$18*I9</f>
        <v>1446.5410536780059</v>
      </c>
      <c r="J18" s="32">
        <f>SUM(E18:I18)</f>
        <v>6954.5769375782947</v>
      </c>
      <c r="K18" s="52"/>
    </row>
    <row r="19" spans="1:11" x14ac:dyDescent="0.25">
      <c r="A19" s="24" t="s">
        <v>41</v>
      </c>
      <c r="B19" s="50">
        <v>3.3340000000000002E-3</v>
      </c>
      <c r="C19" s="50"/>
      <c r="E19" s="32">
        <f>$B$19*E11</f>
        <v>53.744080000000004</v>
      </c>
      <c r="F19" s="32">
        <f>$B$19*F11</f>
        <v>68.523702</v>
      </c>
      <c r="G19" s="32">
        <f>$B$19*G11</f>
        <v>55.915340831999998</v>
      </c>
      <c r="H19" s="32">
        <f>$B$19*H11</f>
        <v>28.516823824319999</v>
      </c>
      <c r="I19" s="32">
        <f>$B$19*I11</f>
        <v>58.174320601612813</v>
      </c>
      <c r="J19" s="32">
        <f>SUM(E19:I19)</f>
        <v>264.87426725793284</v>
      </c>
    </row>
    <row r="20" spans="1:11" x14ac:dyDescent="0.25">
      <c r="A20" s="24" t="s">
        <v>95</v>
      </c>
      <c r="B20" s="51"/>
      <c r="C20" s="50"/>
      <c r="D20" s="50">
        <v>7.9799999999999996E-2</v>
      </c>
      <c r="E20" s="32">
        <f>(E12+E13)*$D$20</f>
        <v>1386.126</v>
      </c>
      <c r="F20" s="32">
        <f t="shared" ref="F20:I20" si="2">(F12+F13)*$D$20</f>
        <v>959.65883999999994</v>
      </c>
      <c r="G20" s="32">
        <f t="shared" si="2"/>
        <v>1442.1254904</v>
      </c>
      <c r="H20" s="32">
        <f t="shared" si="2"/>
        <v>1234.6985286720001</v>
      </c>
      <c r="I20" s="32">
        <f t="shared" si="2"/>
        <v>1259.3924992454399</v>
      </c>
      <c r="J20" s="32">
        <f>SUM(E20:I20)</f>
        <v>6282.0013583174405</v>
      </c>
      <c r="K20" s="52"/>
    </row>
    <row r="21" spans="1:11" ht="13" x14ac:dyDescent="0.3">
      <c r="A21" s="42" t="s">
        <v>43</v>
      </c>
      <c r="B21" s="43"/>
      <c r="C21" s="43"/>
      <c r="D21" s="44"/>
      <c r="E21" s="53">
        <f t="shared" ref="E21:J21" si="3">SUM(E17:E20)</f>
        <v>2776.2504159999999</v>
      </c>
      <c r="F21" s="53">
        <f t="shared" si="3"/>
        <v>2391.2904847199998</v>
      </c>
      <c r="G21" s="53">
        <f t="shared" si="3"/>
        <v>2888.4109328064001</v>
      </c>
      <c r="H21" s="53">
        <f t="shared" si="3"/>
        <v>2681.3928561022085</v>
      </c>
      <c r="I21" s="53">
        <f t="shared" si="3"/>
        <v>2764.1078735250585</v>
      </c>
      <c r="J21" s="53">
        <f t="shared" si="3"/>
        <v>13501.452563153667</v>
      </c>
    </row>
    <row r="22" spans="1:11" ht="13" x14ac:dyDescent="0.3">
      <c r="A22" s="54"/>
      <c r="B22" s="7"/>
      <c r="C22" s="7"/>
      <c r="D22" s="55"/>
      <c r="E22" s="56"/>
      <c r="F22" s="56"/>
      <c r="G22" s="56"/>
      <c r="H22" s="56"/>
      <c r="I22" s="56"/>
      <c r="J22" s="56"/>
    </row>
    <row r="23" spans="1:11" ht="13" x14ac:dyDescent="0.3">
      <c r="A23" s="57" t="s">
        <v>44</v>
      </c>
      <c r="B23" s="43"/>
      <c r="C23" s="43"/>
      <c r="D23" s="44"/>
      <c r="E23" s="45">
        <f t="shared" ref="E23:J23" si="4">E15+E21</f>
        <v>52006.890416000002</v>
      </c>
      <c r="F23" s="45">
        <f t="shared" si="4"/>
        <v>51025.543284719999</v>
      </c>
      <c r="G23" s="45">
        <f t="shared" si="4"/>
        <v>54107.9687888064</v>
      </c>
      <c r="H23" s="45">
        <f t="shared" si="4"/>
        <v>43411.235069222217</v>
      </c>
      <c r="I23" s="45">
        <f t="shared" si="4"/>
        <v>53032.950140507455</v>
      </c>
      <c r="J23" s="45">
        <f t="shared" si="4"/>
        <v>253584.58769925608</v>
      </c>
    </row>
    <row r="24" spans="1:11" ht="13" x14ac:dyDescent="0.3">
      <c r="A24" s="13" t="s">
        <v>45</v>
      </c>
      <c r="B24" s="58"/>
      <c r="C24" s="58"/>
      <c r="D24" s="59"/>
      <c r="E24" s="60"/>
      <c r="F24" s="60"/>
      <c r="G24" s="60"/>
      <c r="H24" s="60"/>
      <c r="I24" s="60"/>
      <c r="J24" s="32"/>
    </row>
    <row r="25" spans="1:11" ht="13" x14ac:dyDescent="0.3">
      <c r="A25" s="33" t="s">
        <v>46</v>
      </c>
      <c r="B25" s="61" t="s">
        <v>47</v>
      </c>
      <c r="C25" s="61"/>
      <c r="D25" s="36" t="s">
        <v>48</v>
      </c>
      <c r="E25" s="62"/>
      <c r="F25" s="62"/>
      <c r="G25" s="62"/>
      <c r="H25" s="62"/>
      <c r="I25" s="62"/>
      <c r="J25" s="62"/>
    </row>
    <row r="26" spans="1:11" x14ac:dyDescent="0.25">
      <c r="A26" s="24" t="s">
        <v>49</v>
      </c>
      <c r="B26" s="29">
        <v>30000</v>
      </c>
      <c r="C26" s="23"/>
      <c r="D26" s="63">
        <v>1</v>
      </c>
      <c r="E26" s="64">
        <f>B26*D26</f>
        <v>30000</v>
      </c>
      <c r="F26" s="64">
        <v>0</v>
      </c>
      <c r="G26" s="64">
        <v>0</v>
      </c>
      <c r="H26" s="64">
        <v>0</v>
      </c>
      <c r="I26" s="64">
        <v>0</v>
      </c>
      <c r="J26" s="32">
        <f>SUM(E26:I26)</f>
        <v>30000</v>
      </c>
    </row>
    <row r="27" spans="1:11" x14ac:dyDescent="0.25">
      <c r="A27" s="24" t="s">
        <v>50</v>
      </c>
      <c r="B27" s="29">
        <v>30000</v>
      </c>
      <c r="C27" s="23"/>
      <c r="D27" s="63">
        <v>1</v>
      </c>
      <c r="E27" s="64">
        <f>B27*D27</f>
        <v>30000</v>
      </c>
      <c r="F27" s="64">
        <v>0</v>
      </c>
      <c r="G27" s="64">
        <v>0</v>
      </c>
      <c r="H27" s="64">
        <v>0</v>
      </c>
      <c r="I27" s="64">
        <v>0</v>
      </c>
      <c r="J27" s="32">
        <f>SUM(E27:I27)</f>
        <v>30000</v>
      </c>
    </row>
    <row r="28" spans="1:11" ht="13" x14ac:dyDescent="0.3">
      <c r="A28" s="65" t="s">
        <v>51</v>
      </c>
      <c r="B28" s="66"/>
      <c r="C28" s="66"/>
      <c r="D28" s="67"/>
      <c r="E28" s="68">
        <f t="shared" ref="E28:J28" si="5">SUM(E26:E27)</f>
        <v>60000</v>
      </c>
      <c r="F28" s="68">
        <f t="shared" si="5"/>
        <v>0</v>
      </c>
      <c r="G28" s="68">
        <f t="shared" si="5"/>
        <v>0</v>
      </c>
      <c r="H28" s="68">
        <f t="shared" si="5"/>
        <v>0</v>
      </c>
      <c r="I28" s="68">
        <f t="shared" si="5"/>
        <v>0</v>
      </c>
      <c r="J28" s="68">
        <f t="shared" si="5"/>
        <v>60000</v>
      </c>
    </row>
    <row r="29" spans="1:11" s="1" customFormat="1" x14ac:dyDescent="0.25"/>
    <row r="30" spans="1:11" ht="13" x14ac:dyDescent="0.3">
      <c r="A30" s="33" t="s">
        <v>52</v>
      </c>
      <c r="B30" s="61" t="s">
        <v>53</v>
      </c>
      <c r="C30" s="61" t="s">
        <v>54</v>
      </c>
      <c r="D30" s="36" t="s">
        <v>55</v>
      </c>
      <c r="E30" s="69"/>
      <c r="F30" s="69"/>
      <c r="G30" s="69"/>
      <c r="H30" s="69"/>
      <c r="I30" s="69"/>
      <c r="J30" s="62"/>
    </row>
    <row r="31" spans="1:11" x14ac:dyDescent="0.25">
      <c r="A31" s="24" t="s">
        <v>56</v>
      </c>
      <c r="B31" s="70">
        <v>0</v>
      </c>
      <c r="C31" s="71" t="s">
        <v>57</v>
      </c>
      <c r="D31" s="27">
        <v>0</v>
      </c>
      <c r="E31" s="64">
        <v>0</v>
      </c>
      <c r="F31" s="64">
        <f t="shared" ref="F31:H32" si="6">1.02*E31</f>
        <v>0</v>
      </c>
      <c r="G31" s="64">
        <f t="shared" si="6"/>
        <v>0</v>
      </c>
      <c r="H31" s="64">
        <f t="shared" si="6"/>
        <v>0</v>
      </c>
      <c r="I31" s="64">
        <f>B31*D31</f>
        <v>0</v>
      </c>
      <c r="J31" s="32">
        <f t="shared" ref="J31:J36" si="7">SUM(E31:I31)</f>
        <v>0</v>
      </c>
    </row>
    <row r="32" spans="1:11" x14ac:dyDescent="0.25">
      <c r="A32" s="24" t="s">
        <v>58</v>
      </c>
      <c r="B32" s="70">
        <v>0</v>
      </c>
      <c r="C32" s="71" t="s">
        <v>57</v>
      </c>
      <c r="D32" s="27">
        <v>0</v>
      </c>
      <c r="E32" s="64">
        <v>0</v>
      </c>
      <c r="F32" s="64">
        <f t="shared" si="6"/>
        <v>0</v>
      </c>
      <c r="G32" s="64">
        <f t="shared" si="6"/>
        <v>0</v>
      </c>
      <c r="H32" s="64">
        <f t="shared" si="6"/>
        <v>0</v>
      </c>
      <c r="I32" s="64">
        <f>B32*D32</f>
        <v>0</v>
      </c>
      <c r="J32" s="32">
        <f t="shared" si="7"/>
        <v>0</v>
      </c>
    </row>
    <row r="33" spans="1:12" x14ac:dyDescent="0.25">
      <c r="A33" s="24" t="s">
        <v>59</v>
      </c>
      <c r="B33" s="70">
        <f>250</f>
        <v>250</v>
      </c>
      <c r="C33" s="71" t="s">
        <v>60</v>
      </c>
      <c r="D33" s="120">
        <v>5</v>
      </c>
      <c r="E33" s="64">
        <v>0</v>
      </c>
      <c r="F33" s="64">
        <f>B33*C33*D33</f>
        <v>1250</v>
      </c>
      <c r="G33" s="64">
        <f t="shared" ref="G33:I34" si="8">1.02*F33</f>
        <v>1275</v>
      </c>
      <c r="H33" s="64">
        <f t="shared" si="8"/>
        <v>1300.5</v>
      </c>
      <c r="I33" s="64">
        <f t="shared" si="8"/>
        <v>1326.51</v>
      </c>
      <c r="J33" s="32">
        <f t="shared" si="7"/>
        <v>5152.01</v>
      </c>
    </row>
    <row r="34" spans="1:12" x14ac:dyDescent="0.25">
      <c r="A34" s="24" t="s">
        <v>61</v>
      </c>
      <c r="B34" s="70">
        <v>400</v>
      </c>
      <c r="C34" s="71" t="s">
        <v>60</v>
      </c>
      <c r="D34" s="27">
        <v>1</v>
      </c>
      <c r="E34" s="64">
        <v>0</v>
      </c>
      <c r="F34" s="64">
        <f>B34*C34*D34</f>
        <v>400</v>
      </c>
      <c r="G34" s="64">
        <f t="shared" si="8"/>
        <v>408</v>
      </c>
      <c r="H34" s="64">
        <f t="shared" si="8"/>
        <v>416.16</v>
      </c>
      <c r="I34" s="64">
        <f t="shared" si="8"/>
        <v>424.48320000000001</v>
      </c>
      <c r="J34" s="32">
        <f t="shared" si="7"/>
        <v>1648.6432</v>
      </c>
    </row>
    <row r="35" spans="1:12" x14ac:dyDescent="0.25">
      <c r="A35" s="24" t="s">
        <v>62</v>
      </c>
      <c r="B35" s="70">
        <v>50</v>
      </c>
      <c r="C35" s="71" t="s">
        <v>60</v>
      </c>
      <c r="D35" s="120">
        <v>5</v>
      </c>
      <c r="E35" s="64">
        <f>0</f>
        <v>0</v>
      </c>
      <c r="F35" s="64">
        <f>B35*C35*D35</f>
        <v>250</v>
      </c>
      <c r="G35" s="64">
        <f t="shared" ref="G35:I36" si="9">F35*1.02</f>
        <v>255</v>
      </c>
      <c r="H35" s="64">
        <f t="shared" si="9"/>
        <v>260.10000000000002</v>
      </c>
      <c r="I35" s="64">
        <f t="shared" si="9"/>
        <v>265.30200000000002</v>
      </c>
      <c r="J35" s="32">
        <f t="shared" si="7"/>
        <v>1030.402</v>
      </c>
    </row>
    <row r="36" spans="1:12" x14ac:dyDescent="0.25">
      <c r="A36" s="72" t="s">
        <v>63</v>
      </c>
      <c r="B36" s="73">
        <v>500</v>
      </c>
      <c r="C36" s="71" t="s">
        <v>60</v>
      </c>
      <c r="D36" s="74">
        <v>1</v>
      </c>
      <c r="E36" s="64">
        <f>0</f>
        <v>0</v>
      </c>
      <c r="F36" s="64">
        <f>B36*C36*D36</f>
        <v>500</v>
      </c>
      <c r="G36" s="64">
        <f t="shared" si="9"/>
        <v>510</v>
      </c>
      <c r="H36" s="64">
        <f t="shared" si="9"/>
        <v>520.20000000000005</v>
      </c>
      <c r="I36" s="64">
        <f t="shared" si="9"/>
        <v>530.60400000000004</v>
      </c>
      <c r="J36" s="32">
        <f t="shared" si="7"/>
        <v>2060.8040000000001</v>
      </c>
      <c r="L36" s="52"/>
    </row>
    <row r="37" spans="1:12" s="7" customFormat="1" ht="13" x14ac:dyDescent="0.3">
      <c r="A37" s="65" t="s">
        <v>64</v>
      </c>
      <c r="B37" s="66"/>
      <c r="C37" s="75"/>
      <c r="D37" s="76"/>
      <c r="E37" s="45">
        <f t="shared" ref="E37:J37" si="10">SUM(E31:E36)</f>
        <v>0</v>
      </c>
      <c r="F37" s="45">
        <f t="shared" si="10"/>
        <v>2400</v>
      </c>
      <c r="G37" s="45">
        <f t="shared" si="10"/>
        <v>2448</v>
      </c>
      <c r="H37" s="45">
        <f t="shared" si="10"/>
        <v>2496.96</v>
      </c>
      <c r="I37" s="45">
        <f t="shared" si="10"/>
        <v>2546.8991999999998</v>
      </c>
      <c r="J37" s="45">
        <f t="shared" si="10"/>
        <v>9891.8592000000008</v>
      </c>
    </row>
    <row r="38" spans="1:12" x14ac:dyDescent="0.25">
      <c r="A38" s="77"/>
      <c r="B38" s="73"/>
      <c r="C38" s="71"/>
      <c r="D38" s="78"/>
      <c r="E38" s="64"/>
      <c r="F38" s="64"/>
      <c r="G38" s="64"/>
      <c r="H38" s="64"/>
      <c r="I38" s="64"/>
      <c r="J38" s="64"/>
    </row>
    <row r="39" spans="1:12" ht="13" x14ac:dyDescent="0.3">
      <c r="A39" s="79" t="s">
        <v>65</v>
      </c>
      <c r="B39" s="80"/>
      <c r="C39" s="81"/>
      <c r="D39" s="82"/>
      <c r="E39" s="62"/>
      <c r="F39" s="62"/>
      <c r="G39" s="62"/>
      <c r="H39" s="62"/>
      <c r="I39" s="62"/>
      <c r="J39" s="62"/>
    </row>
    <row r="40" spans="1:12" x14ac:dyDescent="0.25">
      <c r="A40" s="72"/>
      <c r="B40" s="73"/>
      <c r="C40" s="71"/>
      <c r="D40" s="78"/>
      <c r="E40" s="64"/>
      <c r="F40" s="64"/>
      <c r="G40" s="64"/>
      <c r="H40" s="64"/>
      <c r="I40" s="64"/>
      <c r="J40" s="64"/>
    </row>
    <row r="41" spans="1:12" ht="13" x14ac:dyDescent="0.3">
      <c r="A41" s="33" t="s">
        <v>66</v>
      </c>
      <c r="B41" s="61" t="s">
        <v>30</v>
      </c>
      <c r="C41" s="61" t="s">
        <v>48</v>
      </c>
      <c r="D41" s="36" t="s">
        <v>67</v>
      </c>
      <c r="E41" s="62"/>
      <c r="F41" s="62"/>
      <c r="G41" s="62"/>
      <c r="H41" s="62"/>
      <c r="I41" s="62"/>
      <c r="J41" s="62"/>
    </row>
    <row r="42" spans="1:12" x14ac:dyDescent="0.25">
      <c r="A42" s="24" t="s">
        <v>68</v>
      </c>
      <c r="B42" s="23">
        <v>1200</v>
      </c>
      <c r="C42" s="70" t="s">
        <v>69</v>
      </c>
      <c r="D42" s="70" t="s">
        <v>69</v>
      </c>
      <c r="E42" s="64">
        <f>1*B42</f>
        <v>1200</v>
      </c>
      <c r="F42" s="64">
        <f>2*B42*1.02</f>
        <v>2448</v>
      </c>
      <c r="G42" s="64">
        <f>4*B42*1.04</f>
        <v>4992</v>
      </c>
      <c r="H42" s="64">
        <f>2*B42*1.06</f>
        <v>2544</v>
      </c>
      <c r="I42" s="64">
        <f>1*B42*1.08</f>
        <v>1296</v>
      </c>
      <c r="J42" s="117">
        <f t="shared" ref="J42:J50" si="11">SUM(E42:I42)</f>
        <v>12480</v>
      </c>
      <c r="K42" s="52"/>
    </row>
    <row r="43" spans="1:12" x14ac:dyDescent="0.25">
      <c r="A43" s="24" t="s">
        <v>70</v>
      </c>
      <c r="B43" s="23">
        <v>194</v>
      </c>
      <c r="C43" s="70">
        <v>50</v>
      </c>
      <c r="D43" s="27" t="s">
        <v>69</v>
      </c>
      <c r="E43" s="64">
        <f>5*B43</f>
        <v>970</v>
      </c>
      <c r="F43" s="64">
        <f>10*B43*1.02</f>
        <v>1978.8</v>
      </c>
      <c r="G43" s="64">
        <f>20*B43*1.04</f>
        <v>4035.2000000000003</v>
      </c>
      <c r="H43" s="64">
        <f>15*B43*1.06</f>
        <v>3084.6000000000004</v>
      </c>
      <c r="I43" s="64">
        <v>0</v>
      </c>
      <c r="J43" s="117">
        <f t="shared" si="11"/>
        <v>10068.6</v>
      </c>
      <c r="K43" s="52"/>
    </row>
    <row r="44" spans="1:12" x14ac:dyDescent="0.25">
      <c r="A44" s="24" t="s">
        <v>71</v>
      </c>
      <c r="B44" s="23">
        <v>500</v>
      </c>
      <c r="C44" s="70" t="s">
        <v>69</v>
      </c>
      <c r="D44" s="70">
        <v>1</v>
      </c>
      <c r="E44" s="64">
        <f>B44</f>
        <v>500</v>
      </c>
      <c r="F44" s="64">
        <f>B44*1.02</f>
        <v>510</v>
      </c>
      <c r="G44" s="64">
        <f>B44*1.04</f>
        <v>520</v>
      </c>
      <c r="H44" s="64">
        <f>B44*1.06</f>
        <v>530</v>
      </c>
      <c r="I44" s="64">
        <f>B44*1.08</f>
        <v>540</v>
      </c>
      <c r="J44" s="117">
        <f t="shared" si="11"/>
        <v>2600</v>
      </c>
      <c r="K44" s="52"/>
    </row>
    <row r="45" spans="1:12" x14ac:dyDescent="0.25">
      <c r="A45" s="24" t="s">
        <v>72</v>
      </c>
      <c r="B45" s="29">
        <v>1740</v>
      </c>
      <c r="C45" s="23"/>
      <c r="D45" s="63">
        <v>8</v>
      </c>
      <c r="E45" s="64">
        <f>0</f>
        <v>0</v>
      </c>
      <c r="F45" s="64">
        <f>B45*D45</f>
        <v>13920</v>
      </c>
      <c r="G45" s="64">
        <v>0</v>
      </c>
      <c r="H45" s="64">
        <v>0</v>
      </c>
      <c r="I45" s="64">
        <v>0</v>
      </c>
      <c r="J45" s="28">
        <f t="shared" si="11"/>
        <v>13920</v>
      </c>
    </row>
    <row r="46" spans="1:12" x14ac:dyDescent="0.25">
      <c r="A46" s="24" t="s">
        <v>73</v>
      </c>
      <c r="B46" s="23">
        <v>500</v>
      </c>
      <c r="C46" s="70">
        <v>4</v>
      </c>
      <c r="D46" s="70"/>
      <c r="E46" s="64">
        <v>0</v>
      </c>
      <c r="F46" s="64">
        <v>0</v>
      </c>
      <c r="G46" s="64">
        <v>2000</v>
      </c>
      <c r="H46" s="64">
        <v>0</v>
      </c>
      <c r="I46" s="64">
        <v>0</v>
      </c>
      <c r="J46" s="118">
        <f t="shared" si="11"/>
        <v>2000</v>
      </c>
      <c r="K46" s="52"/>
    </row>
    <row r="47" spans="1:12" x14ac:dyDescent="0.25">
      <c r="A47" s="24" t="s">
        <v>74</v>
      </c>
      <c r="B47" s="23">
        <v>1000</v>
      </c>
      <c r="C47" s="70"/>
      <c r="D47" s="70"/>
      <c r="E47" s="64">
        <v>0</v>
      </c>
      <c r="F47" s="64">
        <v>0</v>
      </c>
      <c r="G47" s="83">
        <v>1000</v>
      </c>
      <c r="H47" s="83">
        <v>1000</v>
      </c>
      <c r="I47" s="83">
        <v>1000</v>
      </c>
      <c r="J47" s="28">
        <f t="shared" si="11"/>
        <v>3000</v>
      </c>
      <c r="K47" s="52">
        <f>SUM(J42:J47)</f>
        <v>44068.6</v>
      </c>
    </row>
    <row r="48" spans="1:12" x14ac:dyDescent="0.25">
      <c r="A48" s="24" t="s">
        <v>75</v>
      </c>
      <c r="B48" s="23">
        <v>2500</v>
      </c>
      <c r="C48" s="70">
        <v>2</v>
      </c>
      <c r="D48" s="70" t="s">
        <v>69</v>
      </c>
      <c r="E48" s="64">
        <v>0</v>
      </c>
      <c r="F48" s="64">
        <f>B48</f>
        <v>2500</v>
      </c>
      <c r="G48" s="64">
        <f>B48</f>
        <v>2500</v>
      </c>
      <c r="H48" s="83">
        <v>1000</v>
      </c>
      <c r="I48" s="64">
        <f>0</f>
        <v>0</v>
      </c>
      <c r="J48" s="117">
        <f t="shared" si="11"/>
        <v>6000</v>
      </c>
      <c r="K48" s="52"/>
    </row>
    <row r="49" spans="1:11" x14ac:dyDescent="0.25">
      <c r="A49" s="24" t="s">
        <v>76</v>
      </c>
      <c r="B49" s="23">
        <v>500</v>
      </c>
      <c r="C49" s="70">
        <v>1</v>
      </c>
      <c r="D49" s="70">
        <v>1</v>
      </c>
      <c r="E49" s="64">
        <v>500</v>
      </c>
      <c r="F49" s="64">
        <v>500</v>
      </c>
      <c r="G49" s="64">
        <v>500</v>
      </c>
      <c r="H49" s="64">
        <v>500</v>
      </c>
      <c r="I49" s="64">
        <v>500</v>
      </c>
      <c r="J49" s="117">
        <f t="shared" si="11"/>
        <v>2500</v>
      </c>
      <c r="K49" s="52"/>
    </row>
    <row r="50" spans="1:11" x14ac:dyDescent="0.25">
      <c r="A50" s="24" t="s">
        <v>77</v>
      </c>
      <c r="B50" s="23">
        <f>500+(2*250)+(3*74)+100</f>
        <v>1322</v>
      </c>
      <c r="C50" s="70">
        <v>1</v>
      </c>
      <c r="D50" s="70">
        <v>1</v>
      </c>
      <c r="E50" s="64">
        <f>B50*C50*D50</f>
        <v>1322</v>
      </c>
      <c r="F50" s="64">
        <f>E50*1.02</f>
        <v>1348.44</v>
      </c>
      <c r="G50" s="64">
        <f>F50*1.02</f>
        <v>1375.4088000000002</v>
      </c>
      <c r="H50" s="64">
        <f>G50*1.02</f>
        <v>1402.9169760000002</v>
      </c>
      <c r="I50" s="64">
        <f>H50*1.02</f>
        <v>1430.9753155200003</v>
      </c>
      <c r="J50" s="117">
        <f t="shared" si="11"/>
        <v>6879.7410915200007</v>
      </c>
      <c r="K50" s="52">
        <f>J49+J50</f>
        <v>9379.7410915200016</v>
      </c>
    </row>
    <row r="51" spans="1:11" ht="13" x14ac:dyDescent="0.3">
      <c r="A51" s="42" t="s">
        <v>78</v>
      </c>
      <c r="B51" s="43"/>
      <c r="C51" s="43"/>
      <c r="D51" s="44"/>
      <c r="E51" s="45">
        <f t="shared" ref="E51:J51" si="12">SUM(E42:E50)</f>
        <v>4492</v>
      </c>
      <c r="F51" s="45">
        <f t="shared" si="12"/>
        <v>23205.239999999998</v>
      </c>
      <c r="G51" s="45">
        <f t="shared" si="12"/>
        <v>16922.608800000002</v>
      </c>
      <c r="H51" s="45">
        <f t="shared" si="12"/>
        <v>10061.516976000001</v>
      </c>
      <c r="I51" s="45">
        <f t="shared" si="12"/>
        <v>4766.9753155200005</v>
      </c>
      <c r="J51" s="119">
        <f t="shared" si="12"/>
        <v>59448.34109152</v>
      </c>
    </row>
    <row r="52" spans="1:11" ht="13" x14ac:dyDescent="0.3">
      <c r="A52" s="84"/>
      <c r="B52" s="85"/>
      <c r="C52" s="85"/>
      <c r="D52" s="86"/>
      <c r="E52" s="64"/>
      <c r="F52" s="64"/>
      <c r="G52" s="64"/>
      <c r="H52" s="64"/>
      <c r="I52" s="64"/>
      <c r="J52" s="64"/>
    </row>
    <row r="53" spans="1:11" ht="13" x14ac:dyDescent="0.3">
      <c r="A53" s="87" t="s">
        <v>79</v>
      </c>
      <c r="B53" s="88"/>
      <c r="C53" s="88"/>
      <c r="D53" s="89"/>
      <c r="E53" s="45">
        <f t="shared" ref="E53:J53" si="13">E28+E37+E51</f>
        <v>64492</v>
      </c>
      <c r="F53" s="45">
        <f t="shared" si="13"/>
        <v>25605.239999999998</v>
      </c>
      <c r="G53" s="45">
        <f t="shared" si="13"/>
        <v>19370.608800000002</v>
      </c>
      <c r="H53" s="45">
        <f t="shared" si="13"/>
        <v>12558.476976000002</v>
      </c>
      <c r="I53" s="45">
        <f t="shared" si="13"/>
        <v>7313.8745155200004</v>
      </c>
      <c r="J53" s="45">
        <f t="shared" si="13"/>
        <v>129340.20029152001</v>
      </c>
      <c r="K53" s="90"/>
    </row>
    <row r="54" spans="1:11" ht="13" x14ac:dyDescent="0.3">
      <c r="A54" s="91"/>
      <c r="B54" s="92"/>
      <c r="C54" s="92"/>
      <c r="D54" s="93"/>
      <c r="E54" s="94"/>
      <c r="F54" s="94"/>
      <c r="G54" s="94"/>
      <c r="H54" s="94"/>
      <c r="I54" s="94"/>
      <c r="J54" s="56"/>
      <c r="K54" s="90"/>
    </row>
    <row r="55" spans="1:11" ht="13" x14ac:dyDescent="0.3">
      <c r="A55" s="87" t="s">
        <v>80</v>
      </c>
      <c r="B55" s="88"/>
      <c r="C55" s="88"/>
      <c r="D55" s="89"/>
      <c r="E55" s="45">
        <f>E23+E53</f>
        <v>116498.89041600001</v>
      </c>
      <c r="F55" s="45">
        <f>F23+F53</f>
        <v>76630.783284720004</v>
      </c>
      <c r="G55" s="45">
        <f>G23+G53</f>
        <v>73478.577588806394</v>
      </c>
      <c r="H55" s="45">
        <f>H23+H53</f>
        <v>55969.712045222215</v>
      </c>
      <c r="I55" s="45">
        <f>I23+I53</f>
        <v>60346.824656027457</v>
      </c>
      <c r="J55" s="53">
        <f>SUM(E55:I55)</f>
        <v>382924.78799077612</v>
      </c>
      <c r="K55" s="90"/>
    </row>
    <row r="56" spans="1:11" ht="13.5" customHeight="1" x14ac:dyDescent="0.3">
      <c r="A56" s="91"/>
      <c r="B56" s="95" t="s">
        <v>30</v>
      </c>
      <c r="C56" s="95" t="s">
        <v>81</v>
      </c>
      <c r="D56" s="93"/>
      <c r="E56" s="94"/>
      <c r="F56" s="94"/>
      <c r="G56" s="94"/>
      <c r="H56" s="94"/>
      <c r="I56" s="94"/>
      <c r="J56" s="56"/>
      <c r="K56" s="90"/>
    </row>
    <row r="57" spans="1:11" ht="13" x14ac:dyDescent="0.3">
      <c r="A57" s="87" t="s">
        <v>82</v>
      </c>
      <c r="B57" s="96">
        <v>0.55700000000000005</v>
      </c>
      <c r="C57" s="97" t="s">
        <v>83</v>
      </c>
      <c r="D57" s="89"/>
      <c r="E57" s="45">
        <f>E15*0.557</f>
        <v>27421.466480000003</v>
      </c>
      <c r="F57" s="45">
        <f>F15*0.557</f>
        <v>27089.278809600004</v>
      </c>
      <c r="G57" s="45">
        <f>G15*0.557</f>
        <v>28529.293725792002</v>
      </c>
      <c r="H57" s="45">
        <f>H15*0.557</f>
        <v>22686.522112707844</v>
      </c>
      <c r="I57" s="45">
        <f>I15*0.557</f>
        <v>27999.745142709198</v>
      </c>
      <c r="J57" s="53">
        <f>SUM(E57:I57)</f>
        <v>133726.30627080903</v>
      </c>
    </row>
    <row r="58" spans="1:11" ht="13" x14ac:dyDescent="0.3">
      <c r="A58" s="91"/>
      <c r="B58" s="98"/>
      <c r="C58" s="92"/>
      <c r="D58" s="93"/>
      <c r="E58" s="94"/>
      <c r="F58" s="94"/>
      <c r="G58" s="94"/>
      <c r="H58" s="94"/>
      <c r="I58" s="94"/>
      <c r="J58" s="56"/>
    </row>
    <row r="59" spans="1:11" ht="13" x14ac:dyDescent="0.3">
      <c r="A59" s="99" t="s">
        <v>84</v>
      </c>
      <c r="B59" s="100"/>
      <c r="C59" s="100"/>
      <c r="D59" s="101"/>
      <c r="E59" s="102">
        <f t="shared" ref="E59:J59" si="14">E55+E57</f>
        <v>143920.35689600001</v>
      </c>
      <c r="F59" s="102">
        <f t="shared" si="14"/>
        <v>103720.06209432</v>
      </c>
      <c r="G59" s="102">
        <f t="shared" si="14"/>
        <v>102007.87131459839</v>
      </c>
      <c r="H59" s="102">
        <f t="shared" si="14"/>
        <v>78656.234157930056</v>
      </c>
      <c r="I59" s="102">
        <f t="shared" si="14"/>
        <v>88346.569798736658</v>
      </c>
      <c r="J59" s="102">
        <f t="shared" si="14"/>
        <v>516651.09426158515</v>
      </c>
      <c r="K59" s="90"/>
    </row>
    <row r="60" spans="1:11" ht="12.75" customHeight="1" x14ac:dyDescent="0.3">
      <c r="A60" s="103"/>
      <c r="D60" s="104"/>
      <c r="E60" s="52"/>
      <c r="F60" s="52"/>
      <c r="G60" s="52"/>
      <c r="H60" s="52"/>
      <c r="I60" s="52"/>
      <c r="J60" s="52"/>
    </row>
    <row r="61" spans="1:11" ht="12.75" customHeight="1" x14ac:dyDescent="0.3">
      <c r="A61" s="105"/>
      <c r="D61" s="104"/>
      <c r="E61" s="52"/>
      <c r="F61" s="52"/>
      <c r="G61" s="52"/>
      <c r="H61" s="52"/>
      <c r="I61" s="52"/>
      <c r="J61" s="52"/>
    </row>
  </sheetData>
  <mergeCells count="3">
    <mergeCell ref="A4:A5"/>
    <mergeCell ref="B4:D5"/>
    <mergeCell ref="A1:H1"/>
  </mergeCells>
  <printOptions horizontalCentered="1" verticalCentered="1"/>
  <pageMargins left="0.5" right="0.5" top="0.5" bottom="0.5" header="0.511811023622047" footer="0.511811023622047"/>
  <pageSetup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0"/>
  <sheetViews>
    <sheetView showOutlineSymbols="0" topLeftCell="A37" zoomScaleNormal="100" workbookViewId="0">
      <selection activeCell="F17" sqref="F17"/>
    </sheetView>
  </sheetViews>
  <sheetFormatPr defaultColWidth="8.81640625" defaultRowHeight="12.5" x14ac:dyDescent="0.25"/>
  <cols>
    <col min="1" max="1" width="36.54296875" style="1" customWidth="1"/>
    <col min="2" max="2" width="10.54296875" style="1" customWidth="1"/>
    <col min="3" max="3" width="11.6328125" style="1" customWidth="1"/>
    <col min="4" max="4" width="12.6328125" style="2" customWidth="1"/>
    <col min="5" max="5" width="18.81640625" style="1" customWidth="1"/>
    <col min="6" max="9" width="19.453125" style="1" customWidth="1"/>
    <col min="10" max="10" width="18.81640625" style="1" customWidth="1"/>
    <col min="11" max="11" width="15.453125" style="1" customWidth="1"/>
    <col min="12" max="12" width="11.453125" style="1" customWidth="1"/>
    <col min="13" max="15" width="9.81640625" style="1" customWidth="1"/>
    <col min="16" max="16" width="10.81640625" style="1" customWidth="1"/>
    <col min="17" max="50" width="9.1796875" style="1" customWidth="1"/>
    <col min="51" max="1024" width="8.81640625" style="1"/>
  </cols>
  <sheetData>
    <row r="1" spans="1:16" s="3" customFormat="1" ht="12.75" customHeight="1" x14ac:dyDescent="0.25">
      <c r="A1" s="125" t="s">
        <v>0</v>
      </c>
      <c r="B1" s="125"/>
      <c r="C1" s="125"/>
      <c r="D1" s="125"/>
      <c r="E1" s="125"/>
      <c r="F1" s="125"/>
      <c r="G1" s="125"/>
      <c r="H1" s="3" t="s">
        <v>1</v>
      </c>
      <c r="I1" s="4" t="s">
        <v>2</v>
      </c>
    </row>
    <row r="2" spans="1:16" ht="13" x14ac:dyDescent="0.3">
      <c r="A2" s="5" t="s">
        <v>3</v>
      </c>
      <c r="B2" s="5" t="s">
        <v>4</v>
      </c>
      <c r="C2" s="1" t="s">
        <v>5</v>
      </c>
      <c r="D2" s="6"/>
      <c r="H2" s="7" t="s">
        <v>6</v>
      </c>
      <c r="I2" s="1" t="s">
        <v>7</v>
      </c>
    </row>
    <row r="3" spans="1:16" ht="13" x14ac:dyDescent="0.3">
      <c r="B3" s="5"/>
      <c r="C3" s="8"/>
      <c r="D3" s="6"/>
      <c r="E3" s="9"/>
      <c r="F3" s="9"/>
      <c r="G3" s="9"/>
      <c r="H3" s="9"/>
      <c r="I3" s="9"/>
    </row>
    <row r="4" spans="1:16" ht="13" x14ac:dyDescent="0.3">
      <c r="A4" s="126" t="s">
        <v>8</v>
      </c>
      <c r="B4" s="127" t="s">
        <v>9</v>
      </c>
      <c r="C4" s="127"/>
      <c r="D4" s="127"/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1" t="s">
        <v>15</v>
      </c>
    </row>
    <row r="5" spans="1:16" ht="13" x14ac:dyDescent="0.3">
      <c r="A5" s="126"/>
      <c r="B5" s="127"/>
      <c r="C5" s="127"/>
      <c r="D5" s="127"/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</row>
    <row r="6" spans="1:16" ht="13" x14ac:dyDescent="0.3">
      <c r="A6" s="13" t="s">
        <v>22</v>
      </c>
      <c r="B6" s="14"/>
      <c r="C6" s="15"/>
      <c r="D6" s="16"/>
      <c r="E6" s="17"/>
      <c r="F6" s="17"/>
      <c r="G6" s="17"/>
      <c r="H6" s="17"/>
      <c r="I6" s="17"/>
      <c r="J6" s="17"/>
    </row>
    <row r="7" spans="1:16" s="23" customFormat="1" ht="13" x14ac:dyDescent="0.3">
      <c r="A7" s="18" t="s">
        <v>23</v>
      </c>
      <c r="B7" s="19" t="s">
        <v>24</v>
      </c>
      <c r="C7" s="19" t="s">
        <v>25</v>
      </c>
      <c r="D7" s="20" t="s">
        <v>26</v>
      </c>
      <c r="E7" s="21"/>
      <c r="F7" s="21"/>
      <c r="G7" s="21"/>
      <c r="H7" s="21"/>
      <c r="I7" s="21"/>
      <c r="J7" s="22"/>
    </row>
    <row r="8" spans="1:16" s="23" customFormat="1" x14ac:dyDescent="0.25">
      <c r="A8" s="24" t="s">
        <v>27</v>
      </c>
      <c r="B8" s="25"/>
      <c r="C8" s="26"/>
      <c r="D8" s="27"/>
      <c r="E8" s="28"/>
      <c r="F8" s="28"/>
      <c r="G8" s="28"/>
      <c r="H8" s="28"/>
      <c r="I8" s="28"/>
      <c r="J8" s="28"/>
      <c r="K8" s="29"/>
      <c r="L8" s="29"/>
      <c r="M8" s="29"/>
      <c r="N8" s="29"/>
      <c r="O8" s="29"/>
      <c r="P8" s="29"/>
    </row>
    <row r="9" spans="1:16" s="23" customFormat="1" x14ac:dyDescent="0.25">
      <c r="A9" s="24" t="s">
        <v>28</v>
      </c>
      <c r="B9" s="25">
        <f>(74460+2700)*1.02</f>
        <v>78703.199999999997</v>
      </c>
      <c r="C9" s="30">
        <v>2</v>
      </c>
      <c r="D9" s="31">
        <v>1.02</v>
      </c>
      <c r="E9" s="32">
        <f>B9/10*C9</f>
        <v>15740.64</v>
      </c>
      <c r="F9" s="32">
        <f>E9*1.02</f>
        <v>16055.452799999999</v>
      </c>
      <c r="G9" s="32">
        <f>F9*1.02</f>
        <v>16376.561856</v>
      </c>
      <c r="H9" s="32">
        <f>G9*1.02</f>
        <v>16704.093093120002</v>
      </c>
      <c r="I9" s="32">
        <f>H9*1.02</f>
        <v>17038.174954982402</v>
      </c>
      <c r="J9" s="32">
        <f>SUM(E9:I9)</f>
        <v>81914.922704102399</v>
      </c>
      <c r="K9" s="29"/>
      <c r="L9" s="29"/>
      <c r="M9" s="29"/>
      <c r="N9" s="29"/>
      <c r="O9" s="29"/>
      <c r="P9" s="29"/>
    </row>
    <row r="10" spans="1:16" s="23" customFormat="1" ht="13" x14ac:dyDescent="0.3">
      <c r="A10" s="33" t="s">
        <v>29</v>
      </c>
      <c r="B10" s="34" t="s">
        <v>30</v>
      </c>
      <c r="C10" s="35" t="s">
        <v>31</v>
      </c>
      <c r="D10" s="36" t="s">
        <v>32</v>
      </c>
      <c r="E10" s="37"/>
      <c r="F10" s="37"/>
      <c r="G10" s="37"/>
      <c r="H10" s="37"/>
      <c r="I10" s="37"/>
      <c r="J10" s="37"/>
    </row>
    <row r="11" spans="1:16" s="23" customFormat="1" x14ac:dyDescent="0.25">
      <c r="A11" s="24" t="s">
        <v>33</v>
      </c>
      <c r="B11" s="38">
        <v>15.5</v>
      </c>
      <c r="C11" s="39">
        <f>10*13*2</f>
        <v>260</v>
      </c>
      <c r="D11" s="27">
        <v>4</v>
      </c>
      <c r="E11" s="40">
        <f>B11*C11*D11</f>
        <v>16120</v>
      </c>
      <c r="F11" s="40">
        <f>E11*1.02*5/4</f>
        <v>20553</v>
      </c>
      <c r="G11" s="40">
        <f>F11*1.02*4/5</f>
        <v>16771.248</v>
      </c>
      <c r="H11" s="40">
        <f>G11*1.02</f>
        <v>17106.67296</v>
      </c>
      <c r="I11" s="40">
        <f>H11*1.02</f>
        <v>17448.806419200002</v>
      </c>
      <c r="J11" s="32">
        <f>SUM(E11:I11)</f>
        <v>87999.727379200005</v>
      </c>
    </row>
    <row r="12" spans="1:16" s="23" customFormat="1" x14ac:dyDescent="0.25">
      <c r="A12" s="24" t="s">
        <v>34</v>
      </c>
      <c r="B12" s="38">
        <v>15.5</v>
      </c>
      <c r="C12" s="39">
        <f>18*10</f>
        <v>180</v>
      </c>
      <c r="D12" s="27">
        <v>3</v>
      </c>
      <c r="E12" s="40">
        <f>B12*C12*D12</f>
        <v>8370</v>
      </c>
      <c r="F12" s="40">
        <f>E12*1.02*0.33</f>
        <v>2817.3420000000001</v>
      </c>
      <c r="G12" s="40">
        <f>F12*1.02*3</f>
        <v>8621.0665200000003</v>
      </c>
      <c r="H12" s="40">
        <f>G12*1.02*0.33</f>
        <v>2901.8509906320005</v>
      </c>
      <c r="I12" s="40">
        <f>H12*1.02</f>
        <v>2959.8880104446407</v>
      </c>
      <c r="J12" s="32">
        <f>SUM(E12:I12)</f>
        <v>25670.14752107664</v>
      </c>
    </row>
    <row r="13" spans="1:16" s="23" customFormat="1" x14ac:dyDescent="0.25">
      <c r="A13" s="24" t="s">
        <v>35</v>
      </c>
      <c r="B13" s="41">
        <v>25</v>
      </c>
      <c r="C13" s="39">
        <f>19*10</f>
        <v>190</v>
      </c>
      <c r="D13" s="27">
        <v>1</v>
      </c>
      <c r="E13" s="32">
        <f>B13*C13*D13</f>
        <v>4750</v>
      </c>
      <c r="F13" s="32">
        <f t="shared" ref="F13:H14" si="0">E13*1.02</f>
        <v>4845</v>
      </c>
      <c r="G13" s="32">
        <f t="shared" si="0"/>
        <v>4941.8999999999996</v>
      </c>
      <c r="H13" s="32">
        <f t="shared" si="0"/>
        <v>5040.7379999999994</v>
      </c>
      <c r="I13" s="32">
        <f>H13*1.02</f>
        <v>5141.5527599999996</v>
      </c>
      <c r="J13" s="32">
        <f>SUM(E13:I13)</f>
        <v>24719.190759999998</v>
      </c>
    </row>
    <row r="14" spans="1:16" s="23" customFormat="1" x14ac:dyDescent="0.25">
      <c r="A14" s="24"/>
      <c r="B14" s="41"/>
      <c r="C14" s="39"/>
      <c r="D14" s="27"/>
      <c r="E14" s="32">
        <f>B14*C14*D14</f>
        <v>0</v>
      </c>
      <c r="F14" s="32">
        <f t="shared" si="0"/>
        <v>0</v>
      </c>
      <c r="G14" s="32">
        <f t="shared" si="0"/>
        <v>0</v>
      </c>
      <c r="H14" s="32">
        <f t="shared" si="0"/>
        <v>0</v>
      </c>
      <c r="I14" s="32">
        <f>H14*1.02</f>
        <v>0</v>
      </c>
      <c r="J14" s="32">
        <f>SUM(E14:I14)</f>
        <v>0</v>
      </c>
    </row>
    <row r="15" spans="1:16" ht="13" x14ac:dyDescent="0.3">
      <c r="A15" s="42" t="s">
        <v>36</v>
      </c>
      <c r="B15" s="43"/>
      <c r="C15" s="43"/>
      <c r="D15" s="44"/>
      <c r="E15" s="45">
        <f t="shared" ref="E15:J15" si="1">SUM(E8:E14)</f>
        <v>44980.639999999999</v>
      </c>
      <c r="F15" s="45">
        <f t="shared" si="1"/>
        <v>44270.794799999996</v>
      </c>
      <c r="G15" s="45">
        <f t="shared" si="1"/>
        <v>46710.776376000002</v>
      </c>
      <c r="H15" s="45">
        <f t="shared" si="1"/>
        <v>41753.355043752003</v>
      </c>
      <c r="I15" s="45">
        <f t="shared" si="1"/>
        <v>42588.422144627046</v>
      </c>
      <c r="J15" s="45">
        <f t="shared" si="1"/>
        <v>220303.98836437904</v>
      </c>
      <c r="K15" s="46"/>
      <c r="L15" s="46"/>
      <c r="M15" s="46"/>
      <c r="N15" s="46"/>
      <c r="O15" s="46"/>
      <c r="P15" s="46"/>
    </row>
    <row r="16" spans="1:16" s="4" customFormat="1" ht="12.75" customHeight="1" x14ac:dyDescent="0.25">
      <c r="A16" s="47" t="s">
        <v>37</v>
      </c>
      <c r="B16" s="48" t="s">
        <v>38</v>
      </c>
      <c r="C16" s="48" t="s">
        <v>39</v>
      </c>
      <c r="D16" s="48" t="s">
        <v>40</v>
      </c>
      <c r="E16" s="49"/>
      <c r="F16" s="49"/>
      <c r="G16" s="49"/>
      <c r="H16" s="49"/>
      <c r="I16" s="49"/>
      <c r="J16" s="49"/>
    </row>
    <row r="17" spans="1:11" x14ac:dyDescent="0.25">
      <c r="A17" s="24" t="str">
        <f>A8</f>
        <v>PI AY Release</v>
      </c>
      <c r="B17" s="26">
        <v>0.32</v>
      </c>
      <c r="C17" s="50"/>
      <c r="D17" s="50"/>
      <c r="E17" s="32"/>
      <c r="F17" s="32"/>
      <c r="G17" s="32"/>
      <c r="H17" s="32"/>
      <c r="I17" s="32"/>
      <c r="J17" s="32"/>
    </row>
    <row r="18" spans="1:11" x14ac:dyDescent="0.25">
      <c r="A18" s="24" t="str">
        <f>A9</f>
        <v>PI Summer Salary</v>
      </c>
      <c r="B18" s="51"/>
      <c r="C18" s="50"/>
      <c r="D18" s="50">
        <v>8.4900000000000003E-2</v>
      </c>
      <c r="E18" s="32">
        <f>$D$18*E9</f>
        <v>1336.3803359999999</v>
      </c>
      <c r="F18" s="32">
        <f>$D$18*F9</f>
        <v>1363.10794272</v>
      </c>
      <c r="G18" s="32">
        <f>$D$18*G9</f>
        <v>1390.3701015744</v>
      </c>
      <c r="H18" s="32">
        <f>$D$18*H9</f>
        <v>1418.1775036058882</v>
      </c>
      <c r="I18" s="32">
        <f>$D$18*I9</f>
        <v>1446.5410536780059</v>
      </c>
      <c r="J18" s="32">
        <f>SUM(E18:I18)</f>
        <v>6954.5769375782947</v>
      </c>
      <c r="K18" s="52"/>
    </row>
    <row r="19" spans="1:11" x14ac:dyDescent="0.25">
      <c r="A19" s="24" t="s">
        <v>41</v>
      </c>
      <c r="B19" s="50">
        <v>3.3340000000000002E-3</v>
      </c>
      <c r="C19" s="50"/>
      <c r="E19" s="32">
        <f>$B$19*E11</f>
        <v>53.744080000000004</v>
      </c>
      <c r="F19" s="32">
        <f>$B$19*F11</f>
        <v>68.523702</v>
      </c>
      <c r="G19" s="32">
        <f>$B$19*G11</f>
        <v>55.915340831999998</v>
      </c>
      <c r="H19" s="32">
        <f>$B$19*H11</f>
        <v>57.033647648639999</v>
      </c>
      <c r="I19" s="32">
        <f>$B$19*I11</f>
        <v>58.174320601612813</v>
      </c>
      <c r="J19" s="32">
        <f>SUM(E19:I19)</f>
        <v>293.39109108225284</v>
      </c>
    </row>
    <row r="20" spans="1:11" x14ac:dyDescent="0.25">
      <c r="A20" s="24" t="s">
        <v>42</v>
      </c>
      <c r="B20" s="51"/>
      <c r="C20" s="50"/>
      <c r="D20" s="50">
        <v>7.9799999999999996E-2</v>
      </c>
      <c r="E20" s="32">
        <f>E12*$D$20</f>
        <v>667.92599999999993</v>
      </c>
      <c r="F20" s="32">
        <f>F12*$D$20</f>
        <v>224.8238916</v>
      </c>
      <c r="G20" s="32">
        <f>G12*$D$20</f>
        <v>687.96110829600002</v>
      </c>
      <c r="H20" s="32">
        <f>H12*$D$20</f>
        <v>231.56770905243363</v>
      </c>
      <c r="I20" s="32">
        <f>I12*$D$20</f>
        <v>236.19906323348232</v>
      </c>
      <c r="J20" s="32">
        <f>SUM(E20:I20)</f>
        <v>2048.477772181916</v>
      </c>
      <c r="K20" s="52"/>
    </row>
    <row r="21" spans="1:11" ht="13" x14ac:dyDescent="0.3">
      <c r="A21" s="42" t="s">
        <v>43</v>
      </c>
      <c r="B21" s="43"/>
      <c r="C21" s="43"/>
      <c r="D21" s="44"/>
      <c r="E21" s="53">
        <f t="shared" ref="E21:J21" si="2">SUM(E17:E20)</f>
        <v>2058.050416</v>
      </c>
      <c r="F21" s="53">
        <f t="shared" si="2"/>
        <v>1656.45553632</v>
      </c>
      <c r="G21" s="53">
        <f t="shared" si="2"/>
        <v>2134.2465507023999</v>
      </c>
      <c r="H21" s="53">
        <f t="shared" si="2"/>
        <v>1706.7788603069619</v>
      </c>
      <c r="I21" s="53">
        <f t="shared" si="2"/>
        <v>1740.9144375131011</v>
      </c>
      <c r="J21" s="53">
        <f t="shared" si="2"/>
        <v>9296.4458008424626</v>
      </c>
    </row>
    <row r="22" spans="1:11" ht="13" x14ac:dyDescent="0.3">
      <c r="A22" s="54"/>
      <c r="B22" s="7"/>
      <c r="C22" s="7"/>
      <c r="D22" s="55"/>
      <c r="E22" s="56"/>
      <c r="F22" s="56"/>
      <c r="G22" s="56"/>
      <c r="H22" s="56"/>
      <c r="I22" s="56"/>
      <c r="J22" s="56"/>
    </row>
    <row r="23" spans="1:11" ht="13" x14ac:dyDescent="0.3">
      <c r="A23" s="57" t="s">
        <v>44</v>
      </c>
      <c r="B23" s="43"/>
      <c r="C23" s="43"/>
      <c r="D23" s="44"/>
      <c r="E23" s="45">
        <f t="shared" ref="E23:J23" si="3">E15+E21</f>
        <v>47038.690415999998</v>
      </c>
      <c r="F23" s="45">
        <f t="shared" si="3"/>
        <v>45927.250336319994</v>
      </c>
      <c r="G23" s="45">
        <f t="shared" si="3"/>
        <v>48845.022926702404</v>
      </c>
      <c r="H23" s="45">
        <f t="shared" si="3"/>
        <v>43460.133904058966</v>
      </c>
      <c r="I23" s="45">
        <f t="shared" si="3"/>
        <v>44329.336582140146</v>
      </c>
      <c r="J23" s="45">
        <f t="shared" si="3"/>
        <v>229600.43416522149</v>
      </c>
    </row>
    <row r="24" spans="1:11" ht="13" x14ac:dyDescent="0.3">
      <c r="A24" s="13" t="s">
        <v>45</v>
      </c>
      <c r="B24" s="58"/>
      <c r="C24" s="58"/>
      <c r="D24" s="59"/>
      <c r="E24" s="60"/>
      <c r="F24" s="60"/>
      <c r="G24" s="60"/>
      <c r="H24" s="60"/>
      <c r="I24" s="60"/>
      <c r="J24" s="32"/>
    </row>
    <row r="25" spans="1:11" ht="13" x14ac:dyDescent="0.3">
      <c r="A25" s="33" t="s">
        <v>46</v>
      </c>
      <c r="B25" s="61" t="s">
        <v>47</v>
      </c>
      <c r="C25" s="61"/>
      <c r="D25" s="36" t="s">
        <v>48</v>
      </c>
      <c r="E25" s="62"/>
      <c r="F25" s="62"/>
      <c r="G25" s="62"/>
      <c r="H25" s="62"/>
      <c r="I25" s="62"/>
      <c r="J25" s="62"/>
    </row>
    <row r="26" spans="1:11" x14ac:dyDescent="0.25">
      <c r="A26" s="24" t="s">
        <v>85</v>
      </c>
      <c r="B26" s="29">
        <v>50000</v>
      </c>
      <c r="C26" s="23"/>
      <c r="D26" s="63">
        <v>1</v>
      </c>
      <c r="E26" s="64">
        <f>B26*D26</f>
        <v>50000</v>
      </c>
      <c r="F26" s="64">
        <v>0</v>
      </c>
      <c r="G26" s="64">
        <v>0</v>
      </c>
      <c r="H26" s="64">
        <v>0</v>
      </c>
      <c r="I26" s="64">
        <v>0</v>
      </c>
      <c r="J26" s="32">
        <f>SUM(E26:I26)</f>
        <v>50000</v>
      </c>
    </row>
    <row r="27" spans="1:11" x14ac:dyDescent="0.25">
      <c r="A27" s="24" t="s">
        <v>50</v>
      </c>
      <c r="B27" s="29">
        <v>50000</v>
      </c>
      <c r="C27" s="23"/>
      <c r="D27" s="63">
        <v>1</v>
      </c>
      <c r="E27" s="64">
        <f>B27*D27</f>
        <v>50000</v>
      </c>
      <c r="F27" s="64">
        <v>0</v>
      </c>
      <c r="G27" s="64">
        <v>0</v>
      </c>
      <c r="H27" s="64">
        <v>0</v>
      </c>
      <c r="I27" s="64">
        <v>0</v>
      </c>
      <c r="J27" s="32">
        <f>SUM(E27:I27)</f>
        <v>50000</v>
      </c>
    </row>
    <row r="28" spans="1:11" ht="13" x14ac:dyDescent="0.3">
      <c r="A28" s="65" t="s">
        <v>51</v>
      </c>
      <c r="B28" s="66"/>
      <c r="C28" s="66"/>
      <c r="D28" s="67"/>
      <c r="E28" s="68">
        <f>SUM(E26:E27)</f>
        <v>100000</v>
      </c>
      <c r="F28" s="68">
        <f>SUM(F26:F27)</f>
        <v>0</v>
      </c>
      <c r="G28" s="68">
        <f>SUM(G26:G27)</f>
        <v>0</v>
      </c>
      <c r="H28" s="68">
        <f>SUM(H26:H27)</f>
        <v>0</v>
      </c>
      <c r="I28" s="68">
        <f>SUM(I26:I27)</f>
        <v>0</v>
      </c>
      <c r="J28" s="68">
        <f ca="1">SUM(J26:J45)</f>
        <v>113920</v>
      </c>
    </row>
    <row r="29" spans="1:11" s="1" customFormat="1" x14ac:dyDescent="0.25"/>
    <row r="30" spans="1:11" ht="13" x14ac:dyDescent="0.3">
      <c r="A30" s="33" t="s">
        <v>52</v>
      </c>
      <c r="B30" s="61" t="s">
        <v>53</v>
      </c>
      <c r="C30" s="61" t="s">
        <v>54</v>
      </c>
      <c r="D30" s="36" t="s">
        <v>55</v>
      </c>
      <c r="E30" s="69"/>
      <c r="F30" s="69"/>
      <c r="G30" s="69"/>
      <c r="H30" s="69"/>
      <c r="I30" s="69"/>
      <c r="J30" s="62"/>
    </row>
    <row r="31" spans="1:11" x14ac:dyDescent="0.25">
      <c r="A31" s="24" t="s">
        <v>56</v>
      </c>
      <c r="B31" s="70">
        <v>0</v>
      </c>
      <c r="C31" s="71" t="s">
        <v>57</v>
      </c>
      <c r="D31" s="27">
        <v>0</v>
      </c>
      <c r="E31" s="64">
        <v>0</v>
      </c>
      <c r="F31" s="64">
        <f t="shared" ref="F31:H32" si="4">1.02*E31</f>
        <v>0</v>
      </c>
      <c r="G31" s="64">
        <f t="shared" si="4"/>
        <v>0</v>
      </c>
      <c r="H31" s="64">
        <f t="shared" si="4"/>
        <v>0</v>
      </c>
      <c r="I31" s="64">
        <f>B31*D31</f>
        <v>0</v>
      </c>
      <c r="J31" s="32">
        <f t="shared" ref="J31:J36" si="5">SUM(E31:I31)</f>
        <v>0</v>
      </c>
    </row>
    <row r="32" spans="1:11" x14ac:dyDescent="0.25">
      <c r="A32" s="24" t="s">
        <v>58</v>
      </c>
      <c r="B32" s="70">
        <v>0</v>
      </c>
      <c r="C32" s="71" t="s">
        <v>57</v>
      </c>
      <c r="D32" s="27">
        <v>0</v>
      </c>
      <c r="E32" s="64">
        <v>0</v>
      </c>
      <c r="F32" s="64">
        <f t="shared" si="4"/>
        <v>0</v>
      </c>
      <c r="G32" s="64">
        <f t="shared" si="4"/>
        <v>0</v>
      </c>
      <c r="H32" s="64">
        <f t="shared" si="4"/>
        <v>0</v>
      </c>
      <c r="I32" s="64">
        <f>B32*D32</f>
        <v>0</v>
      </c>
      <c r="J32" s="32">
        <f t="shared" si="5"/>
        <v>0</v>
      </c>
    </row>
    <row r="33" spans="1:12" x14ac:dyDescent="0.25">
      <c r="A33" s="24" t="s">
        <v>59</v>
      </c>
      <c r="B33" s="70">
        <f>250</f>
        <v>250</v>
      </c>
      <c r="C33" s="71" t="s">
        <v>60</v>
      </c>
      <c r="D33" s="27">
        <v>5</v>
      </c>
      <c r="E33" s="64">
        <v>0</v>
      </c>
      <c r="F33" s="64">
        <f>B33*C33*D33</f>
        <v>1250</v>
      </c>
      <c r="G33" s="64">
        <f t="shared" ref="G33:I34" si="6">1.02*F33</f>
        <v>1275</v>
      </c>
      <c r="H33" s="64">
        <f t="shared" si="6"/>
        <v>1300.5</v>
      </c>
      <c r="I33" s="64">
        <f t="shared" si="6"/>
        <v>1326.51</v>
      </c>
      <c r="J33" s="32">
        <f t="shared" si="5"/>
        <v>5152.01</v>
      </c>
    </row>
    <row r="34" spans="1:12" x14ac:dyDescent="0.25">
      <c r="A34" s="24" t="s">
        <v>61</v>
      </c>
      <c r="B34" s="70">
        <v>400</v>
      </c>
      <c r="C34" s="71" t="s">
        <v>60</v>
      </c>
      <c r="D34" s="27">
        <v>1</v>
      </c>
      <c r="E34" s="64">
        <v>0</v>
      </c>
      <c r="F34" s="64">
        <f>B34*C34*D34</f>
        <v>400</v>
      </c>
      <c r="G34" s="64">
        <f t="shared" si="6"/>
        <v>408</v>
      </c>
      <c r="H34" s="64">
        <f t="shared" si="6"/>
        <v>416.16</v>
      </c>
      <c r="I34" s="64">
        <f t="shared" si="6"/>
        <v>424.48320000000001</v>
      </c>
      <c r="J34" s="32">
        <f t="shared" si="5"/>
        <v>1648.6432</v>
      </c>
    </row>
    <row r="35" spans="1:12" x14ac:dyDescent="0.25">
      <c r="A35" s="24" t="s">
        <v>62</v>
      </c>
      <c r="B35" s="70">
        <v>50</v>
      </c>
      <c r="C35" s="71" t="s">
        <v>60</v>
      </c>
      <c r="D35" s="27">
        <v>5</v>
      </c>
      <c r="E35" s="64">
        <f>0</f>
        <v>0</v>
      </c>
      <c r="F35" s="64">
        <f>B35*C35*D35</f>
        <v>250</v>
      </c>
      <c r="G35" s="64">
        <f t="shared" ref="G35:I36" si="7">F35*1.02</f>
        <v>255</v>
      </c>
      <c r="H35" s="64">
        <f t="shared" si="7"/>
        <v>260.10000000000002</v>
      </c>
      <c r="I35" s="64">
        <f t="shared" si="7"/>
        <v>265.30200000000002</v>
      </c>
      <c r="J35" s="32">
        <f t="shared" si="5"/>
        <v>1030.402</v>
      </c>
    </row>
    <row r="36" spans="1:12" x14ac:dyDescent="0.25">
      <c r="A36" s="72" t="s">
        <v>63</v>
      </c>
      <c r="B36" s="73">
        <v>500</v>
      </c>
      <c r="C36" s="71" t="s">
        <v>60</v>
      </c>
      <c r="D36" s="74">
        <v>1</v>
      </c>
      <c r="E36" s="64">
        <f>0</f>
        <v>0</v>
      </c>
      <c r="F36" s="64">
        <f>B36*C36*D36</f>
        <v>500</v>
      </c>
      <c r="G36" s="64">
        <f t="shared" si="7"/>
        <v>510</v>
      </c>
      <c r="H36" s="64">
        <f t="shared" si="7"/>
        <v>520.20000000000005</v>
      </c>
      <c r="I36" s="64">
        <f t="shared" si="7"/>
        <v>530.60400000000004</v>
      </c>
      <c r="J36" s="32">
        <f t="shared" si="5"/>
        <v>2060.8040000000001</v>
      </c>
      <c r="L36" s="52"/>
    </row>
    <row r="37" spans="1:12" s="7" customFormat="1" ht="13" x14ac:dyDescent="0.3">
      <c r="A37" s="65" t="s">
        <v>64</v>
      </c>
      <c r="B37" s="66"/>
      <c r="C37" s="75"/>
      <c r="D37" s="76"/>
      <c r="E37" s="45">
        <f t="shared" ref="E37:J37" si="8">SUM(E31:E36)</f>
        <v>0</v>
      </c>
      <c r="F37" s="45">
        <f t="shared" si="8"/>
        <v>2400</v>
      </c>
      <c r="G37" s="45">
        <f t="shared" si="8"/>
        <v>2448</v>
      </c>
      <c r="H37" s="45">
        <f t="shared" si="8"/>
        <v>2496.96</v>
      </c>
      <c r="I37" s="45">
        <f t="shared" si="8"/>
        <v>2546.8991999999998</v>
      </c>
      <c r="J37" s="45">
        <f t="shared" si="8"/>
        <v>9891.8592000000008</v>
      </c>
    </row>
    <row r="38" spans="1:12" x14ac:dyDescent="0.25">
      <c r="A38" s="77"/>
      <c r="B38" s="73"/>
      <c r="C38" s="71"/>
      <c r="D38" s="78"/>
      <c r="E38" s="64"/>
      <c r="F38" s="64"/>
      <c r="G38" s="64"/>
      <c r="H38" s="64"/>
      <c r="I38" s="64"/>
      <c r="J38" s="64"/>
    </row>
    <row r="39" spans="1:12" ht="13" x14ac:dyDescent="0.3">
      <c r="A39" s="79" t="s">
        <v>65</v>
      </c>
      <c r="B39" s="80"/>
      <c r="C39" s="81"/>
      <c r="D39" s="82"/>
      <c r="E39" s="62"/>
      <c r="F39" s="62"/>
      <c r="G39" s="62"/>
      <c r="H39" s="62"/>
      <c r="I39" s="62"/>
      <c r="J39" s="62"/>
    </row>
    <row r="40" spans="1:12" x14ac:dyDescent="0.25">
      <c r="A40" s="72"/>
      <c r="B40" s="73"/>
      <c r="C40" s="71"/>
      <c r="D40" s="78"/>
      <c r="E40" s="64"/>
      <c r="F40" s="64"/>
      <c r="G40" s="64"/>
      <c r="H40" s="64"/>
      <c r="I40" s="64"/>
      <c r="J40" s="64"/>
    </row>
    <row r="41" spans="1:12" ht="13" x14ac:dyDescent="0.3">
      <c r="A41" s="33" t="s">
        <v>66</v>
      </c>
      <c r="B41" s="61" t="s">
        <v>30</v>
      </c>
      <c r="C41" s="61" t="s">
        <v>48</v>
      </c>
      <c r="D41" s="36" t="s">
        <v>67</v>
      </c>
      <c r="E41" s="62"/>
      <c r="F41" s="62"/>
      <c r="G41" s="62"/>
      <c r="H41" s="62"/>
      <c r="I41" s="62"/>
      <c r="J41" s="62"/>
    </row>
    <row r="42" spans="1:12" x14ac:dyDescent="0.25">
      <c r="A42" s="24" t="s">
        <v>68</v>
      </c>
      <c r="B42" s="23">
        <v>1200</v>
      </c>
      <c r="C42" s="70" t="s">
        <v>69</v>
      </c>
      <c r="D42" s="70" t="s">
        <v>69</v>
      </c>
      <c r="E42" s="64">
        <f>1*B42</f>
        <v>1200</v>
      </c>
      <c r="F42" s="64">
        <f>2*B42*1.02</f>
        <v>2448</v>
      </c>
      <c r="G42" s="64">
        <f>4*B42*1.04</f>
        <v>4992</v>
      </c>
      <c r="H42" s="64">
        <f>2*B42*1.06</f>
        <v>2544</v>
      </c>
      <c r="I42" s="64">
        <f>1*B42*1.08</f>
        <v>1296</v>
      </c>
      <c r="J42" s="64">
        <f>SUM(E42:I42)</f>
        <v>12480</v>
      </c>
      <c r="K42" s="52"/>
    </row>
    <row r="43" spans="1:12" x14ac:dyDescent="0.25">
      <c r="A43" s="24" t="s">
        <v>70</v>
      </c>
      <c r="B43" s="23">
        <v>194</v>
      </c>
      <c r="C43" s="70">
        <v>50</v>
      </c>
      <c r="D43" s="27" t="s">
        <v>69</v>
      </c>
      <c r="E43" s="64">
        <f>5*B43</f>
        <v>970</v>
      </c>
      <c r="F43" s="64">
        <f>10*B43*1.02</f>
        <v>1978.8</v>
      </c>
      <c r="G43" s="64">
        <f>20*B43*1.04</f>
        <v>4035.2000000000003</v>
      </c>
      <c r="H43" s="64">
        <f>15*B43*1.06</f>
        <v>3084.6000000000004</v>
      </c>
      <c r="I43" s="64">
        <v>0</v>
      </c>
      <c r="J43" s="64">
        <f>SUM(E43:I43)</f>
        <v>10068.6</v>
      </c>
      <c r="K43" s="52"/>
    </row>
    <row r="44" spans="1:12" x14ac:dyDescent="0.25">
      <c r="A44" s="24" t="s">
        <v>71</v>
      </c>
      <c r="B44" s="23">
        <v>500</v>
      </c>
      <c r="C44" s="70" t="s">
        <v>69</v>
      </c>
      <c r="D44" s="70">
        <v>1</v>
      </c>
      <c r="E44" s="64">
        <f>B44</f>
        <v>500</v>
      </c>
      <c r="F44" s="64">
        <f>B44*1.02</f>
        <v>510</v>
      </c>
      <c r="G44" s="64">
        <f>B44*1.04</f>
        <v>520</v>
      </c>
      <c r="H44" s="64">
        <f>B44*1.06</f>
        <v>530</v>
      </c>
      <c r="I44" s="64">
        <f>B44*1.08</f>
        <v>540</v>
      </c>
      <c r="J44" s="64">
        <f>SUM(E44:I44)</f>
        <v>2600</v>
      </c>
      <c r="K44" s="52"/>
    </row>
    <row r="45" spans="1:12" x14ac:dyDescent="0.25">
      <c r="A45" s="106" t="s">
        <v>72</v>
      </c>
      <c r="B45" s="107">
        <v>1740</v>
      </c>
      <c r="C45" s="108"/>
      <c r="D45" s="109">
        <v>8</v>
      </c>
      <c r="E45" s="83">
        <f>0</f>
        <v>0</v>
      </c>
      <c r="F45" s="83">
        <f>B45*D45</f>
        <v>13920</v>
      </c>
      <c r="G45" s="83">
        <v>0</v>
      </c>
      <c r="H45" s="83">
        <v>0</v>
      </c>
      <c r="I45" s="83">
        <v>0</v>
      </c>
      <c r="J45" s="40">
        <f>SUM(E45:I45)</f>
        <v>13920</v>
      </c>
    </row>
    <row r="46" spans="1:12" x14ac:dyDescent="0.25">
      <c r="A46" s="106" t="s">
        <v>73</v>
      </c>
      <c r="B46" s="108">
        <v>500</v>
      </c>
      <c r="C46" s="110">
        <v>4</v>
      </c>
      <c r="D46" s="110"/>
      <c r="E46" s="83">
        <v>0</v>
      </c>
      <c r="F46" s="83">
        <v>0</v>
      </c>
      <c r="G46" s="83">
        <v>2000</v>
      </c>
      <c r="H46" s="83">
        <v>0</v>
      </c>
      <c r="I46" s="83">
        <v>0</v>
      </c>
      <c r="J46" s="83">
        <v>0</v>
      </c>
      <c r="K46" s="52"/>
    </row>
    <row r="47" spans="1:12" x14ac:dyDescent="0.25">
      <c r="A47" s="24" t="s">
        <v>75</v>
      </c>
      <c r="B47" s="23">
        <v>2500</v>
      </c>
      <c r="C47" s="70">
        <v>2</v>
      </c>
      <c r="D47" s="70" t="s">
        <v>69</v>
      </c>
      <c r="E47" s="64">
        <v>0</v>
      </c>
      <c r="F47" s="83">
        <f>B47</f>
        <v>2500</v>
      </c>
      <c r="G47" s="83">
        <f>B47</f>
        <v>2500</v>
      </c>
      <c r="H47" s="64">
        <v>0</v>
      </c>
      <c r="I47" s="64">
        <f>0</f>
        <v>0</v>
      </c>
      <c r="J47" s="64">
        <f>SUM(E47:I47)</f>
        <v>5000</v>
      </c>
      <c r="K47" s="52"/>
    </row>
    <row r="48" spans="1:12" x14ac:dyDescent="0.25">
      <c r="A48" s="24" t="s">
        <v>76</v>
      </c>
      <c r="B48" s="23">
        <v>500</v>
      </c>
      <c r="C48" s="70">
        <v>1</v>
      </c>
      <c r="D48" s="70">
        <v>1</v>
      </c>
      <c r="E48" s="64">
        <v>500</v>
      </c>
      <c r="F48" s="64">
        <v>500</v>
      </c>
      <c r="G48" s="64">
        <v>500</v>
      </c>
      <c r="H48" s="64">
        <v>500</v>
      </c>
      <c r="I48" s="64">
        <v>500</v>
      </c>
      <c r="J48" s="64">
        <f>SUM(E48:I48)</f>
        <v>2500</v>
      </c>
      <c r="K48" s="52"/>
    </row>
    <row r="49" spans="1:11" x14ac:dyDescent="0.25">
      <c r="A49" s="24" t="s">
        <v>77</v>
      </c>
      <c r="B49" s="23">
        <f>500+(2*250)+(3*74)+100</f>
        <v>1322</v>
      </c>
      <c r="C49" s="70">
        <v>1</v>
      </c>
      <c r="D49" s="70">
        <v>1</v>
      </c>
      <c r="E49" s="64">
        <f>B49*C49*D49</f>
        <v>1322</v>
      </c>
      <c r="F49" s="64">
        <f>E49*1.02</f>
        <v>1348.44</v>
      </c>
      <c r="G49" s="64">
        <f>F49*1.02</f>
        <v>1375.4088000000002</v>
      </c>
      <c r="H49" s="64">
        <f>G49*1.02</f>
        <v>1402.9169760000002</v>
      </c>
      <c r="I49" s="64">
        <f>H49*1.02</f>
        <v>1430.9753155200003</v>
      </c>
      <c r="J49" s="64">
        <f>SUM(E49:I49)</f>
        <v>6879.7410915200007</v>
      </c>
      <c r="K49" s="52"/>
    </row>
    <row r="50" spans="1:11" ht="13" x14ac:dyDescent="0.3">
      <c r="A50" s="42" t="s">
        <v>78</v>
      </c>
      <c r="B50" s="43"/>
      <c r="C50" s="43"/>
      <c r="D50" s="44"/>
      <c r="E50" s="45">
        <f t="shared" ref="E50:J50" si="9">SUM(E42:E49)</f>
        <v>4492</v>
      </c>
      <c r="F50" s="45">
        <f t="shared" si="9"/>
        <v>23205.239999999998</v>
      </c>
      <c r="G50" s="45">
        <f t="shared" si="9"/>
        <v>15922.608800000002</v>
      </c>
      <c r="H50" s="45">
        <f t="shared" si="9"/>
        <v>8061.5169760000008</v>
      </c>
      <c r="I50" s="45">
        <f t="shared" si="9"/>
        <v>3766.9753155200005</v>
      </c>
      <c r="J50" s="45">
        <f t="shared" si="9"/>
        <v>53448.34109152</v>
      </c>
    </row>
    <row r="51" spans="1:11" ht="13" x14ac:dyDescent="0.3">
      <c r="A51" s="84"/>
      <c r="B51" s="85"/>
      <c r="C51" s="85"/>
      <c r="D51" s="86"/>
      <c r="E51" s="64"/>
      <c r="F51" s="64"/>
      <c r="G51" s="64"/>
      <c r="H51" s="64"/>
      <c r="I51" s="64"/>
      <c r="J51" s="64"/>
    </row>
    <row r="52" spans="1:11" ht="13" x14ac:dyDescent="0.3">
      <c r="A52" s="87" t="s">
        <v>79</v>
      </c>
      <c r="B52" s="88"/>
      <c r="C52" s="88"/>
      <c r="D52" s="89"/>
      <c r="E52" s="45">
        <f t="shared" ref="E52:J52" si="10">E28+E37+E50</f>
        <v>104492</v>
      </c>
      <c r="F52" s="45">
        <f t="shared" si="10"/>
        <v>25605.239999999998</v>
      </c>
      <c r="G52" s="45">
        <f t="shared" si="10"/>
        <v>18370.608800000002</v>
      </c>
      <c r="H52" s="45">
        <f t="shared" si="10"/>
        <v>10558.476976000002</v>
      </c>
      <c r="I52" s="45">
        <f t="shared" si="10"/>
        <v>6313.8745155200004</v>
      </c>
      <c r="J52" s="45">
        <f t="shared" ca="1" si="10"/>
        <v>177260.20029152001</v>
      </c>
      <c r="K52" s="90"/>
    </row>
    <row r="53" spans="1:11" ht="13" x14ac:dyDescent="0.3">
      <c r="A53" s="91"/>
      <c r="B53" s="92"/>
      <c r="C53" s="92"/>
      <c r="D53" s="93"/>
      <c r="E53" s="94"/>
      <c r="F53" s="94"/>
      <c r="G53" s="94"/>
      <c r="H53" s="94"/>
      <c r="I53" s="94"/>
      <c r="J53" s="56"/>
      <c r="K53" s="90"/>
    </row>
    <row r="54" spans="1:11" ht="13" x14ac:dyDescent="0.3">
      <c r="A54" s="87" t="s">
        <v>80</v>
      </c>
      <c r="B54" s="88"/>
      <c r="C54" s="88"/>
      <c r="D54" s="89"/>
      <c r="E54" s="45">
        <f>E23+E52</f>
        <v>151530.690416</v>
      </c>
      <c r="F54" s="45">
        <f>F23+F52</f>
        <v>71532.490336319985</v>
      </c>
      <c r="G54" s="45">
        <f>G23+G52</f>
        <v>67215.631726702413</v>
      </c>
      <c r="H54" s="45">
        <f>H23+H52</f>
        <v>54018.610880058972</v>
      </c>
      <c r="I54" s="45">
        <f>I23+I52</f>
        <v>50643.211097660147</v>
      </c>
      <c r="J54" s="53">
        <f>SUM(E54:I54)</f>
        <v>394940.63445674151</v>
      </c>
      <c r="K54" s="90"/>
    </row>
    <row r="55" spans="1:11" ht="13.5" customHeight="1" x14ac:dyDescent="0.3">
      <c r="A55" s="91"/>
      <c r="B55" s="95" t="s">
        <v>30</v>
      </c>
      <c r="C55" s="95" t="s">
        <v>81</v>
      </c>
      <c r="D55" s="93"/>
      <c r="E55" s="94"/>
      <c r="F55" s="94"/>
      <c r="G55" s="94"/>
      <c r="H55" s="94"/>
      <c r="I55" s="94"/>
      <c r="J55" s="56"/>
      <c r="K55" s="90"/>
    </row>
    <row r="56" spans="1:11" ht="13" x14ac:dyDescent="0.3">
      <c r="A56" s="87" t="s">
        <v>82</v>
      </c>
      <c r="B56" s="96">
        <v>0.55700000000000005</v>
      </c>
      <c r="C56" s="97" t="s">
        <v>83</v>
      </c>
      <c r="D56" s="89"/>
      <c r="E56" s="45">
        <f>E15*0.557</f>
        <v>25054.216480000003</v>
      </c>
      <c r="F56" s="45">
        <f>F15*0.557</f>
        <v>24658.832703600001</v>
      </c>
      <c r="G56" s="45">
        <f>G15*0.557</f>
        <v>26017.902441432005</v>
      </c>
      <c r="H56" s="45">
        <f>H15*0.557</f>
        <v>23256.618759369867</v>
      </c>
      <c r="I56" s="45">
        <f>I15*0.557</f>
        <v>23721.751134557268</v>
      </c>
      <c r="J56" s="53">
        <f>SUM(E56:I56)</f>
        <v>122709.32151895914</v>
      </c>
    </row>
    <row r="57" spans="1:11" ht="13" x14ac:dyDescent="0.3">
      <c r="A57" s="91"/>
      <c r="B57" s="98"/>
      <c r="C57" s="92"/>
      <c r="D57" s="93"/>
      <c r="E57" s="94"/>
      <c r="F57" s="94"/>
      <c r="G57" s="94"/>
      <c r="H57" s="94"/>
      <c r="I57" s="94"/>
      <c r="J57" s="56"/>
    </row>
    <row r="58" spans="1:11" ht="13" x14ac:dyDescent="0.3">
      <c r="A58" s="99" t="s">
        <v>84</v>
      </c>
      <c r="B58" s="100"/>
      <c r="C58" s="100"/>
      <c r="D58" s="101"/>
      <c r="E58" s="102">
        <f t="shared" ref="E58:J58" si="11">E54+E56</f>
        <v>176584.906896</v>
      </c>
      <c r="F58" s="102">
        <f t="shared" si="11"/>
        <v>96191.323039919982</v>
      </c>
      <c r="G58" s="102">
        <f t="shared" si="11"/>
        <v>93233.534168134414</v>
      </c>
      <c r="H58" s="102">
        <f t="shared" si="11"/>
        <v>77275.229639428842</v>
      </c>
      <c r="I58" s="102">
        <f t="shared" si="11"/>
        <v>74364.962232217411</v>
      </c>
      <c r="J58" s="102">
        <f t="shared" si="11"/>
        <v>517649.95597570064</v>
      </c>
      <c r="K58" s="90"/>
    </row>
    <row r="59" spans="1:11" ht="12.75" customHeight="1" x14ac:dyDescent="0.3">
      <c r="A59" s="103"/>
      <c r="D59" s="104"/>
      <c r="E59" s="52"/>
      <c r="F59" s="52"/>
      <c r="G59" s="52"/>
      <c r="H59" s="52"/>
      <c r="I59" s="52"/>
      <c r="J59" s="52"/>
    </row>
    <row r="60" spans="1:11" ht="12.75" customHeight="1" x14ac:dyDescent="0.3">
      <c r="A60" s="105"/>
      <c r="D60" s="104"/>
      <c r="E60" s="52"/>
      <c r="F60" s="52"/>
      <c r="G60" s="52"/>
      <c r="H60" s="52"/>
      <c r="I60" s="52"/>
      <c r="J60" s="52"/>
    </row>
  </sheetData>
  <mergeCells count="3">
    <mergeCell ref="A1:G1"/>
    <mergeCell ref="A4:A5"/>
    <mergeCell ref="B4:D5"/>
  </mergeCells>
  <printOptions horizontalCentered="1" verticalCentered="1"/>
  <pageMargins left="0.5" right="0.5" top="0.5" bottom="0.5" header="0.511811023622047" footer="0.511811023622047"/>
  <pageSetup orientation="landscape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60"/>
  <sheetViews>
    <sheetView showOutlineSymbols="0" topLeftCell="B33" zoomScaleNormal="100" workbookViewId="0">
      <selection activeCell="A46" sqref="A46"/>
    </sheetView>
  </sheetViews>
  <sheetFormatPr defaultColWidth="8.81640625" defaultRowHeight="12.5" x14ac:dyDescent="0.25"/>
  <cols>
    <col min="1" max="1" width="36.54296875" style="1" customWidth="1"/>
    <col min="2" max="2" width="10.54296875" style="1" customWidth="1"/>
    <col min="3" max="3" width="11.6328125" style="1" customWidth="1"/>
    <col min="4" max="4" width="12.6328125" style="2" customWidth="1"/>
    <col min="5" max="5" width="18.81640625" style="1" customWidth="1"/>
    <col min="6" max="9" width="19.453125" style="1" customWidth="1"/>
    <col min="10" max="10" width="18.81640625" style="1" customWidth="1"/>
    <col min="11" max="11" width="15.453125" style="1" customWidth="1"/>
    <col min="12" max="12" width="11.453125" style="1" customWidth="1"/>
    <col min="13" max="15" width="9.81640625" style="1" customWidth="1"/>
    <col min="16" max="16" width="10.81640625" style="1" customWidth="1"/>
    <col min="17" max="50" width="9.1796875" style="1" customWidth="1"/>
    <col min="51" max="1024" width="8.81640625" style="1"/>
  </cols>
  <sheetData>
    <row r="1" spans="1:16" s="3" customFormat="1" ht="12.75" customHeight="1" x14ac:dyDescent="0.25">
      <c r="A1" s="125" t="s">
        <v>0</v>
      </c>
      <c r="B1" s="125"/>
      <c r="C1" s="125"/>
      <c r="D1" s="125"/>
      <c r="E1" s="125"/>
      <c r="F1" s="125"/>
      <c r="G1" s="125"/>
      <c r="H1" s="3" t="s">
        <v>1</v>
      </c>
      <c r="I1" s="4" t="s">
        <v>2</v>
      </c>
    </row>
    <row r="2" spans="1:16" ht="13" x14ac:dyDescent="0.3">
      <c r="A2" s="5" t="s">
        <v>3</v>
      </c>
      <c r="B2" s="5" t="s">
        <v>4</v>
      </c>
      <c r="C2" s="1" t="s">
        <v>5</v>
      </c>
      <c r="D2" s="6"/>
      <c r="H2" s="7" t="s">
        <v>6</v>
      </c>
      <c r="I2" s="1" t="s">
        <v>7</v>
      </c>
    </row>
    <row r="3" spans="1:16" ht="13" x14ac:dyDescent="0.3">
      <c r="B3" s="5"/>
      <c r="C3" s="8"/>
      <c r="D3" s="6"/>
      <c r="E3" s="9"/>
      <c r="F3" s="9"/>
      <c r="G3" s="9"/>
      <c r="H3" s="9"/>
      <c r="I3" s="9"/>
    </row>
    <row r="4" spans="1:16" ht="13" x14ac:dyDescent="0.3">
      <c r="A4" s="126" t="s">
        <v>8</v>
      </c>
      <c r="B4" s="127" t="s">
        <v>9</v>
      </c>
      <c r="C4" s="127"/>
      <c r="D4" s="127"/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1" t="s">
        <v>15</v>
      </c>
    </row>
    <row r="5" spans="1:16" ht="13" x14ac:dyDescent="0.3">
      <c r="A5" s="126"/>
      <c r="B5" s="127"/>
      <c r="C5" s="127"/>
      <c r="D5" s="127"/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</row>
    <row r="6" spans="1:16" ht="13" x14ac:dyDescent="0.3">
      <c r="A6" s="13" t="s">
        <v>22</v>
      </c>
      <c r="B6" s="14"/>
      <c r="C6" s="15"/>
      <c r="D6" s="16"/>
      <c r="E6" s="17"/>
      <c r="F6" s="17"/>
      <c r="G6" s="17"/>
      <c r="H6" s="17"/>
      <c r="I6" s="17"/>
      <c r="J6" s="17"/>
    </row>
    <row r="7" spans="1:16" s="23" customFormat="1" ht="13" x14ac:dyDescent="0.3">
      <c r="A7" s="18" t="s">
        <v>23</v>
      </c>
      <c r="B7" s="19" t="s">
        <v>24</v>
      </c>
      <c r="C7" s="19" t="s">
        <v>25</v>
      </c>
      <c r="D7" s="20" t="s">
        <v>26</v>
      </c>
      <c r="E7" s="21"/>
      <c r="F7" s="21"/>
      <c r="G7" s="21"/>
      <c r="H7" s="21"/>
      <c r="I7" s="21"/>
      <c r="J7" s="22"/>
    </row>
    <row r="8" spans="1:16" s="23" customFormat="1" x14ac:dyDescent="0.25">
      <c r="A8" s="24" t="s">
        <v>27</v>
      </c>
      <c r="B8" s="25"/>
      <c r="C8" s="26"/>
      <c r="D8" s="27"/>
      <c r="E8" s="28"/>
      <c r="F8" s="28"/>
      <c r="G8" s="28"/>
      <c r="H8" s="28"/>
      <c r="I8" s="28"/>
      <c r="J8" s="28"/>
      <c r="K8" s="29"/>
      <c r="L8" s="29"/>
      <c r="M8" s="29"/>
      <c r="N8" s="29"/>
      <c r="O8" s="29"/>
      <c r="P8" s="29"/>
    </row>
    <row r="9" spans="1:16" s="23" customFormat="1" x14ac:dyDescent="0.25">
      <c r="A9" s="24" t="s">
        <v>28</v>
      </c>
      <c r="B9" s="25">
        <f>(74460+2700)*1.02</f>
        <v>78703.199999999997</v>
      </c>
      <c r="C9" s="30">
        <v>2</v>
      </c>
      <c r="D9" s="31">
        <v>1.02</v>
      </c>
      <c r="E9" s="32">
        <f>B9/10*C9</f>
        <v>15740.64</v>
      </c>
      <c r="F9" s="32">
        <f>E9*1.02</f>
        <v>16055.452799999999</v>
      </c>
      <c r="G9" s="32">
        <f>F9*1.02</f>
        <v>16376.561856</v>
      </c>
      <c r="H9" s="32">
        <f>G9*1.02</f>
        <v>16704.093093120002</v>
      </c>
      <c r="I9" s="32">
        <f>H9*1.02</f>
        <v>17038.174954982402</v>
      </c>
      <c r="J9" s="32">
        <f>SUM(E9:I9)</f>
        <v>81914.922704102399</v>
      </c>
      <c r="K9" s="29"/>
      <c r="L9" s="29"/>
      <c r="M9" s="29"/>
      <c r="N9" s="29"/>
      <c r="O9" s="29"/>
      <c r="P9" s="29"/>
    </row>
    <row r="10" spans="1:16" s="23" customFormat="1" ht="13" x14ac:dyDescent="0.3">
      <c r="A10" s="33" t="s">
        <v>29</v>
      </c>
      <c r="B10" s="34" t="s">
        <v>30</v>
      </c>
      <c r="C10" s="35" t="s">
        <v>31</v>
      </c>
      <c r="D10" s="36" t="s">
        <v>32</v>
      </c>
      <c r="E10" s="37"/>
      <c r="F10" s="37"/>
      <c r="G10" s="37"/>
      <c r="H10" s="37"/>
      <c r="I10" s="37"/>
      <c r="J10" s="37"/>
    </row>
    <row r="11" spans="1:16" s="23" customFormat="1" x14ac:dyDescent="0.25">
      <c r="A11" s="24" t="s">
        <v>33</v>
      </c>
      <c r="B11" s="38">
        <v>15.5</v>
      </c>
      <c r="C11" s="39">
        <f>10*13*2</f>
        <v>260</v>
      </c>
      <c r="D11" s="27">
        <v>4</v>
      </c>
      <c r="E11" s="32">
        <f>B11*C11*D11</f>
        <v>16120</v>
      </c>
      <c r="F11" s="32">
        <f>E11*1.02*5/4</f>
        <v>20553</v>
      </c>
      <c r="G11" s="32">
        <f>F11*1.02*4/5</f>
        <v>16771.248</v>
      </c>
      <c r="H11" s="32">
        <f>G11*1.02</f>
        <v>17106.67296</v>
      </c>
      <c r="I11" s="32">
        <f>H11*1.02</f>
        <v>17448.806419200002</v>
      </c>
      <c r="J11" s="32">
        <f>SUM(E11:I11)</f>
        <v>87999.727379200005</v>
      </c>
    </row>
    <row r="12" spans="1:16" s="23" customFormat="1" x14ac:dyDescent="0.25">
      <c r="A12" s="24" t="s">
        <v>34</v>
      </c>
      <c r="B12" s="38">
        <v>15.5</v>
      </c>
      <c r="C12" s="39">
        <f>18*10</f>
        <v>180</v>
      </c>
      <c r="D12" s="27">
        <v>3</v>
      </c>
      <c r="E12" s="32">
        <f>B12*C12*D12</f>
        <v>8370</v>
      </c>
      <c r="F12" s="32">
        <f>E12*1.02*0.33</f>
        <v>2817.3420000000001</v>
      </c>
      <c r="G12" s="32">
        <f>F12*1.02*3</f>
        <v>8621.0665200000003</v>
      </c>
      <c r="H12" s="32">
        <f>G12*1.02*0.33</f>
        <v>2901.8509906320005</v>
      </c>
      <c r="I12" s="32">
        <f>H12*1.02</f>
        <v>2959.8880104446407</v>
      </c>
      <c r="J12" s="32">
        <f>SUM(E12:I12)</f>
        <v>25670.14752107664</v>
      </c>
    </row>
    <row r="13" spans="1:16" s="23" customFormat="1" x14ac:dyDescent="0.25">
      <c r="A13" s="24" t="s">
        <v>35</v>
      </c>
      <c r="B13" s="41">
        <v>25</v>
      </c>
      <c r="C13" s="39">
        <f>19*10</f>
        <v>190</v>
      </c>
      <c r="D13" s="27">
        <v>1</v>
      </c>
      <c r="E13" s="32">
        <f>B13*C13*D13</f>
        <v>4750</v>
      </c>
      <c r="F13" s="32">
        <f t="shared" ref="F13:H14" si="0">E13*1.02</f>
        <v>4845</v>
      </c>
      <c r="G13" s="32">
        <f t="shared" si="0"/>
        <v>4941.8999999999996</v>
      </c>
      <c r="H13" s="32">
        <f t="shared" si="0"/>
        <v>5040.7379999999994</v>
      </c>
      <c r="I13" s="32">
        <f>H13*1.02</f>
        <v>5141.5527599999996</v>
      </c>
      <c r="J13" s="32">
        <f>SUM(E13:I13)</f>
        <v>24719.190759999998</v>
      </c>
    </row>
    <row r="14" spans="1:16" s="23" customFormat="1" x14ac:dyDescent="0.25">
      <c r="A14" s="24"/>
      <c r="B14" s="41"/>
      <c r="C14" s="39"/>
      <c r="D14" s="27"/>
      <c r="E14" s="32">
        <f>B14*C14*D14</f>
        <v>0</v>
      </c>
      <c r="F14" s="32">
        <f t="shared" si="0"/>
        <v>0</v>
      </c>
      <c r="G14" s="32">
        <f t="shared" si="0"/>
        <v>0</v>
      </c>
      <c r="H14" s="32">
        <f t="shared" si="0"/>
        <v>0</v>
      </c>
      <c r="I14" s="32">
        <f>H14*1.02</f>
        <v>0</v>
      </c>
      <c r="J14" s="32">
        <f>SUM(E14:I14)</f>
        <v>0</v>
      </c>
    </row>
    <row r="15" spans="1:16" ht="13" x14ac:dyDescent="0.3">
      <c r="A15" s="42" t="s">
        <v>36</v>
      </c>
      <c r="B15" s="43"/>
      <c r="C15" s="43"/>
      <c r="D15" s="44"/>
      <c r="E15" s="45">
        <f t="shared" ref="E15:J15" si="1">SUM(E8:E14)</f>
        <v>44980.639999999999</v>
      </c>
      <c r="F15" s="45">
        <f t="shared" si="1"/>
        <v>44270.794799999996</v>
      </c>
      <c r="G15" s="45">
        <f t="shared" si="1"/>
        <v>46710.776376000002</v>
      </c>
      <c r="H15" s="45">
        <f t="shared" si="1"/>
        <v>41753.355043752003</v>
      </c>
      <c r="I15" s="45">
        <f t="shared" si="1"/>
        <v>42588.422144627046</v>
      </c>
      <c r="J15" s="45">
        <f t="shared" si="1"/>
        <v>220303.98836437904</v>
      </c>
      <c r="K15" s="46"/>
      <c r="L15" s="46"/>
      <c r="M15" s="46"/>
      <c r="N15" s="46"/>
      <c r="O15" s="46"/>
      <c r="P15" s="46"/>
    </row>
    <row r="16" spans="1:16" s="4" customFormat="1" ht="12.75" customHeight="1" x14ac:dyDescent="0.25">
      <c r="A16" s="47" t="s">
        <v>37</v>
      </c>
      <c r="B16" s="48" t="s">
        <v>38</v>
      </c>
      <c r="C16" s="48" t="s">
        <v>39</v>
      </c>
      <c r="D16" s="48" t="s">
        <v>40</v>
      </c>
      <c r="E16" s="49"/>
      <c r="F16" s="49"/>
      <c r="G16" s="49"/>
      <c r="H16" s="49"/>
      <c r="I16" s="49"/>
      <c r="J16" s="49"/>
    </row>
    <row r="17" spans="1:11" x14ac:dyDescent="0.25">
      <c r="A17" s="24" t="str">
        <f>A8</f>
        <v>PI AY Release</v>
      </c>
      <c r="B17" s="26">
        <v>0.32</v>
      </c>
      <c r="C17" s="50"/>
      <c r="D17" s="50"/>
      <c r="E17" s="32"/>
      <c r="F17" s="32"/>
      <c r="G17" s="32"/>
      <c r="H17" s="32"/>
      <c r="I17" s="32"/>
      <c r="J17" s="32"/>
    </row>
    <row r="18" spans="1:11" x14ac:dyDescent="0.25">
      <c r="A18" s="24" t="str">
        <f>A9</f>
        <v>PI Summer Salary</v>
      </c>
      <c r="B18" s="51"/>
      <c r="C18" s="50"/>
      <c r="D18" s="50">
        <v>8.4900000000000003E-2</v>
      </c>
      <c r="E18" s="32">
        <f>$D$18*E9</f>
        <v>1336.3803359999999</v>
      </c>
      <c r="F18" s="32">
        <f>$D$18*F9</f>
        <v>1363.10794272</v>
      </c>
      <c r="G18" s="32">
        <f>$D$18*G9</f>
        <v>1390.3701015744</v>
      </c>
      <c r="H18" s="32">
        <f>$D$18*H9</f>
        <v>1418.1775036058882</v>
      </c>
      <c r="I18" s="32">
        <f>$D$18*I9</f>
        <v>1446.5410536780059</v>
      </c>
      <c r="J18" s="32">
        <f>SUM(E18:I18)</f>
        <v>6954.5769375782947</v>
      </c>
      <c r="K18" s="52"/>
    </row>
    <row r="19" spans="1:11" x14ac:dyDescent="0.25">
      <c r="A19" s="24" t="s">
        <v>41</v>
      </c>
      <c r="B19" s="50">
        <v>3.3340000000000002E-3</v>
      </c>
      <c r="C19" s="50"/>
      <c r="E19" s="32">
        <f>$B$19*E11</f>
        <v>53.744080000000004</v>
      </c>
      <c r="F19" s="32">
        <f>$B$19*F11</f>
        <v>68.523702</v>
      </c>
      <c r="G19" s="32">
        <f>$B$19*G11</f>
        <v>55.915340831999998</v>
      </c>
      <c r="H19" s="32">
        <f>$B$19*H11</f>
        <v>57.033647648639999</v>
      </c>
      <c r="I19" s="32">
        <f>$B$19*I11</f>
        <v>58.174320601612813</v>
      </c>
      <c r="J19" s="32">
        <f>SUM(E19:I19)</f>
        <v>293.39109108225284</v>
      </c>
    </row>
    <row r="20" spans="1:11" x14ac:dyDescent="0.25">
      <c r="A20" s="24" t="s">
        <v>42</v>
      </c>
      <c r="B20" s="51"/>
      <c r="C20" s="50"/>
      <c r="D20" s="50">
        <v>7.9799999999999996E-2</v>
      </c>
      <c r="E20" s="32">
        <f>E12*$D$20</f>
        <v>667.92599999999993</v>
      </c>
      <c r="F20" s="32">
        <f>F12*$D$20</f>
        <v>224.8238916</v>
      </c>
      <c r="G20" s="32">
        <f>G12*$D$20</f>
        <v>687.96110829600002</v>
      </c>
      <c r="H20" s="32">
        <f>H12*$D$20</f>
        <v>231.56770905243363</v>
      </c>
      <c r="I20" s="32">
        <f>I12*$D$20</f>
        <v>236.19906323348232</v>
      </c>
      <c r="J20" s="32">
        <f>SUM(E20:I20)</f>
        <v>2048.477772181916</v>
      </c>
      <c r="K20" s="52"/>
    </row>
    <row r="21" spans="1:11" ht="13" x14ac:dyDescent="0.3">
      <c r="A21" s="42" t="s">
        <v>43</v>
      </c>
      <c r="B21" s="43"/>
      <c r="C21" s="43"/>
      <c r="D21" s="44"/>
      <c r="E21" s="53">
        <f t="shared" ref="E21:J21" si="2">SUM(E17:E20)</f>
        <v>2058.050416</v>
      </c>
      <c r="F21" s="53">
        <f t="shared" si="2"/>
        <v>1656.45553632</v>
      </c>
      <c r="G21" s="53">
        <f t="shared" si="2"/>
        <v>2134.2465507023999</v>
      </c>
      <c r="H21" s="53">
        <f t="shared" si="2"/>
        <v>1706.7788603069619</v>
      </c>
      <c r="I21" s="53">
        <f t="shared" si="2"/>
        <v>1740.9144375131011</v>
      </c>
      <c r="J21" s="53">
        <f t="shared" si="2"/>
        <v>9296.4458008424626</v>
      </c>
    </row>
    <row r="22" spans="1:11" ht="13" x14ac:dyDescent="0.3">
      <c r="A22" s="54"/>
      <c r="B22" s="7"/>
      <c r="C22" s="7"/>
      <c r="D22" s="55"/>
      <c r="E22" s="56"/>
      <c r="F22" s="56"/>
      <c r="G22" s="56"/>
      <c r="H22" s="56"/>
      <c r="I22" s="56"/>
      <c r="J22" s="56"/>
    </row>
    <row r="23" spans="1:11" ht="13" x14ac:dyDescent="0.3">
      <c r="A23" s="57" t="s">
        <v>44</v>
      </c>
      <c r="B23" s="43"/>
      <c r="C23" s="43"/>
      <c r="D23" s="44"/>
      <c r="E23" s="45">
        <f t="shared" ref="E23:J23" si="3">E15+E21</f>
        <v>47038.690415999998</v>
      </c>
      <c r="F23" s="45">
        <f t="shared" si="3"/>
        <v>45927.250336319994</v>
      </c>
      <c r="G23" s="45">
        <f t="shared" si="3"/>
        <v>48845.022926702404</v>
      </c>
      <c r="H23" s="45">
        <f t="shared" si="3"/>
        <v>43460.133904058966</v>
      </c>
      <c r="I23" s="45">
        <f t="shared" si="3"/>
        <v>44329.336582140146</v>
      </c>
      <c r="J23" s="45">
        <f t="shared" si="3"/>
        <v>229600.43416522149</v>
      </c>
    </row>
    <row r="24" spans="1:11" ht="13" x14ac:dyDescent="0.3">
      <c r="A24" s="13" t="s">
        <v>45</v>
      </c>
      <c r="B24" s="58"/>
      <c r="C24" s="58"/>
      <c r="D24" s="59"/>
      <c r="E24" s="60"/>
      <c r="F24" s="60"/>
      <c r="G24" s="60"/>
      <c r="H24" s="60"/>
      <c r="I24" s="60"/>
      <c r="J24" s="32"/>
    </row>
    <row r="25" spans="1:11" ht="13" x14ac:dyDescent="0.3">
      <c r="A25" s="33" t="s">
        <v>46</v>
      </c>
      <c r="B25" s="61" t="s">
        <v>47</v>
      </c>
      <c r="C25" s="61"/>
      <c r="D25" s="36" t="s">
        <v>48</v>
      </c>
      <c r="E25" s="62"/>
      <c r="F25" s="62"/>
      <c r="G25" s="62"/>
      <c r="H25" s="62"/>
      <c r="I25" s="62"/>
      <c r="J25" s="62"/>
    </row>
    <row r="26" spans="1:11" x14ac:dyDescent="0.25">
      <c r="A26" s="24" t="s">
        <v>85</v>
      </c>
      <c r="B26" s="29">
        <v>50000</v>
      </c>
      <c r="C26" s="23"/>
      <c r="D26" s="63">
        <v>1</v>
      </c>
      <c r="E26" s="64">
        <f>B26*D26</f>
        <v>50000</v>
      </c>
      <c r="F26" s="64">
        <v>0</v>
      </c>
      <c r="G26" s="64">
        <v>0</v>
      </c>
      <c r="H26" s="64">
        <v>0</v>
      </c>
      <c r="I26" s="64">
        <v>0</v>
      </c>
      <c r="J26" s="32">
        <f>SUM(E26:I26)</f>
        <v>50000</v>
      </c>
    </row>
    <row r="27" spans="1:11" x14ac:dyDescent="0.25">
      <c r="A27" s="24" t="s">
        <v>50</v>
      </c>
      <c r="B27" s="29">
        <v>50000</v>
      </c>
      <c r="C27" s="23"/>
      <c r="D27" s="63">
        <v>1</v>
      </c>
      <c r="E27" s="64">
        <f>B27*D27</f>
        <v>50000</v>
      </c>
      <c r="F27" s="64">
        <v>0</v>
      </c>
      <c r="G27" s="64">
        <v>0</v>
      </c>
      <c r="H27" s="64">
        <v>0</v>
      </c>
      <c r="I27" s="64">
        <v>0</v>
      </c>
      <c r="J27" s="32">
        <f>SUM(E27:I27)</f>
        <v>50000</v>
      </c>
    </row>
    <row r="28" spans="1:11" s="111" customFormat="1" x14ac:dyDescent="0.25">
      <c r="A28" s="106" t="s">
        <v>86</v>
      </c>
      <c r="B28" s="107">
        <v>1740</v>
      </c>
      <c r="C28" s="108"/>
      <c r="D28" s="109">
        <v>8</v>
      </c>
      <c r="E28" s="83">
        <f>0</f>
        <v>0</v>
      </c>
      <c r="F28" s="83">
        <f>B28*D28</f>
        <v>13920</v>
      </c>
      <c r="G28" s="83">
        <v>0</v>
      </c>
      <c r="H28" s="83">
        <v>0</v>
      </c>
      <c r="I28" s="83">
        <v>0</v>
      </c>
      <c r="J28" s="40">
        <f>SUM(E28:I28)</f>
        <v>13920</v>
      </c>
    </row>
    <row r="29" spans="1:11" ht="13" x14ac:dyDescent="0.3">
      <c r="A29" s="65" t="s">
        <v>51</v>
      </c>
      <c r="B29" s="66"/>
      <c r="C29" s="66"/>
      <c r="D29" s="67"/>
      <c r="E29" s="68">
        <f t="shared" ref="E29:J29" si="4">SUM(E26:E28)</f>
        <v>100000</v>
      </c>
      <c r="F29" s="68">
        <f t="shared" si="4"/>
        <v>13920</v>
      </c>
      <c r="G29" s="68">
        <f t="shared" si="4"/>
        <v>0</v>
      </c>
      <c r="H29" s="68">
        <f t="shared" si="4"/>
        <v>0</v>
      </c>
      <c r="I29" s="68">
        <f t="shared" si="4"/>
        <v>0</v>
      </c>
      <c r="J29" s="68">
        <f t="shared" si="4"/>
        <v>113920</v>
      </c>
    </row>
    <row r="30" spans="1:11" s="1" customFormat="1" x14ac:dyDescent="0.25"/>
    <row r="31" spans="1:11" ht="13" x14ac:dyDescent="0.3">
      <c r="A31" s="33" t="s">
        <v>52</v>
      </c>
      <c r="B31" s="61" t="s">
        <v>53</v>
      </c>
      <c r="C31" s="61" t="s">
        <v>54</v>
      </c>
      <c r="D31" s="36" t="s">
        <v>55</v>
      </c>
      <c r="E31" s="69"/>
      <c r="F31" s="69"/>
      <c r="G31" s="69"/>
      <c r="H31" s="69"/>
      <c r="I31" s="69"/>
      <c r="J31" s="62"/>
    </row>
    <row r="32" spans="1:11" x14ac:dyDescent="0.25">
      <c r="A32" s="24" t="s">
        <v>56</v>
      </c>
      <c r="B32" s="70">
        <v>0</v>
      </c>
      <c r="C32" s="71" t="s">
        <v>57</v>
      </c>
      <c r="D32" s="27">
        <v>0</v>
      </c>
      <c r="E32" s="64">
        <v>0</v>
      </c>
      <c r="F32" s="64">
        <f t="shared" ref="F32:H33" si="5">1.02*E32</f>
        <v>0</v>
      </c>
      <c r="G32" s="64">
        <f t="shared" si="5"/>
        <v>0</v>
      </c>
      <c r="H32" s="64">
        <f t="shared" si="5"/>
        <v>0</v>
      </c>
      <c r="I32" s="64">
        <f>B32*D32</f>
        <v>0</v>
      </c>
      <c r="J32" s="32">
        <f t="shared" ref="J32:J37" si="6">SUM(E32:I32)</f>
        <v>0</v>
      </c>
    </row>
    <row r="33" spans="1:12" x14ac:dyDescent="0.25">
      <c r="A33" s="24" t="s">
        <v>58</v>
      </c>
      <c r="B33" s="70">
        <v>0</v>
      </c>
      <c r="C33" s="71" t="s">
        <v>57</v>
      </c>
      <c r="D33" s="27">
        <v>0</v>
      </c>
      <c r="E33" s="64">
        <v>0</v>
      </c>
      <c r="F33" s="64">
        <f t="shared" si="5"/>
        <v>0</v>
      </c>
      <c r="G33" s="64">
        <f t="shared" si="5"/>
        <v>0</v>
      </c>
      <c r="H33" s="64">
        <f t="shared" si="5"/>
        <v>0</v>
      </c>
      <c r="I33" s="64">
        <f>B33*D33</f>
        <v>0</v>
      </c>
      <c r="J33" s="32">
        <f t="shared" si="6"/>
        <v>0</v>
      </c>
    </row>
    <row r="34" spans="1:12" x14ac:dyDescent="0.25">
      <c r="A34" s="24" t="s">
        <v>59</v>
      </c>
      <c r="B34" s="70">
        <f>250</f>
        <v>250</v>
      </c>
      <c r="C34" s="71" t="s">
        <v>60</v>
      </c>
      <c r="D34" s="27">
        <v>5</v>
      </c>
      <c r="E34" s="64">
        <v>0</v>
      </c>
      <c r="F34" s="64">
        <f>B34*C34*D34</f>
        <v>1250</v>
      </c>
      <c r="G34" s="64">
        <f t="shared" ref="G34:I35" si="7">1.02*F34</f>
        <v>1275</v>
      </c>
      <c r="H34" s="64">
        <f t="shared" si="7"/>
        <v>1300.5</v>
      </c>
      <c r="I34" s="64">
        <f t="shared" si="7"/>
        <v>1326.51</v>
      </c>
      <c r="J34" s="32">
        <f t="shared" si="6"/>
        <v>5152.01</v>
      </c>
    </row>
    <row r="35" spans="1:12" x14ac:dyDescent="0.25">
      <c r="A35" s="24" t="s">
        <v>61</v>
      </c>
      <c r="B35" s="70">
        <v>400</v>
      </c>
      <c r="C35" s="71" t="s">
        <v>60</v>
      </c>
      <c r="D35" s="27">
        <v>1</v>
      </c>
      <c r="E35" s="64">
        <v>0</v>
      </c>
      <c r="F35" s="64">
        <f>B35*C35*D35</f>
        <v>400</v>
      </c>
      <c r="G35" s="64">
        <f t="shared" si="7"/>
        <v>408</v>
      </c>
      <c r="H35" s="64">
        <f t="shared" si="7"/>
        <v>416.16</v>
      </c>
      <c r="I35" s="64">
        <f t="shared" si="7"/>
        <v>424.48320000000001</v>
      </c>
      <c r="J35" s="32">
        <f t="shared" si="6"/>
        <v>1648.6432</v>
      </c>
    </row>
    <row r="36" spans="1:12" x14ac:dyDescent="0.25">
      <c r="A36" s="24" t="s">
        <v>62</v>
      </c>
      <c r="B36" s="70">
        <v>50</v>
      </c>
      <c r="C36" s="71" t="s">
        <v>60</v>
      </c>
      <c r="D36" s="27">
        <v>5</v>
      </c>
      <c r="E36" s="64">
        <f>0</f>
        <v>0</v>
      </c>
      <c r="F36" s="64">
        <f>B36*C36*D36</f>
        <v>250</v>
      </c>
      <c r="G36" s="64">
        <f>F36*1.02</f>
        <v>255</v>
      </c>
      <c r="H36" s="64">
        <f>G36*1.02</f>
        <v>260.10000000000002</v>
      </c>
      <c r="I36" s="64">
        <f>H36*1.02</f>
        <v>265.30200000000002</v>
      </c>
      <c r="J36" s="32">
        <f t="shared" si="6"/>
        <v>1030.402</v>
      </c>
    </row>
    <row r="37" spans="1:12" x14ac:dyDescent="0.25">
      <c r="A37" s="72" t="s">
        <v>63</v>
      </c>
      <c r="B37" s="73">
        <v>500</v>
      </c>
      <c r="C37" s="71" t="s">
        <v>60</v>
      </c>
      <c r="D37" s="74">
        <v>1</v>
      </c>
      <c r="E37" s="64">
        <f>0</f>
        <v>0</v>
      </c>
      <c r="F37" s="64">
        <f>B37*C37*D37</f>
        <v>500</v>
      </c>
      <c r="G37" s="64">
        <f>F37*1.02</f>
        <v>510</v>
      </c>
      <c r="H37" s="64">
        <f>G37*1.02</f>
        <v>520.20000000000005</v>
      </c>
      <c r="I37" s="64">
        <f>B37*D37</f>
        <v>500</v>
      </c>
      <c r="J37" s="32">
        <f t="shared" si="6"/>
        <v>2030.2</v>
      </c>
      <c r="L37" s="52"/>
    </row>
    <row r="38" spans="1:12" s="7" customFormat="1" ht="13" x14ac:dyDescent="0.3">
      <c r="A38" s="65" t="s">
        <v>64</v>
      </c>
      <c r="B38" s="66"/>
      <c r="C38" s="75"/>
      <c r="D38" s="76"/>
      <c r="E38" s="45">
        <f t="shared" ref="E38:J38" si="8">SUM(E32:E37)</f>
        <v>0</v>
      </c>
      <c r="F38" s="45">
        <f t="shared" si="8"/>
        <v>2400</v>
      </c>
      <c r="G38" s="45">
        <f t="shared" si="8"/>
        <v>2448</v>
      </c>
      <c r="H38" s="45">
        <f t="shared" si="8"/>
        <v>2496.96</v>
      </c>
      <c r="I38" s="45">
        <f t="shared" si="8"/>
        <v>2516.2952</v>
      </c>
      <c r="J38" s="45">
        <f t="shared" si="8"/>
        <v>9861.2552000000014</v>
      </c>
    </row>
    <row r="39" spans="1:12" x14ac:dyDescent="0.25">
      <c r="A39" s="77"/>
      <c r="B39" s="73"/>
      <c r="C39" s="71"/>
      <c r="D39" s="78"/>
      <c r="E39" s="64"/>
      <c r="F39" s="64"/>
      <c r="G39" s="64"/>
      <c r="H39" s="64"/>
      <c r="I39" s="64"/>
      <c r="J39" s="64"/>
    </row>
    <row r="40" spans="1:12" ht="13" x14ac:dyDescent="0.3">
      <c r="A40" s="79" t="s">
        <v>65</v>
      </c>
      <c r="B40" s="80"/>
      <c r="C40" s="81"/>
      <c r="D40" s="82"/>
      <c r="E40" s="62"/>
      <c r="F40" s="62"/>
      <c r="G40" s="62"/>
      <c r="H40" s="62"/>
      <c r="I40" s="62"/>
      <c r="J40" s="62"/>
    </row>
    <row r="41" spans="1:12" x14ac:dyDescent="0.25">
      <c r="A41" s="72"/>
      <c r="B41" s="73"/>
      <c r="C41" s="71"/>
      <c r="D41" s="78"/>
      <c r="E41" s="64"/>
      <c r="F41" s="64"/>
      <c r="G41" s="64"/>
      <c r="H41" s="64"/>
      <c r="I41" s="64"/>
      <c r="J41" s="64"/>
    </row>
    <row r="42" spans="1:12" ht="13" x14ac:dyDescent="0.3">
      <c r="A42" s="33" t="s">
        <v>66</v>
      </c>
      <c r="B42" s="61" t="s">
        <v>30</v>
      </c>
      <c r="C42" s="61" t="s">
        <v>48</v>
      </c>
      <c r="D42" s="36" t="s">
        <v>67</v>
      </c>
      <c r="E42" s="62"/>
      <c r="F42" s="62"/>
      <c r="G42" s="62"/>
      <c r="H42" s="62"/>
      <c r="I42" s="62"/>
      <c r="J42" s="62"/>
    </row>
    <row r="43" spans="1:12" x14ac:dyDescent="0.25">
      <c r="A43" s="24" t="s">
        <v>68</v>
      </c>
      <c r="B43" s="23">
        <v>1200</v>
      </c>
      <c r="C43" s="70" t="s">
        <v>69</v>
      </c>
      <c r="D43" s="70" t="s">
        <v>69</v>
      </c>
      <c r="E43" s="64">
        <f>1*B43</f>
        <v>1200</v>
      </c>
      <c r="F43" s="64">
        <f>2*B43</f>
        <v>2400</v>
      </c>
      <c r="G43" s="64">
        <f>4*B43</f>
        <v>4800</v>
      </c>
      <c r="H43" s="64">
        <f>2*B43</f>
        <v>2400</v>
      </c>
      <c r="I43" s="64">
        <f>1*B43</f>
        <v>1200</v>
      </c>
      <c r="J43" s="64">
        <f>SUM(E43:I43)</f>
        <v>12000</v>
      </c>
      <c r="K43" s="52"/>
    </row>
    <row r="44" spans="1:12" x14ac:dyDescent="0.25">
      <c r="A44" s="24" t="s">
        <v>70</v>
      </c>
      <c r="B44" s="23">
        <v>194</v>
      </c>
      <c r="C44" s="70">
        <v>50</v>
      </c>
      <c r="D44" s="27" t="s">
        <v>69</v>
      </c>
      <c r="E44" s="64">
        <f>5*B44</f>
        <v>970</v>
      </c>
      <c r="F44" s="64">
        <f>10*B44</f>
        <v>1940</v>
      </c>
      <c r="G44" s="64">
        <f>20*B44</f>
        <v>3880</v>
      </c>
      <c r="H44" s="64">
        <f>15*B44</f>
        <v>2910</v>
      </c>
      <c r="I44" s="64">
        <v>0</v>
      </c>
      <c r="J44" s="64">
        <f>SUM(E44:I44)</f>
        <v>9700</v>
      </c>
      <c r="K44" s="52"/>
    </row>
    <row r="45" spans="1:12" x14ac:dyDescent="0.25">
      <c r="A45" s="24" t="s">
        <v>71</v>
      </c>
      <c r="B45" s="23">
        <v>500</v>
      </c>
      <c r="C45" s="70" t="s">
        <v>69</v>
      </c>
      <c r="D45" s="70">
        <v>1</v>
      </c>
      <c r="E45" s="64">
        <f>B45</f>
        <v>500</v>
      </c>
      <c r="F45" s="64">
        <f>B45</f>
        <v>500</v>
      </c>
      <c r="G45" s="64">
        <f>B45</f>
        <v>500</v>
      </c>
      <c r="H45" s="64">
        <f>B45</f>
        <v>500</v>
      </c>
      <c r="I45" s="64">
        <f>B45</f>
        <v>500</v>
      </c>
      <c r="J45" s="64">
        <f>SUM(E45:I45)</f>
        <v>2500</v>
      </c>
      <c r="K45" s="52"/>
    </row>
    <row r="46" spans="1:12" s="111" customFormat="1" x14ac:dyDescent="0.25">
      <c r="A46" s="106" t="s">
        <v>73</v>
      </c>
      <c r="B46" s="108">
        <v>500</v>
      </c>
      <c r="C46" s="110">
        <v>4</v>
      </c>
      <c r="D46" s="110"/>
      <c r="E46" s="83">
        <v>0</v>
      </c>
      <c r="F46" s="83">
        <v>0</v>
      </c>
      <c r="G46" s="83">
        <v>2000</v>
      </c>
      <c r="H46" s="83">
        <v>0</v>
      </c>
      <c r="I46" s="83">
        <v>0</v>
      </c>
      <c r="J46" s="83">
        <v>0</v>
      </c>
      <c r="K46" s="112"/>
    </row>
    <row r="47" spans="1:12" x14ac:dyDescent="0.25">
      <c r="A47" s="24" t="s">
        <v>75</v>
      </c>
      <c r="B47" s="23">
        <v>2500</v>
      </c>
      <c r="C47" s="70">
        <v>2</v>
      </c>
      <c r="D47" s="70" t="s">
        <v>69</v>
      </c>
      <c r="E47" s="64">
        <v>0</v>
      </c>
      <c r="F47" s="83">
        <f>B47</f>
        <v>2500</v>
      </c>
      <c r="G47" s="83">
        <f>B47</f>
        <v>2500</v>
      </c>
      <c r="H47" s="64">
        <v>0</v>
      </c>
      <c r="I47" s="64">
        <f>0</f>
        <v>0</v>
      </c>
      <c r="J47" s="64">
        <f>SUM(E47:I47)</f>
        <v>5000</v>
      </c>
      <c r="K47" s="52"/>
    </row>
    <row r="48" spans="1:12" x14ac:dyDescent="0.25">
      <c r="A48" s="24" t="s">
        <v>76</v>
      </c>
      <c r="B48" s="23">
        <v>500</v>
      </c>
      <c r="C48" s="70">
        <v>1</v>
      </c>
      <c r="D48" s="70">
        <v>1</v>
      </c>
      <c r="E48" s="64">
        <v>500</v>
      </c>
      <c r="F48" s="64">
        <v>500</v>
      </c>
      <c r="G48" s="64">
        <v>500</v>
      </c>
      <c r="H48" s="64">
        <v>500</v>
      </c>
      <c r="I48" s="64">
        <v>500</v>
      </c>
      <c r="J48" s="64">
        <f>SUM(E48:I48)</f>
        <v>2500</v>
      </c>
      <c r="K48" s="52"/>
    </row>
    <row r="49" spans="1:11" x14ac:dyDescent="0.25">
      <c r="A49" s="24" t="s">
        <v>77</v>
      </c>
      <c r="B49" s="23">
        <f>450+(2*250)+(3*74)+100</f>
        <v>1272</v>
      </c>
      <c r="C49" s="70">
        <v>1</v>
      </c>
      <c r="D49" s="70">
        <v>1</v>
      </c>
      <c r="E49" s="64">
        <v>1272</v>
      </c>
      <c r="F49" s="64">
        <v>1272</v>
      </c>
      <c r="G49" s="64">
        <v>1272</v>
      </c>
      <c r="H49" s="64">
        <v>1272</v>
      </c>
      <c r="I49" s="64">
        <v>1272</v>
      </c>
      <c r="J49" s="64">
        <f>SUM(E49:I49)</f>
        <v>6360</v>
      </c>
      <c r="K49" s="52"/>
    </row>
    <row r="50" spans="1:11" ht="13" x14ac:dyDescent="0.3">
      <c r="A50" s="42" t="s">
        <v>78</v>
      </c>
      <c r="B50" s="43"/>
      <c r="C50" s="43"/>
      <c r="D50" s="44"/>
      <c r="E50" s="45">
        <f t="shared" ref="E50:J50" si="9">SUM(E43:E49)</f>
        <v>4442</v>
      </c>
      <c r="F50" s="45">
        <f t="shared" si="9"/>
        <v>9112</v>
      </c>
      <c r="G50" s="45">
        <f t="shared" si="9"/>
        <v>15452</v>
      </c>
      <c r="H50" s="45">
        <f t="shared" si="9"/>
        <v>7582</v>
      </c>
      <c r="I50" s="45">
        <f t="shared" si="9"/>
        <v>3472</v>
      </c>
      <c r="J50" s="45">
        <f t="shared" si="9"/>
        <v>38060</v>
      </c>
    </row>
    <row r="51" spans="1:11" ht="13" x14ac:dyDescent="0.3">
      <c r="A51" s="84"/>
      <c r="B51" s="85"/>
      <c r="C51" s="85"/>
      <c r="D51" s="86"/>
      <c r="E51" s="64"/>
      <c r="F51" s="64"/>
      <c r="G51" s="64"/>
      <c r="H51" s="64"/>
      <c r="I51" s="64"/>
      <c r="J51" s="64"/>
    </row>
    <row r="52" spans="1:11" ht="13" x14ac:dyDescent="0.3">
      <c r="A52" s="87" t="s">
        <v>79</v>
      </c>
      <c r="B52" s="88"/>
      <c r="C52" s="88"/>
      <c r="D52" s="89"/>
      <c r="E52" s="45">
        <f t="shared" ref="E52:J52" si="10">E29+E38+E50</f>
        <v>104442</v>
      </c>
      <c r="F52" s="45">
        <f t="shared" si="10"/>
        <v>25432</v>
      </c>
      <c r="G52" s="45">
        <f t="shared" si="10"/>
        <v>17900</v>
      </c>
      <c r="H52" s="45">
        <f t="shared" si="10"/>
        <v>10078.959999999999</v>
      </c>
      <c r="I52" s="45">
        <f t="shared" si="10"/>
        <v>5988.2952000000005</v>
      </c>
      <c r="J52" s="45">
        <f t="shared" si="10"/>
        <v>161841.25520000001</v>
      </c>
      <c r="K52" s="90"/>
    </row>
    <row r="53" spans="1:11" ht="13" x14ac:dyDescent="0.3">
      <c r="A53" s="91"/>
      <c r="B53" s="92"/>
      <c r="C53" s="92"/>
      <c r="D53" s="93"/>
      <c r="E53" s="94"/>
      <c r="F53" s="94"/>
      <c r="G53" s="94"/>
      <c r="H53" s="94"/>
      <c r="I53" s="94"/>
      <c r="J53" s="56"/>
      <c r="K53" s="90"/>
    </row>
    <row r="54" spans="1:11" ht="13" x14ac:dyDescent="0.3">
      <c r="A54" s="87" t="s">
        <v>80</v>
      </c>
      <c r="B54" s="88"/>
      <c r="C54" s="88"/>
      <c r="D54" s="89"/>
      <c r="E54" s="45">
        <f>E23+E52</f>
        <v>151480.690416</v>
      </c>
      <c r="F54" s="45">
        <f>F23+F52</f>
        <v>71359.250336319994</v>
      </c>
      <c r="G54" s="45">
        <f>G23+G52</f>
        <v>66745.022926702397</v>
      </c>
      <c r="H54" s="45">
        <f>H23+H52</f>
        <v>53539.093904058966</v>
      </c>
      <c r="I54" s="45">
        <f>I23+I52</f>
        <v>50317.631782140146</v>
      </c>
      <c r="J54" s="53">
        <f>SUM(E54:I54)</f>
        <v>393441.68936522154</v>
      </c>
      <c r="K54" s="90"/>
    </row>
    <row r="55" spans="1:11" ht="13.5" customHeight="1" x14ac:dyDescent="0.3">
      <c r="A55" s="91"/>
      <c r="B55" s="95" t="s">
        <v>30</v>
      </c>
      <c r="C55" s="95" t="s">
        <v>81</v>
      </c>
      <c r="D55" s="93"/>
      <c r="E55" s="94"/>
      <c r="F55" s="94"/>
      <c r="G55" s="94"/>
      <c r="H55" s="94"/>
      <c r="I55" s="94"/>
      <c r="J55" s="56"/>
      <c r="K55" s="90"/>
    </row>
    <row r="56" spans="1:11" ht="13" x14ac:dyDescent="0.3">
      <c r="A56" s="87" t="s">
        <v>82</v>
      </c>
      <c r="B56" s="96">
        <v>0.55700000000000005</v>
      </c>
      <c r="C56" s="97" t="s">
        <v>83</v>
      </c>
      <c r="D56" s="89"/>
      <c r="E56" s="45">
        <f>E15*0.557</f>
        <v>25054.216480000003</v>
      </c>
      <c r="F56" s="45">
        <f>F15*0.557</f>
        <v>24658.832703600001</v>
      </c>
      <c r="G56" s="45">
        <f>G15*0.557</f>
        <v>26017.902441432005</v>
      </c>
      <c r="H56" s="45">
        <f>H15*0.557</f>
        <v>23256.618759369867</v>
      </c>
      <c r="I56" s="45">
        <f>I15*0.557</f>
        <v>23721.751134557268</v>
      </c>
      <c r="J56" s="53">
        <f>SUM(E56:I56)</f>
        <v>122709.32151895914</v>
      </c>
    </row>
    <row r="57" spans="1:11" ht="13" x14ac:dyDescent="0.3">
      <c r="A57" s="91"/>
      <c r="B57" s="98"/>
      <c r="C57" s="92"/>
      <c r="D57" s="93"/>
      <c r="E57" s="94"/>
      <c r="F57" s="94"/>
      <c r="G57" s="94"/>
      <c r="H57" s="94"/>
      <c r="I57" s="94"/>
      <c r="J57" s="56"/>
    </row>
    <row r="58" spans="1:11" ht="13" x14ac:dyDescent="0.3">
      <c r="A58" s="99" t="s">
        <v>84</v>
      </c>
      <c r="B58" s="100"/>
      <c r="C58" s="100"/>
      <c r="D58" s="101"/>
      <c r="E58" s="102">
        <f t="shared" ref="E58:J58" si="11">E54+E56</f>
        <v>176534.906896</v>
      </c>
      <c r="F58" s="102">
        <f t="shared" si="11"/>
        <v>96018.083039919991</v>
      </c>
      <c r="G58" s="102">
        <f t="shared" si="11"/>
        <v>92762.925368134398</v>
      </c>
      <c r="H58" s="102">
        <f t="shared" si="11"/>
        <v>76795.712663428829</v>
      </c>
      <c r="I58" s="102">
        <f t="shared" si="11"/>
        <v>74039.382916697417</v>
      </c>
      <c r="J58" s="102">
        <f t="shared" si="11"/>
        <v>516151.01088418067</v>
      </c>
      <c r="K58" s="90"/>
    </row>
    <row r="59" spans="1:11" ht="12.75" customHeight="1" x14ac:dyDescent="0.3">
      <c r="A59" s="103"/>
      <c r="D59" s="104"/>
      <c r="E59" s="52"/>
      <c r="F59" s="52"/>
      <c r="G59" s="52"/>
      <c r="H59" s="52"/>
      <c r="I59" s="52"/>
      <c r="J59" s="52"/>
    </row>
    <row r="60" spans="1:11" ht="12.75" customHeight="1" x14ac:dyDescent="0.3">
      <c r="A60" s="105"/>
      <c r="D60" s="104"/>
      <c r="E60" s="52"/>
      <c r="F60" s="52"/>
      <c r="G60" s="52"/>
      <c r="H60" s="52"/>
      <c r="I60" s="52"/>
      <c r="J60" s="52"/>
    </row>
  </sheetData>
  <mergeCells count="3">
    <mergeCell ref="A1:G1"/>
    <mergeCell ref="A4:A5"/>
    <mergeCell ref="B4:D5"/>
  </mergeCells>
  <printOptions horizontalCentered="1" verticalCentered="1"/>
  <pageMargins left="0.5" right="0.5" top="0.5" bottom="0.5" header="0.511811023622047" footer="0.511811023622047"/>
  <pageSetup orientation="landscape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showOutlineSymbols="0" zoomScaleNormal="100" workbookViewId="0">
      <selection activeCell="C4" sqref="C4"/>
    </sheetView>
  </sheetViews>
  <sheetFormatPr defaultColWidth="8.7265625" defaultRowHeight="12.5" x14ac:dyDescent="0.25"/>
  <cols>
    <col min="4" max="4" width="9.90625" customWidth="1"/>
    <col min="5" max="5" width="13" customWidth="1"/>
  </cols>
  <sheetData>
    <row r="1" spans="1:5" ht="14.5" x14ac:dyDescent="0.35">
      <c r="A1" s="113" t="s">
        <v>87</v>
      </c>
      <c r="B1" s="114"/>
      <c r="C1" s="115"/>
      <c r="D1" s="115"/>
      <c r="E1" s="115"/>
    </row>
    <row r="2" spans="1:5" x14ac:dyDescent="0.25">
      <c r="A2" s="115"/>
      <c r="B2" s="114"/>
      <c r="C2" s="115"/>
      <c r="D2" s="115"/>
      <c r="E2" s="115"/>
    </row>
    <row r="3" spans="1:5" ht="14.5" x14ac:dyDescent="0.35">
      <c r="A3" s="116" t="s">
        <v>88</v>
      </c>
      <c r="B3" s="116" t="s">
        <v>89</v>
      </c>
      <c r="C3" s="116" t="s">
        <v>90</v>
      </c>
      <c r="D3" s="116" t="s">
        <v>91</v>
      </c>
      <c r="E3" s="116" t="s">
        <v>92</v>
      </c>
    </row>
    <row r="4" spans="1:5" x14ac:dyDescent="0.25">
      <c r="A4" s="115" t="s">
        <v>93</v>
      </c>
      <c r="B4" s="114" t="s">
        <v>40</v>
      </c>
      <c r="C4" s="115">
        <v>1</v>
      </c>
      <c r="D4" s="115">
        <v>2</v>
      </c>
      <c r="E4" s="115">
        <f>C4*D4</f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7" ma:contentTypeDescription="Create a new document." ma:contentTypeScope="" ma:versionID="8091852db91283ddb329f4821ca690f2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3bdbbad2123e3b72f83366085cc7c7e2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AAC29-4D25-4141-812E-051F6345E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2be3f-c675-40f9-b00c-ad6d7a7b6985"/>
    <ds:schemaRef ds:uri="32dda713-7a87-4c81-9014-cb42735fe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03FC96-9E1F-487A-B537-1AEC49CE58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DRAFT (5)</vt:lpstr>
      <vt:lpstr>DRAFT (4)</vt:lpstr>
      <vt:lpstr>DRAFT (3)</vt:lpstr>
      <vt:lpstr>DRAFT (2)</vt:lpstr>
      <vt:lpstr>DRAFT</vt:lpstr>
      <vt:lpstr>Sheet1</vt:lpstr>
      <vt:lpstr>DRAFT!Print_Titles</vt:lpstr>
      <vt:lpstr>'DRAFT (2)'!Print_Titles</vt:lpstr>
      <vt:lpstr>'DRAFT (3)'!Print_Titles</vt:lpstr>
      <vt:lpstr>'DRAFT (4)'!Print_Titles</vt:lpstr>
      <vt:lpstr>'DRAFT (5)'!Print_Titles</vt:lpstr>
    </vt:vector>
  </TitlesOfParts>
  <Company>ucb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Jesse Gardeman</dc:creator>
  <dc:description/>
  <cp:lastModifiedBy>Newton Lisa</cp:lastModifiedBy>
  <cp:revision>19</cp:revision>
  <cp:lastPrinted>2023-05-16T23:29:46Z</cp:lastPrinted>
  <dcterms:created xsi:type="dcterms:W3CDTF">2006-09-21T22:07:06Z</dcterms:created>
  <dcterms:modified xsi:type="dcterms:W3CDTF">2023-07-05T18:43:53Z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0x01010065DECD5F91A8184A982195B4B44A858B</vt:lpwstr>
  </property>
  <property fmtid="{D5CDD505-2E9C-101B-9397-08002B2CF9AE}" pid="3" name="MediaServiceImageTags">
    <vt:lpwstr/>
  </property>
</Properties>
</file>