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RAFT (3)" sheetId="1" state="visible" r:id="rId2"/>
    <sheet name="DRAFT (2)" sheetId="2" state="visible" r:id="rId3"/>
    <sheet name="DRAFT" sheetId="3" state="visible" r:id="rId4"/>
    <sheet name="Sheet1" sheetId="4" state="visible" r:id="rId5"/>
  </sheets>
  <definedNames>
    <definedName function="false" hidden="false" localSheetId="2" name="_xlnm.Print_Titles" vbProcedure="false">DRAFT!$4:$5</definedName>
    <definedName function="false" hidden="false" localSheetId="1" name="_xlnm.Print_Titles" vbProcedure="false">'DRAFT (2)'!$4:$5</definedName>
    <definedName function="false" hidden="false" localSheetId="0" name="_xlnm.Print_Titles" vbProcedure="false">'DRAFT (3)'!$4:$5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7" authorId="0">
      <text>
        <r>
          <rPr>
            <sz val="10"/>
            <rFont val="Arial"/>
            <family val="0"/>
            <charset val="1"/>
          </rPr>
          <t xml:space="preserve">Newton Lisa:
</t>
        </r>
        <r>
          <rPr>
            <sz val="9"/>
            <color rgb="FF000000"/>
            <rFont val="Tahoma"/>
            <family val="2"/>
            <charset val="1"/>
          </rPr>
          <t xml:space="preserve">May get from Navy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7" authorId="0">
      <text>
        <r>
          <rPr>
            <sz val="10"/>
            <rFont val="Arial"/>
            <family val="0"/>
            <charset val="1"/>
          </rPr>
          <t xml:space="preserve">Newton Lisa:
</t>
        </r>
        <r>
          <rPr>
            <sz val="9"/>
            <color rgb="FF000000"/>
            <rFont val="Tahoma"/>
            <family val="2"/>
            <charset val="1"/>
          </rPr>
          <t xml:space="preserve">May get from Navy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7" authorId="0">
      <text>
        <r>
          <rPr>
            <sz val="10"/>
            <rFont val="Arial"/>
            <family val="0"/>
            <charset val="1"/>
          </rPr>
          <t xml:space="preserve">Newton Lisa:
</t>
        </r>
        <r>
          <rPr>
            <sz val="9"/>
            <color rgb="FF000000"/>
            <rFont val="Tahoma"/>
            <family val="2"/>
            <charset val="1"/>
          </rPr>
          <t xml:space="preserve">May get from Navy</t>
        </r>
      </text>
    </comment>
  </commentList>
</comments>
</file>

<file path=xl/sharedStrings.xml><?xml version="1.0" encoding="utf-8"?>
<sst xmlns="http://schemas.openxmlformats.org/spreadsheetml/2006/main" count="294" uniqueCount="94">
  <si>
    <t xml:space="preserve">CAREER: Translation of Machine Learning and Additive Manufacturing to Accelerate and Diversify Science and Engineering</t>
  </si>
  <si>
    <t xml:space="preserve">Sponsor:</t>
  </si>
  <si>
    <t xml:space="preserve">NSF</t>
  </si>
  <si>
    <t xml:space="preserve">PrincipaI Investigator: Jordan Hanson</t>
  </si>
  <si>
    <t xml:space="preserve">Institution:</t>
  </si>
  <si>
    <t xml:space="preserve">Whittier College</t>
  </si>
  <si>
    <t xml:space="preserve">NOFO:</t>
  </si>
  <si>
    <t xml:space="preserve">Faculty Early Career Development Program</t>
  </si>
  <si>
    <t xml:space="preserve">Categories</t>
  </si>
  <si>
    <t xml:space="preserve">Calculation</t>
  </si>
  <si>
    <t xml:space="preserve">Year 1</t>
  </si>
  <si>
    <t xml:space="preserve">Year 2</t>
  </si>
  <si>
    <t xml:space="preserve">Year 3</t>
  </si>
  <si>
    <t xml:space="preserve">Year 4</t>
  </si>
  <si>
    <t xml:space="preserve">Year 5</t>
  </si>
  <si>
    <t xml:space="preserve">Total Request</t>
  </si>
  <si>
    <t xml:space="preserve">7/1/24-6/30/25</t>
  </si>
  <si>
    <t xml:space="preserve">7/1/25-6/30/26</t>
  </si>
  <si>
    <t xml:space="preserve">7/1/26-6/30/27</t>
  </si>
  <si>
    <t xml:space="preserve">7/1/27-6/30/28</t>
  </si>
  <si>
    <t xml:space="preserve">7/1/28-6/30/29</t>
  </si>
  <si>
    <t xml:space="preserve">7/1/24-6/30/29</t>
  </si>
  <si>
    <t xml:space="preserve">PERSONNEL</t>
  </si>
  <si>
    <t xml:space="preserve">A. Senior/Key Personnel</t>
  </si>
  <si>
    <t xml:space="preserve">Annual</t>
  </si>
  <si>
    <t xml:space="preserve">Person Mths</t>
  </si>
  <si>
    <t xml:space="preserve">Increment</t>
  </si>
  <si>
    <t xml:space="preserve">PI AY Release</t>
  </si>
  <si>
    <t xml:space="preserve">PI Summer Salary</t>
  </si>
  <si>
    <t xml:space="preserve">B. Other Personnel</t>
  </si>
  <si>
    <t xml:space="preserve">Rate</t>
  </si>
  <si>
    <t xml:space="preserve">Hours</t>
  </si>
  <si>
    <t xml:space="preserve">Number</t>
  </si>
  <si>
    <t xml:space="preserve">UG Research Assistants-AY</t>
  </si>
  <si>
    <t xml:space="preserve">UG Research Assistants-Summer</t>
  </si>
  <si>
    <t xml:space="preserve">Post-baccalaureate Res. Asst.</t>
  </si>
  <si>
    <t xml:space="preserve">Subtotal - Salary &amp; Wages</t>
  </si>
  <si>
    <t xml:space="preserve">C. Fringe Benefits</t>
  </si>
  <si>
    <t xml:space="preserve">Fringe Rate</t>
  </si>
  <si>
    <t xml:space="preserve">AY overload</t>
  </si>
  <si>
    <t xml:space="preserve">Summer</t>
  </si>
  <si>
    <t xml:space="preserve">Students AY</t>
  </si>
  <si>
    <t xml:space="preserve">Students Summer</t>
  </si>
  <si>
    <t xml:space="preserve">Subtotal - Fringe Benefits</t>
  </si>
  <si>
    <t xml:space="preserve">TOTAL PERSONNEL</t>
  </si>
  <si>
    <t xml:space="preserve">NON-PERSONNEL EXPENSES</t>
  </si>
  <si>
    <t xml:space="preserve">D. Equipment</t>
  </si>
  <si>
    <t xml:space="preserve">Cost</t>
  </si>
  <si>
    <t xml:space="preserve">Quantity</t>
  </si>
  <si>
    <t xml:space="preserve">New GPU/Multi-core server, or upgrade</t>
  </si>
  <si>
    <t xml:space="preserve">Oscilloscope</t>
  </si>
  <si>
    <t xml:space="preserve">Subtotal - Equipment</t>
  </si>
  <si>
    <t xml:space="preserve">E. Travel</t>
  </si>
  <si>
    <t xml:space="preserve">Cost/Person</t>
  </si>
  <si>
    <t xml:space="preserve"># People</t>
  </si>
  <si>
    <t xml:space="preserve"># Days or Trips</t>
  </si>
  <si>
    <t xml:space="preserve">Local Travel</t>
  </si>
  <si>
    <t xml:space="preserve">0</t>
  </si>
  <si>
    <t xml:space="preserve">Airfare</t>
  </si>
  <si>
    <t xml:space="preserve">Hotel (x nights/trip)</t>
  </si>
  <si>
    <t xml:space="preserve">1</t>
  </si>
  <si>
    <t xml:space="preserve">Train Transportation</t>
  </si>
  <si>
    <t xml:space="preserve">Per Diem (x days/trip)</t>
  </si>
  <si>
    <t xml:space="preserve">Conference registration</t>
  </si>
  <si>
    <t xml:space="preserve">Subtotal - Travel</t>
  </si>
  <si>
    <t xml:space="preserve">F. Participant/Trainee Support Costs</t>
  </si>
  <si>
    <t xml:space="preserve">G. Other Direct Costs</t>
  </si>
  <si>
    <t xml:space="preserve">Frequency/Yr</t>
  </si>
  <si>
    <t xml:space="preserve">Materials &amp; supplies: 3D printers</t>
  </si>
  <si>
    <t xml:space="preserve">--</t>
  </si>
  <si>
    <t xml:space="preserve">Materials &amp; Supplies: Filament 50 rolls</t>
  </si>
  <si>
    <t xml:space="preserve">Materials &amp; Supplies: Connectors, cables, etc.</t>
  </si>
  <si>
    <t xml:space="preserve">Materials &amp; Supplies: Adj. phase shifters</t>
  </si>
  <si>
    <t xml:space="preserve">Android mobile devices</t>
  </si>
  <si>
    <t xml:space="preserve">Drone parts</t>
  </si>
  <si>
    <t xml:space="preserve">Publication/Documentation/Dissemination</t>
  </si>
  <si>
    <t xml:space="preserve">Professional Services: Speaker Honoraria</t>
  </si>
  <si>
    <t xml:space="preserve">Professional Services: Speaker Travel</t>
  </si>
  <si>
    <t xml:space="preserve">Subtotal - Other Direct Cost</t>
  </si>
  <si>
    <t xml:space="preserve">TOTAL NON-PERSONNEL</t>
  </si>
  <si>
    <t xml:space="preserve">G. TOTAL DIRECT COSTS</t>
  </si>
  <si>
    <t xml:space="preserve">Base</t>
  </si>
  <si>
    <t xml:space="preserve">H. INDIRECT COSTS</t>
  </si>
  <si>
    <t xml:space="preserve">Sal &amp; Wages</t>
  </si>
  <si>
    <t xml:space="preserve">TOTAL DIRECT AND INDIRECT COSTS</t>
  </si>
  <si>
    <t xml:space="preserve">GPU/Multi-core server</t>
  </si>
  <si>
    <t xml:space="preserve">Adjustable phase shifters</t>
  </si>
  <si>
    <t xml:space="preserve">PERSON MONTHS</t>
  </si>
  <si>
    <t xml:space="preserve">NAME</t>
  </si>
  <si>
    <t xml:space="preserve">MTH TYPE</t>
  </si>
  <si>
    <t xml:space="preserve">EFFORT</t>
  </si>
  <si>
    <t xml:space="preserve"># OF MTHS</t>
  </si>
  <si>
    <t xml:space="preserve">PERSON MTHS</t>
  </si>
  <si>
    <t xml:space="preserve">Hanson</t>
  </si>
</sst>
</file>

<file path=xl/styles.xml><?xml version="1.0" encoding="utf-8"?>
<styleSheet xmlns="http://schemas.openxmlformats.org/spreadsheetml/2006/main">
  <numFmts count="17">
    <numFmt numFmtId="164" formatCode="General"/>
    <numFmt numFmtId="165" formatCode="\$#,##0.00"/>
    <numFmt numFmtId="166" formatCode="mmm\-yy"/>
    <numFmt numFmtId="167" formatCode="#,##0.00"/>
    <numFmt numFmtId="168" formatCode="_(* #,##0.00_);_(* \(#,##0.00\);_(* \-??_);_(@_)"/>
    <numFmt numFmtId="169" formatCode="0.00%"/>
    <numFmt numFmtId="170" formatCode="#,##0.00_);[RED]\(#,##0.00\)"/>
    <numFmt numFmtId="171" formatCode="#,##0"/>
    <numFmt numFmtId="172" formatCode="0%"/>
    <numFmt numFmtId="173" formatCode="#,##0_);[RED]\(#,##0\)"/>
    <numFmt numFmtId="174" formatCode="0.00"/>
    <numFmt numFmtId="175" formatCode="\$#,##0"/>
    <numFmt numFmtId="176" formatCode="0"/>
    <numFmt numFmtId="177" formatCode="@"/>
    <numFmt numFmtId="178" formatCode="_(\$* #,##0.00_);_(\$* \(#,##0.00\);_(\$* \-??_);_(@_)"/>
    <numFmt numFmtId="179" formatCode="\$#,##0.00_);[RED]&quot;($&quot;#,##0.00\)"/>
    <numFmt numFmtId="180" formatCode="0.0%"/>
  </numFmts>
  <fonts count="1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D4"/>
      <name val="Arial"/>
      <family val="2"/>
      <charset val="1"/>
    </font>
    <font>
      <sz val="10"/>
      <color rgb="FF515151"/>
      <name val="Arial"/>
      <family val="2"/>
      <charset val="1"/>
    </font>
    <font>
      <b val="true"/>
      <sz val="10"/>
      <color rgb="FF515151"/>
      <name val="Arial"/>
      <family val="2"/>
      <charset val="1"/>
    </font>
    <font>
      <b val="true"/>
      <i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u val="single"/>
      <sz val="10"/>
      <name val="Arial"/>
      <family val="2"/>
      <charset val="1"/>
    </font>
    <font>
      <i val="true"/>
      <sz val="10"/>
      <name val="Arial"/>
      <family val="2"/>
      <charset val="1"/>
    </font>
    <font>
      <sz val="9"/>
      <color rgb="FF000000"/>
      <name val="Tahoma"/>
      <family val="2"/>
      <charset val="1"/>
    </font>
    <font>
      <b val="tru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B9CDE5"/>
        <bgColor rgb="FFBFBFBF"/>
      </patternFill>
    </fill>
    <fill>
      <patternFill patternType="solid">
        <fgColor rgb="FFBFBFBF"/>
        <bgColor rgb="FFB9CDE5"/>
      </patternFill>
    </fill>
    <fill>
      <patternFill patternType="solid">
        <fgColor rgb="FFD9D9D9"/>
        <bgColor rgb="FFB9CDE5"/>
      </patternFill>
    </fill>
    <fill>
      <patternFill patternType="solid">
        <fgColor rgb="FFFFFF00"/>
        <bgColor rgb="FFFFFF00"/>
      </patternFill>
    </fill>
    <fill>
      <patternFill patternType="solid">
        <fgColor rgb="FF8EB4E3"/>
        <bgColor rgb="FF9999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5" fillId="5" borderId="0" xfId="15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9" fontId="4" fillId="5" borderId="3" xfId="15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9" fontId="4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4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71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2" fontId="4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4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5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4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75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5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8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2" fontId="5" fillId="5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5" fillId="5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75" fontId="4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6" fontId="4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5" fontId="4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5" fillId="3" borderId="4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70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5" fillId="3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75" fontId="5" fillId="3" borderId="3" xfId="15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7" fontId="5" fillId="5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78" fontId="5" fillId="5" borderId="0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5" fontId="4" fillId="5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9" fontId="4" fillId="0" borderId="0" xfId="19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9" fontId="4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75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5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75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5" fontId="4" fillId="5" borderId="3" xfId="15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3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75" fontId="4" fillId="0" borderId="3" xfId="15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75" fontId="5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5" fontId="9" fillId="5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6" fontId="4" fillId="0" borderId="0" xfId="19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7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4" fontId="5" fillId="3" borderId="0" xfId="19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4" fillId="0" borderId="0" xfId="19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7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4" fontId="4" fillId="5" borderId="0" xfId="19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5" fontId="4" fillId="6" borderId="3" xfId="15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0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0" fillId="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0" fontId="4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4" fillId="3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7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0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75" fontId="5" fillId="0" borderId="3" xfId="15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0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80" fontId="4" fillId="3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80" fontId="4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5" fillId="7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5" fillId="7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5" fillId="7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75" fontId="5" fillId="7" borderId="3" xfId="17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0" fontId="4" fillId="6" borderId="4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73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4" fillId="6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73" fontId="4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D4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1515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P61"/>
  <sheetViews>
    <sheetView showFormulas="false" showGridLines="true" showRowColHeaders="true" showZeros="true" rightToLeft="false" tabSelected="true" showOutlineSymbols="false" defaultGridColor="true" view="normal" topLeftCell="A2" colorId="64" zoomScale="100" zoomScaleNormal="100" zoomScalePageLayoutView="100" workbookViewId="0">
      <selection pane="topLeft" activeCell="C13" activeCellId="0" sqref="C13"/>
    </sheetView>
  </sheetViews>
  <sheetFormatPr defaultColWidth="8.83203125" defaultRowHeight="12" zeroHeight="false" outlineLevelRow="0" outlineLevelCol="0"/>
  <cols>
    <col collapsed="false" customWidth="true" hidden="false" outlineLevel="0" max="1" min="1" style="1" width="36.54"/>
    <col collapsed="false" customWidth="true" hidden="false" outlineLevel="0" max="2" min="2" style="1" width="10.54"/>
    <col collapsed="false" customWidth="true" hidden="false" outlineLevel="0" max="3" min="3" style="1" width="11.64"/>
    <col collapsed="false" customWidth="true" hidden="false" outlineLevel="0" max="4" min="4" style="2" width="12.64"/>
    <col collapsed="false" customWidth="true" hidden="false" outlineLevel="0" max="5" min="5" style="1" width="18.82"/>
    <col collapsed="false" customWidth="true" hidden="false" outlineLevel="0" max="9" min="6" style="1" width="19.46"/>
    <col collapsed="false" customWidth="true" hidden="false" outlineLevel="0" max="10" min="10" style="1" width="18.82"/>
    <col collapsed="false" customWidth="true" hidden="false" outlineLevel="0" max="11" min="11" style="1" width="15.45"/>
    <col collapsed="false" customWidth="true" hidden="false" outlineLevel="0" max="12" min="12" style="1" width="11.45"/>
    <col collapsed="false" customWidth="true" hidden="false" outlineLevel="0" max="15" min="13" style="1" width="9.82"/>
    <col collapsed="false" customWidth="true" hidden="false" outlineLevel="0" max="16" min="16" style="1" width="10.82"/>
    <col collapsed="false" customWidth="true" hidden="false" outlineLevel="0" max="50" min="17" style="1" width="9.18"/>
    <col collapsed="false" customWidth="false" hidden="false" outlineLevel="0" max="1024" min="51" style="1" width="8.82"/>
  </cols>
  <sheetData>
    <row r="1" s="4" customFormat="true" ht="12.7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4" t="s">
        <v>1</v>
      </c>
      <c r="I1" s="5" t="s">
        <v>2</v>
      </c>
    </row>
    <row r="2" customFormat="false" ht="12.75" hidden="false" customHeight="false" outlineLevel="0" collapsed="false">
      <c r="A2" s="6" t="s">
        <v>3</v>
      </c>
      <c r="B2" s="6" t="s">
        <v>4</v>
      </c>
      <c r="C2" s="1" t="s">
        <v>5</v>
      </c>
      <c r="D2" s="7"/>
      <c r="H2" s="8" t="s">
        <v>6</v>
      </c>
      <c r="I2" s="1" t="s">
        <v>7</v>
      </c>
    </row>
    <row r="3" customFormat="false" ht="12.75" hidden="false" customHeight="false" outlineLevel="0" collapsed="false">
      <c r="B3" s="6"/>
      <c r="C3" s="9"/>
      <c r="D3" s="7"/>
      <c r="E3" s="10"/>
      <c r="F3" s="10"/>
      <c r="G3" s="10"/>
      <c r="H3" s="10"/>
      <c r="I3" s="10"/>
    </row>
    <row r="4" customFormat="false" ht="12.75" hidden="false" customHeight="false" outlineLevel="0" collapsed="false">
      <c r="A4" s="11" t="s">
        <v>8</v>
      </c>
      <c r="B4" s="12" t="s">
        <v>9</v>
      </c>
      <c r="C4" s="12"/>
      <c r="D4" s="12"/>
      <c r="E4" s="13" t="s">
        <v>10</v>
      </c>
      <c r="F4" s="13" t="s">
        <v>11</v>
      </c>
      <c r="G4" s="13" t="s">
        <v>12</v>
      </c>
      <c r="H4" s="13" t="s">
        <v>13</v>
      </c>
      <c r="I4" s="13" t="s">
        <v>14</v>
      </c>
      <c r="J4" s="14" t="s">
        <v>15</v>
      </c>
    </row>
    <row r="5" customFormat="false" ht="12.75" hidden="false" customHeight="false" outlineLevel="0" collapsed="false">
      <c r="A5" s="11"/>
      <c r="B5" s="12"/>
      <c r="C5" s="12"/>
      <c r="D5" s="12"/>
      <c r="E5" s="15" t="s">
        <v>16</v>
      </c>
      <c r="F5" s="15" t="s">
        <v>17</v>
      </c>
      <c r="G5" s="15" t="s">
        <v>18</v>
      </c>
      <c r="H5" s="15" t="s">
        <v>19</v>
      </c>
      <c r="I5" s="15" t="s">
        <v>20</v>
      </c>
      <c r="J5" s="15" t="s">
        <v>21</v>
      </c>
    </row>
    <row r="6" customFormat="false" ht="12.75" hidden="false" customHeight="false" outlineLevel="0" collapsed="false">
      <c r="A6" s="16" t="s">
        <v>22</v>
      </c>
      <c r="B6" s="17"/>
      <c r="C6" s="18"/>
      <c r="D6" s="19"/>
      <c r="E6" s="20"/>
      <c r="F6" s="20"/>
      <c r="G6" s="20"/>
      <c r="H6" s="20"/>
      <c r="I6" s="20"/>
      <c r="J6" s="20"/>
    </row>
    <row r="7" s="26" customFormat="true" ht="12.75" hidden="false" customHeight="false" outlineLevel="0" collapsed="false">
      <c r="A7" s="21" t="s">
        <v>23</v>
      </c>
      <c r="B7" s="22" t="s">
        <v>24</v>
      </c>
      <c r="C7" s="22" t="s">
        <v>25</v>
      </c>
      <c r="D7" s="23" t="s">
        <v>26</v>
      </c>
      <c r="E7" s="24"/>
      <c r="F7" s="24"/>
      <c r="G7" s="24"/>
      <c r="H7" s="24"/>
      <c r="I7" s="24"/>
      <c r="J7" s="25"/>
    </row>
    <row r="8" s="26" customFormat="true" ht="12" hidden="false" customHeight="false" outlineLevel="0" collapsed="false">
      <c r="A8" s="27" t="s">
        <v>27</v>
      </c>
      <c r="B8" s="28"/>
      <c r="C8" s="29"/>
      <c r="D8" s="30"/>
      <c r="E8" s="31"/>
      <c r="F8" s="31"/>
      <c r="G8" s="31"/>
      <c r="H8" s="31"/>
      <c r="I8" s="31"/>
      <c r="J8" s="31"/>
      <c r="K8" s="32"/>
      <c r="L8" s="32"/>
      <c r="M8" s="32"/>
      <c r="N8" s="32"/>
      <c r="O8" s="32"/>
      <c r="P8" s="32"/>
    </row>
    <row r="9" s="26" customFormat="true" ht="12" hidden="false" customHeight="false" outlineLevel="0" collapsed="false">
      <c r="A9" s="27" t="s">
        <v>28</v>
      </c>
      <c r="B9" s="28" t="n">
        <f aca="false">(74460+2700)*1.02</f>
        <v>78703.2</v>
      </c>
      <c r="C9" s="33" t="n">
        <v>2</v>
      </c>
      <c r="D9" s="34" t="n">
        <v>1.02</v>
      </c>
      <c r="E9" s="35" t="n">
        <f aca="false">B9/10*C9</f>
        <v>15740.64</v>
      </c>
      <c r="F9" s="35" t="n">
        <f aca="false">E9*1.02</f>
        <v>16055.4528</v>
      </c>
      <c r="G9" s="35" t="n">
        <f aca="false">F9*1.02</f>
        <v>16376.561856</v>
      </c>
      <c r="H9" s="35" t="n">
        <f aca="false">G9*1.02</f>
        <v>16704.09309312</v>
      </c>
      <c r="I9" s="35" t="n">
        <f aca="false">H9*1.02</f>
        <v>17038.1749549824</v>
      </c>
      <c r="J9" s="35" t="n">
        <f aca="false">SUM(E9:I9)</f>
        <v>81914.9227041024</v>
      </c>
      <c r="K9" s="32"/>
      <c r="L9" s="32"/>
      <c r="M9" s="32"/>
      <c r="N9" s="32"/>
      <c r="O9" s="32"/>
      <c r="P9" s="32"/>
    </row>
    <row r="10" s="26" customFormat="true" ht="12.75" hidden="false" customHeight="false" outlineLevel="0" collapsed="false">
      <c r="A10" s="36" t="s">
        <v>29</v>
      </c>
      <c r="B10" s="37" t="s">
        <v>30</v>
      </c>
      <c r="C10" s="38" t="s">
        <v>31</v>
      </c>
      <c r="D10" s="39" t="s">
        <v>32</v>
      </c>
      <c r="E10" s="40"/>
      <c r="F10" s="40"/>
      <c r="G10" s="40"/>
      <c r="H10" s="40"/>
      <c r="I10" s="40"/>
      <c r="J10" s="40"/>
    </row>
    <row r="11" s="26" customFormat="true" ht="12" hidden="false" customHeight="false" outlineLevel="0" collapsed="false">
      <c r="A11" s="27" t="s">
        <v>33</v>
      </c>
      <c r="B11" s="41" t="n">
        <v>15.5</v>
      </c>
      <c r="C11" s="42" t="n">
        <f aca="false">10*13*2</f>
        <v>260</v>
      </c>
      <c r="D11" s="30" t="n">
        <v>4</v>
      </c>
      <c r="E11" s="43" t="n">
        <f aca="false">B11*C11*D11</f>
        <v>16120</v>
      </c>
      <c r="F11" s="43" t="n">
        <f aca="false">E11*1.02*5/4</f>
        <v>20553</v>
      </c>
      <c r="G11" s="43" t="n">
        <f aca="false">F11*1.02*4/5</f>
        <v>16771.248</v>
      </c>
      <c r="H11" s="43" t="n">
        <f aca="false">G11*1.02*2/4</f>
        <v>8553.33648</v>
      </c>
      <c r="I11" s="43" t="n">
        <f aca="false">H11*1.02*4/2</f>
        <v>17448.8064192</v>
      </c>
      <c r="J11" s="43" t="n">
        <f aca="false">SUM(E11:I11)</f>
        <v>79446.3908992</v>
      </c>
    </row>
    <row r="12" s="26" customFormat="true" ht="12" hidden="false" customHeight="false" outlineLevel="0" collapsed="false">
      <c r="A12" s="27" t="s">
        <v>34</v>
      </c>
      <c r="B12" s="41" t="n">
        <v>15.5</v>
      </c>
      <c r="C12" s="42" t="n">
        <f aca="false">18*10</f>
        <v>180</v>
      </c>
      <c r="D12" s="30" t="n">
        <v>3</v>
      </c>
      <c r="E12" s="43" t="n">
        <f aca="false">B12*C12*D12</f>
        <v>8370</v>
      </c>
      <c r="F12" s="43" t="n">
        <f aca="false">E12*1.02*1/3</f>
        <v>2845.8</v>
      </c>
      <c r="G12" s="43" t="n">
        <f aca="false">F12*1.02*3</f>
        <v>8708.148</v>
      </c>
      <c r="H12" s="43" t="n">
        <f aca="false">G12*1.02*2/3</f>
        <v>5921.54064</v>
      </c>
      <c r="I12" s="43" t="n">
        <f aca="false">H12*1.02</f>
        <v>6039.9714528</v>
      </c>
      <c r="J12" s="43" t="n">
        <f aca="false">SUM(E12:I12)</f>
        <v>31885.4600928</v>
      </c>
    </row>
    <row r="13" s="26" customFormat="true" ht="12" hidden="false" customHeight="false" outlineLevel="0" collapsed="false">
      <c r="A13" s="27" t="s">
        <v>35</v>
      </c>
      <c r="B13" s="44" t="n">
        <v>25</v>
      </c>
      <c r="C13" s="42" t="n">
        <f aca="false">18*10</f>
        <v>180</v>
      </c>
      <c r="D13" s="30" t="n">
        <v>2</v>
      </c>
      <c r="E13" s="35" t="n">
        <f aca="false">B13*C13*D13</f>
        <v>9000</v>
      </c>
      <c r="F13" s="35" t="n">
        <f aca="false">E13*1.02</f>
        <v>9180</v>
      </c>
      <c r="G13" s="35" t="n">
        <f aca="false">F13*1.02</f>
        <v>9363.6</v>
      </c>
      <c r="H13" s="35" t="n">
        <f aca="false">G13*1.02</f>
        <v>9550.872</v>
      </c>
      <c r="I13" s="35" t="n">
        <f aca="false">H13*1.02</f>
        <v>9741.88944</v>
      </c>
      <c r="J13" s="35" t="n">
        <f aca="false">SUM(E13:I13)</f>
        <v>46836.36144</v>
      </c>
    </row>
    <row r="14" s="26" customFormat="true" ht="12" hidden="false" customHeight="false" outlineLevel="0" collapsed="false">
      <c r="A14" s="27"/>
      <c r="B14" s="44"/>
      <c r="C14" s="42"/>
      <c r="D14" s="30"/>
      <c r="E14" s="35" t="n">
        <f aca="false">B14*C14*D14</f>
        <v>0</v>
      </c>
      <c r="F14" s="35" t="n">
        <f aca="false">E14*1.02</f>
        <v>0</v>
      </c>
      <c r="G14" s="35" t="n">
        <f aca="false">F14*1.02</f>
        <v>0</v>
      </c>
      <c r="H14" s="35" t="n">
        <f aca="false">G14*1.02</f>
        <v>0</v>
      </c>
      <c r="I14" s="35" t="n">
        <f aca="false">H14*1.02</f>
        <v>0</v>
      </c>
      <c r="J14" s="35" t="n">
        <f aca="false">SUM(E14:I14)</f>
        <v>0</v>
      </c>
    </row>
    <row r="15" customFormat="false" ht="12.75" hidden="false" customHeight="false" outlineLevel="0" collapsed="false">
      <c r="A15" s="45" t="s">
        <v>36</v>
      </c>
      <c r="B15" s="46"/>
      <c r="C15" s="46"/>
      <c r="D15" s="47"/>
      <c r="E15" s="48" t="n">
        <f aca="false">SUM(E8:E14)</f>
        <v>49230.64</v>
      </c>
      <c r="F15" s="48" t="n">
        <f aca="false">SUM(F8:F14)</f>
        <v>48634.2528</v>
      </c>
      <c r="G15" s="48" t="n">
        <f aca="false">SUM(G8:G14)</f>
        <v>51219.557856</v>
      </c>
      <c r="H15" s="48" t="n">
        <f aca="false">SUM(H8:H14)</f>
        <v>40729.84221312</v>
      </c>
      <c r="I15" s="48" t="n">
        <f aca="false">SUM(I8:I14)</f>
        <v>50268.8422669824</v>
      </c>
      <c r="J15" s="48" t="n">
        <f aca="false">SUM(J8:J14)</f>
        <v>240083.135136102</v>
      </c>
      <c r="K15" s="49"/>
      <c r="L15" s="49"/>
      <c r="M15" s="49"/>
      <c r="N15" s="49"/>
      <c r="O15" s="49"/>
      <c r="P15" s="49"/>
    </row>
    <row r="16" s="5" customFormat="true" ht="12.75" hidden="false" customHeight="true" outlineLevel="0" collapsed="false">
      <c r="A16" s="50" t="s">
        <v>37</v>
      </c>
      <c r="B16" s="51" t="s">
        <v>38</v>
      </c>
      <c r="C16" s="51" t="s">
        <v>39</v>
      </c>
      <c r="D16" s="51" t="s">
        <v>40</v>
      </c>
      <c r="E16" s="52"/>
      <c r="F16" s="52"/>
      <c r="G16" s="52"/>
      <c r="H16" s="52"/>
      <c r="I16" s="52"/>
      <c r="J16" s="52"/>
    </row>
    <row r="17" customFormat="false" ht="12" hidden="false" customHeight="false" outlineLevel="0" collapsed="false">
      <c r="A17" s="27" t="str">
        <f aca="false">A8</f>
        <v>PI AY Release</v>
      </c>
      <c r="B17" s="29" t="n">
        <v>0.32</v>
      </c>
      <c r="C17" s="53"/>
      <c r="D17" s="53"/>
      <c r="E17" s="35"/>
      <c r="F17" s="35"/>
      <c r="G17" s="35"/>
      <c r="H17" s="35"/>
      <c r="I17" s="35"/>
      <c r="J17" s="35"/>
    </row>
    <row r="18" customFormat="false" ht="12" hidden="false" customHeight="false" outlineLevel="0" collapsed="false">
      <c r="A18" s="27" t="str">
        <f aca="false">A9</f>
        <v>PI Summer Salary</v>
      </c>
      <c r="B18" s="54"/>
      <c r="C18" s="53"/>
      <c r="D18" s="53" t="n">
        <v>0.0849</v>
      </c>
      <c r="E18" s="35" t="n">
        <f aca="false">$D$18*E9</f>
        <v>1336.380336</v>
      </c>
      <c r="F18" s="35" t="n">
        <f aca="false">$D$18*F9</f>
        <v>1363.10794272</v>
      </c>
      <c r="G18" s="35" t="n">
        <f aca="false">$D$18*G9</f>
        <v>1390.3701015744</v>
      </c>
      <c r="H18" s="35" t="n">
        <f aca="false">$D$18*H9</f>
        <v>1418.17750360589</v>
      </c>
      <c r="I18" s="35" t="n">
        <f aca="false">$D$18*I9</f>
        <v>1446.54105367801</v>
      </c>
      <c r="J18" s="35" t="n">
        <f aca="false">SUM(E18:I18)</f>
        <v>6954.57693757829</v>
      </c>
      <c r="K18" s="55"/>
    </row>
    <row r="19" customFormat="false" ht="12" hidden="false" customHeight="false" outlineLevel="0" collapsed="false">
      <c r="A19" s="27" t="s">
        <v>41</v>
      </c>
      <c r="B19" s="53" t="n">
        <v>0.003334</v>
      </c>
      <c r="C19" s="53"/>
      <c r="E19" s="35" t="n">
        <f aca="false">$B$19*E11</f>
        <v>53.74408</v>
      </c>
      <c r="F19" s="35" t="n">
        <f aca="false">$B$19*F11</f>
        <v>68.523702</v>
      </c>
      <c r="G19" s="35" t="n">
        <f aca="false">$B$19*G11</f>
        <v>55.915340832</v>
      </c>
      <c r="H19" s="35" t="n">
        <f aca="false">$B$19*H11</f>
        <v>28.51682382432</v>
      </c>
      <c r="I19" s="35" t="n">
        <f aca="false">$B$19*I11</f>
        <v>58.1743206016128</v>
      </c>
      <c r="J19" s="35" t="n">
        <f aca="false">SUM(E19:I19)</f>
        <v>264.874267257933</v>
      </c>
    </row>
    <row r="20" customFormat="false" ht="12" hidden="false" customHeight="false" outlineLevel="0" collapsed="false">
      <c r="A20" s="27" t="s">
        <v>42</v>
      </c>
      <c r="B20" s="54"/>
      <c r="C20" s="53"/>
      <c r="D20" s="53" t="n">
        <v>0.0798</v>
      </c>
      <c r="E20" s="35" t="n">
        <f aca="false">E12*$D$20</f>
        <v>667.926</v>
      </c>
      <c r="F20" s="35" t="n">
        <f aca="false">F12*$D$20</f>
        <v>227.09484</v>
      </c>
      <c r="G20" s="35" t="n">
        <f aca="false">G12*$D$20</f>
        <v>694.9102104</v>
      </c>
      <c r="H20" s="35" t="n">
        <f aca="false">H12*$D$20</f>
        <v>472.538943072</v>
      </c>
      <c r="I20" s="35" t="n">
        <f aca="false">I12*$D$20</f>
        <v>481.98972193344</v>
      </c>
      <c r="J20" s="35" t="n">
        <f aca="false">SUM(E20:I20)</f>
        <v>2544.45971540544</v>
      </c>
      <c r="K20" s="55"/>
    </row>
    <row r="21" customFormat="false" ht="12.75" hidden="false" customHeight="false" outlineLevel="0" collapsed="false">
      <c r="A21" s="45" t="s">
        <v>43</v>
      </c>
      <c r="B21" s="46"/>
      <c r="C21" s="46"/>
      <c r="D21" s="47"/>
      <c r="E21" s="56" t="n">
        <f aca="false">SUM(E17:E20)</f>
        <v>2058.050416</v>
      </c>
      <c r="F21" s="56" t="n">
        <f aca="false">SUM(F17:F20)</f>
        <v>1658.72648472</v>
      </c>
      <c r="G21" s="56" t="n">
        <f aca="false">SUM(G17:G20)</f>
        <v>2141.1956528064</v>
      </c>
      <c r="H21" s="56" t="n">
        <f aca="false">SUM(H17:H20)</f>
        <v>1919.23327050221</v>
      </c>
      <c r="I21" s="56" t="n">
        <f aca="false">SUM(I17:I20)</f>
        <v>1986.70509621306</v>
      </c>
      <c r="J21" s="56" t="n">
        <f aca="false">SUM(J17:J20)</f>
        <v>9763.91092024166</v>
      </c>
    </row>
    <row r="22" customFormat="false" ht="12.75" hidden="false" customHeight="false" outlineLevel="0" collapsed="false">
      <c r="A22" s="57"/>
      <c r="B22" s="8"/>
      <c r="C22" s="8"/>
      <c r="D22" s="58"/>
      <c r="E22" s="59"/>
      <c r="F22" s="59"/>
      <c r="G22" s="59"/>
      <c r="H22" s="59"/>
      <c r="I22" s="59"/>
      <c r="J22" s="59"/>
    </row>
    <row r="23" customFormat="false" ht="12.75" hidden="false" customHeight="false" outlineLevel="0" collapsed="false">
      <c r="A23" s="60" t="s">
        <v>44</v>
      </c>
      <c r="B23" s="46"/>
      <c r="C23" s="46"/>
      <c r="D23" s="47"/>
      <c r="E23" s="48" t="n">
        <f aca="false">E15+E21</f>
        <v>51288.690416</v>
      </c>
      <c r="F23" s="48" t="n">
        <f aca="false">F15+F21</f>
        <v>50292.97928472</v>
      </c>
      <c r="G23" s="48" t="n">
        <f aca="false">G15+G21</f>
        <v>53360.7535088064</v>
      </c>
      <c r="H23" s="48" t="n">
        <f aca="false">H15+H21</f>
        <v>42649.0754836222</v>
      </c>
      <c r="I23" s="48" t="n">
        <f aca="false">I15+I21</f>
        <v>52255.5473631955</v>
      </c>
      <c r="J23" s="48" t="n">
        <f aca="false">J15+J21</f>
        <v>249847.046056344</v>
      </c>
    </row>
    <row r="24" customFormat="false" ht="12.75" hidden="false" customHeight="false" outlineLevel="0" collapsed="false">
      <c r="A24" s="16" t="s">
        <v>45</v>
      </c>
      <c r="B24" s="61"/>
      <c r="C24" s="61"/>
      <c r="D24" s="62"/>
      <c r="E24" s="63"/>
      <c r="F24" s="63"/>
      <c r="G24" s="63"/>
      <c r="H24" s="63"/>
      <c r="I24" s="63"/>
      <c r="J24" s="35"/>
    </row>
    <row r="25" customFormat="false" ht="12.75" hidden="false" customHeight="false" outlineLevel="0" collapsed="false">
      <c r="A25" s="36" t="s">
        <v>46</v>
      </c>
      <c r="B25" s="64" t="s">
        <v>47</v>
      </c>
      <c r="C25" s="64"/>
      <c r="D25" s="39" t="s">
        <v>48</v>
      </c>
      <c r="E25" s="65"/>
      <c r="F25" s="65"/>
      <c r="G25" s="65"/>
      <c r="H25" s="65"/>
      <c r="I25" s="65"/>
      <c r="J25" s="65"/>
    </row>
    <row r="26" customFormat="false" ht="12.8" hidden="false" customHeight="false" outlineLevel="0" collapsed="false">
      <c r="A26" s="27" t="s">
        <v>49</v>
      </c>
      <c r="B26" s="32" t="n">
        <v>30000</v>
      </c>
      <c r="C26" s="26"/>
      <c r="D26" s="66" t="n">
        <v>1</v>
      </c>
      <c r="E26" s="67" t="n">
        <f aca="false">B26*D26</f>
        <v>30000</v>
      </c>
      <c r="F26" s="67" t="n">
        <v>0</v>
      </c>
      <c r="G26" s="67" t="n">
        <v>0</v>
      </c>
      <c r="H26" s="67" t="n">
        <v>0</v>
      </c>
      <c r="I26" s="67" t="n">
        <v>0</v>
      </c>
      <c r="J26" s="35" t="n">
        <f aca="false">SUM(E26:I26)</f>
        <v>30000</v>
      </c>
    </row>
    <row r="27" customFormat="false" ht="12" hidden="false" customHeight="false" outlineLevel="0" collapsed="false">
      <c r="A27" s="27" t="s">
        <v>50</v>
      </c>
      <c r="B27" s="32" t="n">
        <v>30000</v>
      </c>
      <c r="C27" s="26"/>
      <c r="D27" s="66" t="n">
        <v>1</v>
      </c>
      <c r="E27" s="67" t="n">
        <f aca="false">B27*D27</f>
        <v>30000</v>
      </c>
      <c r="F27" s="67" t="n">
        <v>0</v>
      </c>
      <c r="G27" s="67" t="n">
        <v>0</v>
      </c>
      <c r="H27" s="67" t="n">
        <v>0</v>
      </c>
      <c r="I27" s="67" t="n">
        <v>0</v>
      </c>
      <c r="J27" s="35" t="n">
        <f aca="false">SUM(E27:I27)</f>
        <v>30000</v>
      </c>
    </row>
    <row r="28" customFormat="false" ht="12.75" hidden="false" customHeight="false" outlineLevel="0" collapsed="false">
      <c r="A28" s="68" t="s">
        <v>51</v>
      </c>
      <c r="B28" s="69"/>
      <c r="C28" s="69"/>
      <c r="D28" s="70"/>
      <c r="E28" s="71" t="n">
        <f aca="false">SUM(E26:E27)</f>
        <v>60000</v>
      </c>
      <c r="F28" s="71" t="n">
        <f aca="false">SUM(F26:F27)</f>
        <v>0</v>
      </c>
      <c r="G28" s="71" t="n">
        <f aca="false">SUM(G26:G27)</f>
        <v>0</v>
      </c>
      <c r="H28" s="71" t="n">
        <f aca="false">SUM(H26:H27)</f>
        <v>0</v>
      </c>
      <c r="I28" s="71" t="n">
        <f aca="false">SUM(I26:I27)</f>
        <v>0</v>
      </c>
      <c r="J28" s="71" t="n">
        <f aca="false">SUM(J26:J27)</f>
        <v>60000</v>
      </c>
    </row>
    <row r="29" s="1" customFormat="true" ht="12" hidden="false" customHeight="false" outlineLevel="0" collapsed="false"/>
    <row r="30" customFormat="false" ht="12.75" hidden="false" customHeight="false" outlineLevel="0" collapsed="false">
      <c r="A30" s="36" t="s">
        <v>52</v>
      </c>
      <c r="B30" s="64" t="s">
        <v>53</v>
      </c>
      <c r="C30" s="64" t="s">
        <v>54</v>
      </c>
      <c r="D30" s="39" t="s">
        <v>55</v>
      </c>
      <c r="E30" s="72"/>
      <c r="F30" s="72"/>
      <c r="G30" s="72"/>
      <c r="H30" s="72"/>
      <c r="I30" s="72"/>
      <c r="J30" s="65"/>
    </row>
    <row r="31" customFormat="false" ht="12" hidden="false" customHeight="false" outlineLevel="0" collapsed="false">
      <c r="A31" s="27" t="s">
        <v>56</v>
      </c>
      <c r="B31" s="73" t="n">
        <v>0</v>
      </c>
      <c r="C31" s="74" t="s">
        <v>57</v>
      </c>
      <c r="D31" s="30" t="n">
        <v>0</v>
      </c>
      <c r="E31" s="67" t="n">
        <v>0</v>
      </c>
      <c r="F31" s="67" t="n">
        <f aca="false">1.02*E31</f>
        <v>0</v>
      </c>
      <c r="G31" s="67" t="n">
        <f aca="false">1.02*F31</f>
        <v>0</v>
      </c>
      <c r="H31" s="67" t="n">
        <f aca="false">1.02*G31</f>
        <v>0</v>
      </c>
      <c r="I31" s="67" t="n">
        <f aca="false">B31*D31</f>
        <v>0</v>
      </c>
      <c r="J31" s="35" t="n">
        <f aca="false">SUM(E31:I31)</f>
        <v>0</v>
      </c>
    </row>
    <row r="32" customFormat="false" ht="12" hidden="false" customHeight="false" outlineLevel="0" collapsed="false">
      <c r="A32" s="27" t="s">
        <v>58</v>
      </c>
      <c r="B32" s="73" t="n">
        <v>0</v>
      </c>
      <c r="C32" s="74" t="s">
        <v>57</v>
      </c>
      <c r="D32" s="30" t="n">
        <v>0</v>
      </c>
      <c r="E32" s="67" t="n">
        <v>0</v>
      </c>
      <c r="F32" s="67" t="n">
        <f aca="false">1.02*E32</f>
        <v>0</v>
      </c>
      <c r="G32" s="67" t="n">
        <f aca="false">1.02*F32</f>
        <v>0</v>
      </c>
      <c r="H32" s="67" t="n">
        <f aca="false">1.02*G32</f>
        <v>0</v>
      </c>
      <c r="I32" s="67" t="n">
        <f aca="false">B32*D32</f>
        <v>0</v>
      </c>
      <c r="J32" s="35" t="n">
        <f aca="false">SUM(E32:I32)</f>
        <v>0</v>
      </c>
    </row>
    <row r="33" customFormat="false" ht="12" hidden="false" customHeight="false" outlineLevel="0" collapsed="false">
      <c r="A33" s="27" t="s">
        <v>59</v>
      </c>
      <c r="B33" s="73" t="n">
        <f aca="false">250</f>
        <v>250</v>
      </c>
      <c r="C33" s="74" t="s">
        <v>60</v>
      </c>
      <c r="D33" s="30" t="n">
        <v>5</v>
      </c>
      <c r="E33" s="67" t="n">
        <v>0</v>
      </c>
      <c r="F33" s="67" t="n">
        <f aca="false">B33*C33*D33</f>
        <v>1250</v>
      </c>
      <c r="G33" s="67" t="n">
        <f aca="false">1.02*F33</f>
        <v>1275</v>
      </c>
      <c r="H33" s="67" t="n">
        <f aca="false">1.02*G33</f>
        <v>1300.5</v>
      </c>
      <c r="I33" s="67" t="n">
        <f aca="false">1.02*H33</f>
        <v>1326.51</v>
      </c>
      <c r="J33" s="35" t="n">
        <f aca="false">SUM(E33:I33)</f>
        <v>5152.01</v>
      </c>
    </row>
    <row r="34" customFormat="false" ht="12" hidden="false" customHeight="false" outlineLevel="0" collapsed="false">
      <c r="A34" s="27" t="s">
        <v>61</v>
      </c>
      <c r="B34" s="73" t="n">
        <v>400</v>
      </c>
      <c r="C34" s="74" t="s">
        <v>60</v>
      </c>
      <c r="D34" s="30" t="n">
        <v>1</v>
      </c>
      <c r="E34" s="67" t="n">
        <v>0</v>
      </c>
      <c r="F34" s="67" t="n">
        <f aca="false">B34*C34*D34</f>
        <v>400</v>
      </c>
      <c r="G34" s="67" t="n">
        <f aca="false">1.02*F34</f>
        <v>408</v>
      </c>
      <c r="H34" s="67" t="n">
        <f aca="false">1.02*G34</f>
        <v>416.16</v>
      </c>
      <c r="I34" s="67" t="n">
        <f aca="false">1.02*H34</f>
        <v>424.4832</v>
      </c>
      <c r="J34" s="35" t="n">
        <f aca="false">SUM(E34:I34)</f>
        <v>1648.6432</v>
      </c>
    </row>
    <row r="35" customFormat="false" ht="12" hidden="false" customHeight="false" outlineLevel="0" collapsed="false">
      <c r="A35" s="27" t="s">
        <v>62</v>
      </c>
      <c r="B35" s="73" t="n">
        <v>50</v>
      </c>
      <c r="C35" s="74" t="s">
        <v>60</v>
      </c>
      <c r="D35" s="30" t="n">
        <v>5</v>
      </c>
      <c r="E35" s="67" t="n">
        <f aca="false">0</f>
        <v>0</v>
      </c>
      <c r="F35" s="67" t="n">
        <f aca="false">B35*C35*D35</f>
        <v>250</v>
      </c>
      <c r="G35" s="67" t="n">
        <f aca="false">F35*1.02</f>
        <v>255</v>
      </c>
      <c r="H35" s="67" t="n">
        <f aca="false">G35*1.02</f>
        <v>260.1</v>
      </c>
      <c r="I35" s="67" t="n">
        <f aca="false">H35*1.02</f>
        <v>265.302</v>
      </c>
      <c r="J35" s="35" t="n">
        <f aca="false">SUM(E35:I35)</f>
        <v>1030.402</v>
      </c>
    </row>
    <row r="36" customFormat="false" ht="12" hidden="false" customHeight="false" outlineLevel="0" collapsed="false">
      <c r="A36" s="75" t="s">
        <v>63</v>
      </c>
      <c r="B36" s="76" t="n">
        <v>500</v>
      </c>
      <c r="C36" s="74" t="s">
        <v>60</v>
      </c>
      <c r="D36" s="77" t="n">
        <v>1</v>
      </c>
      <c r="E36" s="67" t="n">
        <f aca="false">0</f>
        <v>0</v>
      </c>
      <c r="F36" s="67" t="n">
        <f aca="false">B36*C36*D36</f>
        <v>500</v>
      </c>
      <c r="G36" s="67" t="n">
        <f aca="false">F36*1.02</f>
        <v>510</v>
      </c>
      <c r="H36" s="67" t="n">
        <f aca="false">G36*1.02</f>
        <v>520.2</v>
      </c>
      <c r="I36" s="67" t="n">
        <f aca="false">H36*1.02</f>
        <v>530.604</v>
      </c>
      <c r="J36" s="35" t="n">
        <f aca="false">SUM(E36:I36)</f>
        <v>2060.804</v>
      </c>
      <c r="L36" s="55"/>
    </row>
    <row r="37" s="8" customFormat="true" ht="12.75" hidden="false" customHeight="false" outlineLevel="0" collapsed="false">
      <c r="A37" s="68" t="s">
        <v>64</v>
      </c>
      <c r="B37" s="69"/>
      <c r="C37" s="78"/>
      <c r="D37" s="79"/>
      <c r="E37" s="48" t="n">
        <f aca="false">SUM(E31:E36)</f>
        <v>0</v>
      </c>
      <c r="F37" s="48" t="n">
        <f aca="false">SUM(F31:F36)</f>
        <v>2400</v>
      </c>
      <c r="G37" s="48" t="n">
        <f aca="false">SUM(G31:G36)</f>
        <v>2448</v>
      </c>
      <c r="H37" s="48" t="n">
        <f aca="false">SUM(H31:H36)</f>
        <v>2496.96</v>
      </c>
      <c r="I37" s="48" t="n">
        <f aca="false">SUM(I31:I36)</f>
        <v>2546.8992</v>
      </c>
      <c r="J37" s="48" t="n">
        <f aca="false">SUM(J31:J36)</f>
        <v>9891.8592</v>
      </c>
    </row>
    <row r="38" customFormat="false" ht="12" hidden="false" customHeight="false" outlineLevel="0" collapsed="false">
      <c r="A38" s="80"/>
      <c r="B38" s="76"/>
      <c r="C38" s="74"/>
      <c r="D38" s="81"/>
      <c r="E38" s="67"/>
      <c r="F38" s="67"/>
      <c r="G38" s="67"/>
      <c r="H38" s="67"/>
      <c r="I38" s="67"/>
      <c r="J38" s="67"/>
    </row>
    <row r="39" customFormat="false" ht="12.75" hidden="false" customHeight="false" outlineLevel="0" collapsed="false">
      <c r="A39" s="82" t="s">
        <v>65</v>
      </c>
      <c r="B39" s="83"/>
      <c r="C39" s="84"/>
      <c r="D39" s="85"/>
      <c r="E39" s="65"/>
      <c r="F39" s="65"/>
      <c r="G39" s="65"/>
      <c r="H39" s="65"/>
      <c r="I39" s="65"/>
      <c r="J39" s="65"/>
    </row>
    <row r="40" customFormat="false" ht="12" hidden="false" customHeight="false" outlineLevel="0" collapsed="false">
      <c r="A40" s="75"/>
      <c r="B40" s="76"/>
      <c r="C40" s="74"/>
      <c r="D40" s="81"/>
      <c r="E40" s="67"/>
      <c r="F40" s="67"/>
      <c r="G40" s="67"/>
      <c r="H40" s="67"/>
      <c r="I40" s="67"/>
      <c r="J40" s="67"/>
    </row>
    <row r="41" customFormat="false" ht="12.75" hidden="false" customHeight="false" outlineLevel="0" collapsed="false">
      <c r="A41" s="36" t="s">
        <v>66</v>
      </c>
      <c r="B41" s="64" t="s">
        <v>30</v>
      </c>
      <c r="C41" s="64" t="s">
        <v>48</v>
      </c>
      <c r="D41" s="39" t="s">
        <v>67</v>
      </c>
      <c r="E41" s="65"/>
      <c r="F41" s="65"/>
      <c r="G41" s="65"/>
      <c r="H41" s="65"/>
      <c r="I41" s="65"/>
      <c r="J41" s="65"/>
    </row>
    <row r="42" customFormat="false" ht="12" hidden="false" customHeight="false" outlineLevel="0" collapsed="false">
      <c r="A42" s="27" t="s">
        <v>68</v>
      </c>
      <c r="B42" s="26" t="n">
        <v>1200</v>
      </c>
      <c r="C42" s="73" t="s">
        <v>69</v>
      </c>
      <c r="D42" s="73" t="s">
        <v>69</v>
      </c>
      <c r="E42" s="67" t="n">
        <f aca="false">1*B42</f>
        <v>1200</v>
      </c>
      <c r="F42" s="67" t="n">
        <f aca="false">2*B42*1.02</f>
        <v>2448</v>
      </c>
      <c r="G42" s="67" t="n">
        <f aca="false">4*B42*1.04</f>
        <v>4992</v>
      </c>
      <c r="H42" s="67" t="n">
        <f aca="false">2*B42*1.06</f>
        <v>2544</v>
      </c>
      <c r="I42" s="67" t="n">
        <f aca="false">1*B42*1.08</f>
        <v>1296</v>
      </c>
      <c r="J42" s="67" t="n">
        <f aca="false">SUM(E42:I42)</f>
        <v>12480</v>
      </c>
      <c r="K42" s="55"/>
    </row>
    <row r="43" customFormat="false" ht="12" hidden="false" customHeight="false" outlineLevel="0" collapsed="false">
      <c r="A43" s="27" t="s">
        <v>70</v>
      </c>
      <c r="B43" s="26" t="n">
        <v>194</v>
      </c>
      <c r="C43" s="73" t="n">
        <v>50</v>
      </c>
      <c r="D43" s="30" t="s">
        <v>69</v>
      </c>
      <c r="E43" s="67" t="n">
        <f aca="false">5*B43</f>
        <v>970</v>
      </c>
      <c r="F43" s="67" t="n">
        <f aca="false">10*B43*1.02</f>
        <v>1978.8</v>
      </c>
      <c r="G43" s="67" t="n">
        <f aca="false">20*B43*1.04</f>
        <v>4035.2</v>
      </c>
      <c r="H43" s="67" t="n">
        <f aca="false">15*B43*1.06</f>
        <v>3084.6</v>
      </c>
      <c r="I43" s="67" t="n">
        <v>0</v>
      </c>
      <c r="J43" s="67" t="n">
        <f aca="false">SUM(E43:I43)</f>
        <v>10068.6</v>
      </c>
      <c r="K43" s="55"/>
    </row>
    <row r="44" customFormat="false" ht="12" hidden="false" customHeight="false" outlineLevel="0" collapsed="false">
      <c r="A44" s="27" t="s">
        <v>71</v>
      </c>
      <c r="B44" s="26" t="n">
        <v>500</v>
      </c>
      <c r="C44" s="73" t="s">
        <v>69</v>
      </c>
      <c r="D44" s="73" t="n">
        <v>1</v>
      </c>
      <c r="E44" s="67" t="n">
        <f aca="false">B44</f>
        <v>500</v>
      </c>
      <c r="F44" s="67" t="n">
        <f aca="false">B44*1.02</f>
        <v>510</v>
      </c>
      <c r="G44" s="67" t="n">
        <f aca="false">B44*1.04</f>
        <v>520</v>
      </c>
      <c r="H44" s="67" t="n">
        <f aca="false">B44*1.06</f>
        <v>530</v>
      </c>
      <c r="I44" s="67" t="n">
        <f aca="false">B44*1.08</f>
        <v>540</v>
      </c>
      <c r="J44" s="67" t="n">
        <f aca="false">SUM(E44:I44)</f>
        <v>2600</v>
      </c>
      <c r="K44" s="55"/>
    </row>
    <row r="45" customFormat="false" ht="12" hidden="false" customHeight="false" outlineLevel="0" collapsed="false">
      <c r="A45" s="27" t="s">
        <v>72</v>
      </c>
      <c r="B45" s="32" t="n">
        <v>1740</v>
      </c>
      <c r="C45" s="26"/>
      <c r="D45" s="66" t="n">
        <v>8</v>
      </c>
      <c r="E45" s="67" t="n">
        <f aca="false">0</f>
        <v>0</v>
      </c>
      <c r="F45" s="67" t="n">
        <f aca="false">B45*D45</f>
        <v>13920</v>
      </c>
      <c r="G45" s="67" t="n">
        <v>0</v>
      </c>
      <c r="H45" s="67" t="n">
        <v>0</v>
      </c>
      <c r="I45" s="67" t="n">
        <v>0</v>
      </c>
      <c r="J45" s="35" t="n">
        <f aca="false">SUM(E45:I45)</f>
        <v>13920</v>
      </c>
    </row>
    <row r="46" customFormat="false" ht="12" hidden="false" customHeight="false" outlineLevel="0" collapsed="false">
      <c r="A46" s="27" t="s">
        <v>73</v>
      </c>
      <c r="B46" s="26" t="n">
        <v>500</v>
      </c>
      <c r="C46" s="73" t="n">
        <v>4</v>
      </c>
      <c r="D46" s="73"/>
      <c r="E46" s="67" t="n">
        <v>0</v>
      </c>
      <c r="F46" s="67" t="n">
        <v>0</v>
      </c>
      <c r="G46" s="67" t="n">
        <v>2000</v>
      </c>
      <c r="H46" s="67" t="n">
        <v>0</v>
      </c>
      <c r="I46" s="67" t="n">
        <v>0</v>
      </c>
      <c r="J46" s="43" t="n">
        <f aca="false">SUM(E46:I46)</f>
        <v>2000</v>
      </c>
      <c r="K46" s="55"/>
    </row>
    <row r="47" customFormat="false" ht="12" hidden="false" customHeight="false" outlineLevel="0" collapsed="false">
      <c r="A47" s="27" t="s">
        <v>74</v>
      </c>
      <c r="B47" s="26" t="n">
        <v>1000</v>
      </c>
      <c r="C47" s="73"/>
      <c r="D47" s="73"/>
      <c r="E47" s="67" t="n">
        <v>0</v>
      </c>
      <c r="F47" s="67" t="n">
        <v>0</v>
      </c>
      <c r="G47" s="86" t="n">
        <v>1000</v>
      </c>
      <c r="H47" s="86" t="n">
        <v>1000</v>
      </c>
      <c r="I47" s="86" t="n">
        <v>1000</v>
      </c>
      <c r="J47" s="35" t="n">
        <f aca="false">SUM(E47:I47)</f>
        <v>3000</v>
      </c>
      <c r="K47" s="55"/>
    </row>
    <row r="48" customFormat="false" ht="12" hidden="false" customHeight="false" outlineLevel="0" collapsed="false">
      <c r="A48" s="27" t="s">
        <v>75</v>
      </c>
      <c r="B48" s="26" t="n">
        <v>2500</v>
      </c>
      <c r="C48" s="73" t="n">
        <v>2</v>
      </c>
      <c r="D48" s="73" t="s">
        <v>69</v>
      </c>
      <c r="E48" s="67" t="n">
        <v>0</v>
      </c>
      <c r="F48" s="67" t="n">
        <f aca="false">B48</f>
        <v>2500</v>
      </c>
      <c r="G48" s="67" t="n">
        <f aca="false">B48</f>
        <v>2500</v>
      </c>
      <c r="H48" s="86" t="n">
        <v>1000</v>
      </c>
      <c r="I48" s="67" t="n">
        <f aca="false">0</f>
        <v>0</v>
      </c>
      <c r="J48" s="67" t="n">
        <f aca="false">SUM(E48:I48)</f>
        <v>6000</v>
      </c>
      <c r="K48" s="55"/>
    </row>
    <row r="49" customFormat="false" ht="12" hidden="false" customHeight="false" outlineLevel="0" collapsed="false">
      <c r="A49" s="27" t="s">
        <v>76</v>
      </c>
      <c r="B49" s="26" t="n">
        <v>500</v>
      </c>
      <c r="C49" s="73" t="n">
        <v>1</v>
      </c>
      <c r="D49" s="73" t="n">
        <v>1</v>
      </c>
      <c r="E49" s="67" t="n">
        <v>500</v>
      </c>
      <c r="F49" s="67" t="n">
        <v>500</v>
      </c>
      <c r="G49" s="67" t="n">
        <v>500</v>
      </c>
      <c r="H49" s="67" t="n">
        <v>500</v>
      </c>
      <c r="I49" s="67" t="n">
        <v>500</v>
      </c>
      <c r="J49" s="67" t="n">
        <f aca="false">SUM(E49:I49)</f>
        <v>2500</v>
      </c>
      <c r="K49" s="55"/>
    </row>
    <row r="50" customFormat="false" ht="12" hidden="false" customHeight="false" outlineLevel="0" collapsed="false">
      <c r="A50" s="27" t="s">
        <v>77</v>
      </c>
      <c r="B50" s="26" t="n">
        <f aca="false">500+(2*250)+(3*74)+100</f>
        <v>1322</v>
      </c>
      <c r="C50" s="73" t="n">
        <v>1</v>
      </c>
      <c r="D50" s="73" t="n">
        <v>1</v>
      </c>
      <c r="E50" s="67" t="n">
        <f aca="false">B50*C50*D50</f>
        <v>1322</v>
      </c>
      <c r="F50" s="67" t="n">
        <f aca="false">E50*1.02</f>
        <v>1348.44</v>
      </c>
      <c r="G50" s="67" t="n">
        <f aca="false">F50*1.02</f>
        <v>1375.4088</v>
      </c>
      <c r="H50" s="67" t="n">
        <f aca="false">G50*1.02</f>
        <v>1402.916976</v>
      </c>
      <c r="I50" s="67" t="n">
        <f aca="false">H50*1.02</f>
        <v>1430.97531552</v>
      </c>
      <c r="J50" s="67" t="n">
        <f aca="false">SUM(E50:I50)</f>
        <v>6879.74109152</v>
      </c>
      <c r="K50" s="55"/>
    </row>
    <row r="51" customFormat="false" ht="12.75" hidden="false" customHeight="false" outlineLevel="0" collapsed="false">
      <c r="A51" s="45" t="s">
        <v>78</v>
      </c>
      <c r="B51" s="46"/>
      <c r="C51" s="46"/>
      <c r="D51" s="47"/>
      <c r="E51" s="48" t="n">
        <f aca="false">SUM(E42:E50)</f>
        <v>4492</v>
      </c>
      <c r="F51" s="48" t="n">
        <f aca="false">SUM(F42:F50)</f>
        <v>23205.24</v>
      </c>
      <c r="G51" s="48" t="n">
        <f aca="false">SUM(G42:G50)</f>
        <v>16922.6088</v>
      </c>
      <c r="H51" s="48" t="n">
        <f aca="false">SUM(H42:H50)</f>
        <v>10061.516976</v>
      </c>
      <c r="I51" s="48" t="n">
        <f aca="false">SUM(I42:I50)</f>
        <v>4766.97531552</v>
      </c>
      <c r="J51" s="48" t="n">
        <f aca="false">SUM(J42:J50)</f>
        <v>59448.34109152</v>
      </c>
    </row>
    <row r="52" customFormat="false" ht="12.75" hidden="false" customHeight="false" outlineLevel="0" collapsed="false">
      <c r="A52" s="87"/>
      <c r="B52" s="88"/>
      <c r="C52" s="88"/>
      <c r="D52" s="89"/>
      <c r="E52" s="67"/>
      <c r="F52" s="67"/>
      <c r="G52" s="67"/>
      <c r="H52" s="67"/>
      <c r="I52" s="67"/>
      <c r="J52" s="67"/>
    </row>
    <row r="53" customFormat="false" ht="12.75" hidden="false" customHeight="false" outlineLevel="0" collapsed="false">
      <c r="A53" s="90" t="s">
        <v>79</v>
      </c>
      <c r="B53" s="91"/>
      <c r="C53" s="91"/>
      <c r="D53" s="92"/>
      <c r="E53" s="48" t="n">
        <f aca="false">E28+E37+E51</f>
        <v>64492</v>
      </c>
      <c r="F53" s="48" t="n">
        <f aca="false">F28+F37+F51</f>
        <v>25605.24</v>
      </c>
      <c r="G53" s="48" t="n">
        <f aca="false">G28+G37+G51</f>
        <v>19370.6088</v>
      </c>
      <c r="H53" s="48" t="n">
        <f aca="false">H28+H37+H51</f>
        <v>12558.476976</v>
      </c>
      <c r="I53" s="48" t="n">
        <f aca="false">I28+I37+I51</f>
        <v>7313.87451552</v>
      </c>
      <c r="J53" s="48" t="n">
        <f aca="false">J28+J37+J51</f>
        <v>129340.20029152</v>
      </c>
      <c r="K53" s="93"/>
    </row>
    <row r="54" customFormat="false" ht="12.75" hidden="false" customHeight="false" outlineLevel="0" collapsed="false">
      <c r="A54" s="94"/>
      <c r="B54" s="95"/>
      <c r="C54" s="95"/>
      <c r="D54" s="96"/>
      <c r="E54" s="97"/>
      <c r="F54" s="97"/>
      <c r="G54" s="97"/>
      <c r="H54" s="97"/>
      <c r="I54" s="97"/>
      <c r="J54" s="59"/>
      <c r="K54" s="93"/>
    </row>
    <row r="55" customFormat="false" ht="12.75" hidden="false" customHeight="false" outlineLevel="0" collapsed="false">
      <c r="A55" s="90" t="s">
        <v>80</v>
      </c>
      <c r="B55" s="91"/>
      <c r="C55" s="91"/>
      <c r="D55" s="92"/>
      <c r="E55" s="48" t="n">
        <f aca="false">E23+E53</f>
        <v>115780.690416</v>
      </c>
      <c r="F55" s="48" t="n">
        <f aca="false">F23+F53</f>
        <v>75898.21928472</v>
      </c>
      <c r="G55" s="48" t="n">
        <f aca="false">G23+G53</f>
        <v>72731.3623088064</v>
      </c>
      <c r="H55" s="48" t="n">
        <f aca="false">H23+H53</f>
        <v>55207.5524596222</v>
      </c>
      <c r="I55" s="48" t="n">
        <f aca="false">I23+I53</f>
        <v>59569.4218787155</v>
      </c>
      <c r="J55" s="56" t="n">
        <f aca="false">SUM(E55:I55)</f>
        <v>379187.246347864</v>
      </c>
      <c r="K55" s="93"/>
    </row>
    <row r="56" customFormat="false" ht="13.5" hidden="false" customHeight="true" outlineLevel="0" collapsed="false">
      <c r="A56" s="94"/>
      <c r="B56" s="98" t="s">
        <v>30</v>
      </c>
      <c r="C56" s="98" t="s">
        <v>81</v>
      </c>
      <c r="D56" s="96"/>
      <c r="E56" s="97"/>
      <c r="F56" s="97"/>
      <c r="G56" s="97"/>
      <c r="H56" s="97"/>
      <c r="I56" s="97"/>
      <c r="J56" s="59"/>
      <c r="K56" s="93"/>
    </row>
    <row r="57" customFormat="false" ht="12.75" hidden="false" customHeight="false" outlineLevel="0" collapsed="false">
      <c r="A57" s="90" t="s">
        <v>82</v>
      </c>
      <c r="B57" s="99" t="n">
        <v>0.557</v>
      </c>
      <c r="C57" s="100" t="s">
        <v>83</v>
      </c>
      <c r="D57" s="92"/>
      <c r="E57" s="48" t="n">
        <f aca="false">E15*0.557</f>
        <v>27421.46648</v>
      </c>
      <c r="F57" s="48" t="n">
        <f aca="false">F15*0.557</f>
        <v>27089.2788096</v>
      </c>
      <c r="G57" s="48" t="n">
        <f aca="false">G15*0.557</f>
        <v>28529.293725792</v>
      </c>
      <c r="H57" s="48" t="n">
        <f aca="false">H15*0.557</f>
        <v>22686.5221127078</v>
      </c>
      <c r="I57" s="48" t="n">
        <f aca="false">I15*0.557</f>
        <v>27999.7451427092</v>
      </c>
      <c r="J57" s="56" t="n">
        <f aca="false">SUM(E57:I57)</f>
        <v>133726.306270809</v>
      </c>
    </row>
    <row r="58" customFormat="false" ht="12.75" hidden="false" customHeight="false" outlineLevel="0" collapsed="false">
      <c r="A58" s="94"/>
      <c r="B58" s="101"/>
      <c r="C58" s="95"/>
      <c r="D58" s="96"/>
      <c r="E58" s="97"/>
      <c r="F58" s="97"/>
      <c r="G58" s="97"/>
      <c r="H58" s="97"/>
      <c r="I58" s="97"/>
      <c r="J58" s="59"/>
    </row>
    <row r="59" customFormat="false" ht="12.75" hidden="false" customHeight="false" outlineLevel="0" collapsed="false">
      <c r="A59" s="102" t="s">
        <v>84</v>
      </c>
      <c r="B59" s="103"/>
      <c r="C59" s="103"/>
      <c r="D59" s="104"/>
      <c r="E59" s="105" t="n">
        <f aca="false">E55+E57</f>
        <v>143202.156896</v>
      </c>
      <c r="F59" s="105" t="n">
        <f aca="false">F55+F57</f>
        <v>102987.49809432</v>
      </c>
      <c r="G59" s="105" t="n">
        <f aca="false">G55+G57</f>
        <v>101260.656034598</v>
      </c>
      <c r="H59" s="105" t="n">
        <f aca="false">H55+H57</f>
        <v>77894.0745723301</v>
      </c>
      <c r="I59" s="105" t="n">
        <f aca="false">I55+I57</f>
        <v>87569.1670214247</v>
      </c>
      <c r="J59" s="105" t="n">
        <f aca="false">J55+J57</f>
        <v>512913.552618673</v>
      </c>
      <c r="K59" s="93"/>
    </row>
    <row r="60" customFormat="false" ht="12.75" hidden="false" customHeight="true" outlineLevel="0" collapsed="false">
      <c r="A60" s="106"/>
      <c r="D60" s="107"/>
      <c r="E60" s="55"/>
      <c r="F60" s="55"/>
      <c r="G60" s="55"/>
      <c r="H60" s="55"/>
      <c r="I60" s="55"/>
      <c r="J60" s="55"/>
    </row>
    <row r="61" customFormat="false" ht="12.75" hidden="false" customHeight="true" outlineLevel="0" collapsed="false">
      <c r="A61" s="108"/>
      <c r="D61" s="107"/>
      <c r="E61" s="55"/>
      <c r="F61" s="55"/>
      <c r="G61" s="55"/>
      <c r="H61" s="55"/>
      <c r="I61" s="55"/>
      <c r="J61" s="55"/>
    </row>
  </sheetData>
  <mergeCells count="3">
    <mergeCell ref="A1:G1"/>
    <mergeCell ref="A4:A5"/>
    <mergeCell ref="B4:D5"/>
  </mergeCells>
  <printOptions headings="false" gridLines="false" gridLinesSet="true" horizontalCentered="true" verticalCentered="true"/>
  <pageMargins left="0.5" right="0.5" top="0.5" bottom="0.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P60"/>
  <sheetViews>
    <sheetView showFormulas="false" showGridLines="true" showRowColHeaders="true" showZeros="true" rightToLeft="false" tabSelected="false" showOutlineSymbols="false" defaultGridColor="true" view="normal" topLeftCell="A37" colorId="64" zoomScale="100" zoomScaleNormal="100" zoomScalePageLayoutView="100" workbookViewId="0">
      <selection pane="topLeft" activeCell="F17" activeCellId="0" sqref="F17"/>
    </sheetView>
  </sheetViews>
  <sheetFormatPr defaultColWidth="8.83203125" defaultRowHeight="12" zeroHeight="false" outlineLevelRow="0" outlineLevelCol="0"/>
  <cols>
    <col collapsed="false" customWidth="true" hidden="false" outlineLevel="0" max="1" min="1" style="1" width="36.54"/>
    <col collapsed="false" customWidth="true" hidden="false" outlineLevel="0" max="2" min="2" style="1" width="10.54"/>
    <col collapsed="false" customWidth="true" hidden="false" outlineLevel="0" max="3" min="3" style="1" width="11.64"/>
    <col collapsed="false" customWidth="true" hidden="false" outlineLevel="0" max="4" min="4" style="2" width="12.64"/>
    <col collapsed="false" customWidth="true" hidden="false" outlineLevel="0" max="5" min="5" style="1" width="18.82"/>
    <col collapsed="false" customWidth="true" hidden="false" outlineLevel="0" max="9" min="6" style="1" width="19.46"/>
    <col collapsed="false" customWidth="true" hidden="false" outlineLevel="0" max="10" min="10" style="1" width="18.82"/>
    <col collapsed="false" customWidth="true" hidden="false" outlineLevel="0" max="11" min="11" style="1" width="15.45"/>
    <col collapsed="false" customWidth="true" hidden="false" outlineLevel="0" max="12" min="12" style="1" width="11.45"/>
    <col collapsed="false" customWidth="true" hidden="false" outlineLevel="0" max="15" min="13" style="1" width="9.82"/>
    <col collapsed="false" customWidth="true" hidden="false" outlineLevel="0" max="16" min="16" style="1" width="10.82"/>
    <col collapsed="false" customWidth="true" hidden="false" outlineLevel="0" max="50" min="17" style="1" width="9.18"/>
    <col collapsed="false" customWidth="false" hidden="false" outlineLevel="0" max="1024" min="51" style="1" width="8.82"/>
  </cols>
  <sheetData>
    <row r="1" s="4" customFormat="true" ht="12.7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4" t="s">
        <v>1</v>
      </c>
      <c r="I1" s="5" t="s">
        <v>2</v>
      </c>
    </row>
    <row r="2" customFormat="false" ht="12.75" hidden="false" customHeight="false" outlineLevel="0" collapsed="false">
      <c r="A2" s="6" t="s">
        <v>3</v>
      </c>
      <c r="B2" s="6" t="s">
        <v>4</v>
      </c>
      <c r="C2" s="1" t="s">
        <v>5</v>
      </c>
      <c r="D2" s="7"/>
      <c r="H2" s="8" t="s">
        <v>6</v>
      </c>
      <c r="I2" s="1" t="s">
        <v>7</v>
      </c>
    </row>
    <row r="3" customFormat="false" ht="12.75" hidden="false" customHeight="false" outlineLevel="0" collapsed="false">
      <c r="B3" s="6"/>
      <c r="C3" s="9"/>
      <c r="D3" s="7"/>
      <c r="E3" s="10"/>
      <c r="F3" s="10"/>
      <c r="G3" s="10"/>
      <c r="H3" s="10"/>
      <c r="I3" s="10"/>
    </row>
    <row r="4" customFormat="false" ht="12.75" hidden="false" customHeight="false" outlineLevel="0" collapsed="false">
      <c r="A4" s="11" t="s">
        <v>8</v>
      </c>
      <c r="B4" s="12" t="s">
        <v>9</v>
      </c>
      <c r="C4" s="12"/>
      <c r="D4" s="12"/>
      <c r="E4" s="13" t="s">
        <v>10</v>
      </c>
      <c r="F4" s="13" t="s">
        <v>11</v>
      </c>
      <c r="G4" s="13" t="s">
        <v>12</v>
      </c>
      <c r="H4" s="13" t="s">
        <v>13</v>
      </c>
      <c r="I4" s="13" t="s">
        <v>14</v>
      </c>
      <c r="J4" s="14" t="s">
        <v>15</v>
      </c>
    </row>
    <row r="5" customFormat="false" ht="12.75" hidden="false" customHeight="false" outlineLevel="0" collapsed="false">
      <c r="A5" s="11"/>
      <c r="B5" s="12"/>
      <c r="C5" s="12"/>
      <c r="D5" s="12"/>
      <c r="E5" s="15" t="s">
        <v>16</v>
      </c>
      <c r="F5" s="15" t="s">
        <v>17</v>
      </c>
      <c r="G5" s="15" t="s">
        <v>18</v>
      </c>
      <c r="H5" s="15" t="s">
        <v>19</v>
      </c>
      <c r="I5" s="15" t="s">
        <v>20</v>
      </c>
      <c r="J5" s="15" t="s">
        <v>21</v>
      </c>
    </row>
    <row r="6" customFormat="false" ht="12.75" hidden="false" customHeight="false" outlineLevel="0" collapsed="false">
      <c r="A6" s="16" t="s">
        <v>22</v>
      </c>
      <c r="B6" s="17"/>
      <c r="C6" s="18"/>
      <c r="D6" s="19"/>
      <c r="E6" s="20"/>
      <c r="F6" s="20"/>
      <c r="G6" s="20"/>
      <c r="H6" s="20"/>
      <c r="I6" s="20"/>
      <c r="J6" s="20"/>
    </row>
    <row r="7" s="26" customFormat="true" ht="12.75" hidden="false" customHeight="false" outlineLevel="0" collapsed="false">
      <c r="A7" s="21" t="s">
        <v>23</v>
      </c>
      <c r="B7" s="22" t="s">
        <v>24</v>
      </c>
      <c r="C7" s="22" t="s">
        <v>25</v>
      </c>
      <c r="D7" s="23" t="s">
        <v>26</v>
      </c>
      <c r="E7" s="24"/>
      <c r="F7" s="24"/>
      <c r="G7" s="24"/>
      <c r="H7" s="24"/>
      <c r="I7" s="24"/>
      <c r="J7" s="25"/>
    </row>
    <row r="8" s="26" customFormat="true" ht="12" hidden="false" customHeight="false" outlineLevel="0" collapsed="false">
      <c r="A8" s="27" t="s">
        <v>27</v>
      </c>
      <c r="B8" s="28"/>
      <c r="C8" s="29"/>
      <c r="D8" s="30"/>
      <c r="E8" s="31"/>
      <c r="F8" s="31"/>
      <c r="G8" s="31"/>
      <c r="H8" s="31"/>
      <c r="I8" s="31"/>
      <c r="J8" s="31"/>
      <c r="K8" s="32"/>
      <c r="L8" s="32"/>
      <c r="M8" s="32"/>
      <c r="N8" s="32"/>
      <c r="O8" s="32"/>
      <c r="P8" s="32"/>
    </row>
    <row r="9" s="26" customFormat="true" ht="12" hidden="false" customHeight="false" outlineLevel="0" collapsed="false">
      <c r="A9" s="27" t="s">
        <v>28</v>
      </c>
      <c r="B9" s="28" t="n">
        <f aca="false">(74460+2700)*1.02</f>
        <v>78703.2</v>
      </c>
      <c r="C9" s="33" t="n">
        <v>2</v>
      </c>
      <c r="D9" s="34" t="n">
        <v>1.02</v>
      </c>
      <c r="E9" s="35" t="n">
        <f aca="false">B9/10*C9</f>
        <v>15740.64</v>
      </c>
      <c r="F9" s="35" t="n">
        <f aca="false">E9*1.02</f>
        <v>16055.4528</v>
      </c>
      <c r="G9" s="35" t="n">
        <f aca="false">F9*1.02</f>
        <v>16376.561856</v>
      </c>
      <c r="H9" s="35" t="n">
        <f aca="false">G9*1.02</f>
        <v>16704.09309312</v>
      </c>
      <c r="I9" s="35" t="n">
        <f aca="false">H9*1.02</f>
        <v>17038.1749549824</v>
      </c>
      <c r="J9" s="35" t="n">
        <f aca="false">SUM(E9:I9)</f>
        <v>81914.9227041024</v>
      </c>
      <c r="K9" s="32"/>
      <c r="L9" s="32"/>
      <c r="M9" s="32"/>
      <c r="N9" s="32"/>
      <c r="O9" s="32"/>
      <c r="P9" s="32"/>
    </row>
    <row r="10" s="26" customFormat="true" ht="12.75" hidden="false" customHeight="false" outlineLevel="0" collapsed="false">
      <c r="A10" s="36" t="s">
        <v>29</v>
      </c>
      <c r="B10" s="37" t="s">
        <v>30</v>
      </c>
      <c r="C10" s="38" t="s">
        <v>31</v>
      </c>
      <c r="D10" s="39" t="s">
        <v>32</v>
      </c>
      <c r="E10" s="40"/>
      <c r="F10" s="40"/>
      <c r="G10" s="40"/>
      <c r="H10" s="40"/>
      <c r="I10" s="40"/>
      <c r="J10" s="40"/>
    </row>
    <row r="11" s="26" customFormat="true" ht="12" hidden="false" customHeight="false" outlineLevel="0" collapsed="false">
      <c r="A11" s="27" t="s">
        <v>33</v>
      </c>
      <c r="B11" s="41" t="n">
        <v>15.5</v>
      </c>
      <c r="C11" s="42" t="n">
        <f aca="false">10*13*2</f>
        <v>260</v>
      </c>
      <c r="D11" s="30" t="n">
        <v>4</v>
      </c>
      <c r="E11" s="43" t="n">
        <f aca="false">B11*C11*D11</f>
        <v>16120</v>
      </c>
      <c r="F11" s="43" t="n">
        <f aca="false">E11*1.02*5/4</f>
        <v>20553</v>
      </c>
      <c r="G11" s="43" t="n">
        <f aca="false">F11*1.02*4/5</f>
        <v>16771.248</v>
      </c>
      <c r="H11" s="43" t="n">
        <f aca="false">G11*1.02</f>
        <v>17106.67296</v>
      </c>
      <c r="I11" s="43" t="n">
        <f aca="false">H11*1.02</f>
        <v>17448.8064192</v>
      </c>
      <c r="J11" s="35" t="n">
        <f aca="false">SUM(E11:I11)</f>
        <v>87999.7273792</v>
      </c>
    </row>
    <row r="12" s="26" customFormat="true" ht="12" hidden="false" customHeight="false" outlineLevel="0" collapsed="false">
      <c r="A12" s="27" t="s">
        <v>34</v>
      </c>
      <c r="B12" s="41" t="n">
        <v>15.5</v>
      </c>
      <c r="C12" s="42" t="n">
        <f aca="false">18*10</f>
        <v>180</v>
      </c>
      <c r="D12" s="30" t="n">
        <v>3</v>
      </c>
      <c r="E12" s="43" t="n">
        <f aca="false">B12*C12*D12</f>
        <v>8370</v>
      </c>
      <c r="F12" s="43" t="n">
        <f aca="false">E12*1.02*0.33</f>
        <v>2817.342</v>
      </c>
      <c r="G12" s="43" t="n">
        <f aca="false">F12*1.02*3</f>
        <v>8621.06652</v>
      </c>
      <c r="H12" s="43" t="n">
        <f aca="false">G12*1.02*0.33</f>
        <v>2901.850990632</v>
      </c>
      <c r="I12" s="43" t="n">
        <f aca="false">H12*1.02</f>
        <v>2959.88801044464</v>
      </c>
      <c r="J12" s="35" t="n">
        <f aca="false">SUM(E12:I12)</f>
        <v>25670.1475210766</v>
      </c>
    </row>
    <row r="13" s="26" customFormat="true" ht="12" hidden="false" customHeight="false" outlineLevel="0" collapsed="false">
      <c r="A13" s="27" t="s">
        <v>35</v>
      </c>
      <c r="B13" s="44" t="n">
        <v>25</v>
      </c>
      <c r="C13" s="42" t="n">
        <f aca="false">19*10</f>
        <v>190</v>
      </c>
      <c r="D13" s="30" t="n">
        <v>1</v>
      </c>
      <c r="E13" s="35" t="n">
        <f aca="false">B13*C13*D13</f>
        <v>4750</v>
      </c>
      <c r="F13" s="35" t="n">
        <f aca="false">E13*1.02</f>
        <v>4845</v>
      </c>
      <c r="G13" s="35" t="n">
        <f aca="false">F13*1.02</f>
        <v>4941.9</v>
      </c>
      <c r="H13" s="35" t="n">
        <f aca="false">G13*1.02</f>
        <v>5040.738</v>
      </c>
      <c r="I13" s="35" t="n">
        <f aca="false">H13*1.02</f>
        <v>5141.55276</v>
      </c>
      <c r="J13" s="35" t="n">
        <f aca="false">SUM(E13:I13)</f>
        <v>24719.19076</v>
      </c>
    </row>
    <row r="14" s="26" customFormat="true" ht="12" hidden="false" customHeight="false" outlineLevel="0" collapsed="false">
      <c r="A14" s="27"/>
      <c r="B14" s="44"/>
      <c r="C14" s="42"/>
      <c r="D14" s="30"/>
      <c r="E14" s="35" t="n">
        <f aca="false">B14*C14*D14</f>
        <v>0</v>
      </c>
      <c r="F14" s="35" t="n">
        <f aca="false">E14*1.02</f>
        <v>0</v>
      </c>
      <c r="G14" s="35" t="n">
        <f aca="false">F14*1.02</f>
        <v>0</v>
      </c>
      <c r="H14" s="35" t="n">
        <f aca="false">G14*1.02</f>
        <v>0</v>
      </c>
      <c r="I14" s="35" t="n">
        <f aca="false">H14*1.02</f>
        <v>0</v>
      </c>
      <c r="J14" s="35" t="n">
        <f aca="false">SUM(E14:I14)</f>
        <v>0</v>
      </c>
    </row>
    <row r="15" customFormat="false" ht="12.75" hidden="false" customHeight="false" outlineLevel="0" collapsed="false">
      <c r="A15" s="45" t="s">
        <v>36</v>
      </c>
      <c r="B15" s="46"/>
      <c r="C15" s="46"/>
      <c r="D15" s="47"/>
      <c r="E15" s="48" t="n">
        <f aca="false">SUM(E8:E14)</f>
        <v>44980.64</v>
      </c>
      <c r="F15" s="48" t="n">
        <f aca="false">SUM(F8:F14)</f>
        <v>44270.7948</v>
      </c>
      <c r="G15" s="48" t="n">
        <f aca="false">SUM(G8:G14)</f>
        <v>46710.776376</v>
      </c>
      <c r="H15" s="48" t="n">
        <f aca="false">SUM(H8:H14)</f>
        <v>41753.355043752</v>
      </c>
      <c r="I15" s="48" t="n">
        <f aca="false">SUM(I8:I14)</f>
        <v>42588.4221446271</v>
      </c>
      <c r="J15" s="48" t="n">
        <f aca="false">SUM(J8:J14)</f>
        <v>220303.988364379</v>
      </c>
      <c r="K15" s="49"/>
      <c r="L15" s="49"/>
      <c r="M15" s="49"/>
      <c r="N15" s="49"/>
      <c r="O15" s="49"/>
      <c r="P15" s="49"/>
    </row>
    <row r="16" s="5" customFormat="true" ht="12.75" hidden="false" customHeight="true" outlineLevel="0" collapsed="false">
      <c r="A16" s="50" t="s">
        <v>37</v>
      </c>
      <c r="B16" s="51" t="s">
        <v>38</v>
      </c>
      <c r="C16" s="51" t="s">
        <v>39</v>
      </c>
      <c r="D16" s="51" t="s">
        <v>40</v>
      </c>
      <c r="E16" s="52"/>
      <c r="F16" s="52"/>
      <c r="G16" s="52"/>
      <c r="H16" s="52"/>
      <c r="I16" s="52"/>
      <c r="J16" s="52"/>
    </row>
    <row r="17" customFormat="false" ht="12" hidden="false" customHeight="false" outlineLevel="0" collapsed="false">
      <c r="A17" s="27" t="str">
        <f aca="false">A8</f>
        <v>PI AY Release</v>
      </c>
      <c r="B17" s="29" t="n">
        <v>0.32</v>
      </c>
      <c r="C17" s="53"/>
      <c r="D17" s="53"/>
      <c r="E17" s="35"/>
      <c r="F17" s="35"/>
      <c r="G17" s="35"/>
      <c r="H17" s="35"/>
      <c r="I17" s="35"/>
      <c r="J17" s="35"/>
    </row>
    <row r="18" customFormat="false" ht="12" hidden="false" customHeight="false" outlineLevel="0" collapsed="false">
      <c r="A18" s="27" t="str">
        <f aca="false">A9</f>
        <v>PI Summer Salary</v>
      </c>
      <c r="B18" s="54"/>
      <c r="C18" s="53"/>
      <c r="D18" s="53" t="n">
        <v>0.0849</v>
      </c>
      <c r="E18" s="35" t="n">
        <f aca="false">$D$18*E9</f>
        <v>1336.380336</v>
      </c>
      <c r="F18" s="35" t="n">
        <f aca="false">$D$18*F9</f>
        <v>1363.10794272</v>
      </c>
      <c r="G18" s="35" t="n">
        <f aca="false">$D$18*G9</f>
        <v>1390.3701015744</v>
      </c>
      <c r="H18" s="35" t="n">
        <f aca="false">$D$18*H9</f>
        <v>1418.17750360589</v>
      </c>
      <c r="I18" s="35" t="n">
        <f aca="false">$D$18*I9</f>
        <v>1446.54105367801</v>
      </c>
      <c r="J18" s="35" t="n">
        <f aca="false">SUM(E18:I18)</f>
        <v>6954.57693757829</v>
      </c>
      <c r="K18" s="55"/>
    </row>
    <row r="19" customFormat="false" ht="12" hidden="false" customHeight="false" outlineLevel="0" collapsed="false">
      <c r="A19" s="27" t="s">
        <v>41</v>
      </c>
      <c r="B19" s="53" t="n">
        <v>0.003334</v>
      </c>
      <c r="C19" s="53"/>
      <c r="E19" s="35" t="n">
        <f aca="false">$B$19*E11</f>
        <v>53.74408</v>
      </c>
      <c r="F19" s="35" t="n">
        <f aca="false">$B$19*F11</f>
        <v>68.523702</v>
      </c>
      <c r="G19" s="35" t="n">
        <f aca="false">$B$19*G11</f>
        <v>55.915340832</v>
      </c>
      <c r="H19" s="35" t="n">
        <f aca="false">$B$19*H11</f>
        <v>57.03364764864</v>
      </c>
      <c r="I19" s="35" t="n">
        <f aca="false">$B$19*I11</f>
        <v>58.1743206016128</v>
      </c>
      <c r="J19" s="35" t="n">
        <f aca="false">SUM(E19:I19)</f>
        <v>293.391091082253</v>
      </c>
    </row>
    <row r="20" customFormat="false" ht="12" hidden="false" customHeight="false" outlineLevel="0" collapsed="false">
      <c r="A20" s="27" t="s">
        <v>42</v>
      </c>
      <c r="B20" s="54"/>
      <c r="C20" s="53"/>
      <c r="D20" s="53" t="n">
        <v>0.0798</v>
      </c>
      <c r="E20" s="35" t="n">
        <f aca="false">E12*$D$20</f>
        <v>667.926</v>
      </c>
      <c r="F20" s="35" t="n">
        <f aca="false">F12*$D$20</f>
        <v>224.8238916</v>
      </c>
      <c r="G20" s="35" t="n">
        <f aca="false">G12*$D$20</f>
        <v>687.961108296</v>
      </c>
      <c r="H20" s="35" t="n">
        <f aca="false">H12*$D$20</f>
        <v>231.567709052434</v>
      </c>
      <c r="I20" s="35" t="n">
        <f aca="false">I12*$D$20</f>
        <v>236.199063233482</v>
      </c>
      <c r="J20" s="35" t="n">
        <f aca="false">SUM(E20:I20)</f>
        <v>2048.47777218192</v>
      </c>
      <c r="K20" s="55"/>
    </row>
    <row r="21" customFormat="false" ht="12.75" hidden="false" customHeight="false" outlineLevel="0" collapsed="false">
      <c r="A21" s="45" t="s">
        <v>43</v>
      </c>
      <c r="B21" s="46"/>
      <c r="C21" s="46"/>
      <c r="D21" s="47"/>
      <c r="E21" s="56" t="n">
        <f aca="false">SUM(E17:E20)</f>
        <v>2058.050416</v>
      </c>
      <c r="F21" s="56" t="n">
        <f aca="false">SUM(F17:F20)</f>
        <v>1656.45553632</v>
      </c>
      <c r="G21" s="56" t="n">
        <f aca="false">SUM(G17:G20)</f>
        <v>2134.2465507024</v>
      </c>
      <c r="H21" s="56" t="n">
        <f aca="false">SUM(H17:H20)</f>
        <v>1706.77886030696</v>
      </c>
      <c r="I21" s="56" t="n">
        <f aca="false">SUM(I17:I20)</f>
        <v>1740.9144375131</v>
      </c>
      <c r="J21" s="56" t="n">
        <f aca="false">SUM(J17:J20)</f>
        <v>9296.44580084246</v>
      </c>
    </row>
    <row r="22" customFormat="false" ht="12.75" hidden="false" customHeight="false" outlineLevel="0" collapsed="false">
      <c r="A22" s="57"/>
      <c r="B22" s="8"/>
      <c r="C22" s="8"/>
      <c r="D22" s="58"/>
      <c r="E22" s="59"/>
      <c r="F22" s="59"/>
      <c r="G22" s="59"/>
      <c r="H22" s="59"/>
      <c r="I22" s="59"/>
      <c r="J22" s="59"/>
    </row>
    <row r="23" customFormat="false" ht="12.75" hidden="false" customHeight="false" outlineLevel="0" collapsed="false">
      <c r="A23" s="60" t="s">
        <v>44</v>
      </c>
      <c r="B23" s="46"/>
      <c r="C23" s="46"/>
      <c r="D23" s="47"/>
      <c r="E23" s="48" t="n">
        <f aca="false">E15+E21</f>
        <v>47038.690416</v>
      </c>
      <c r="F23" s="48" t="n">
        <f aca="false">F15+F21</f>
        <v>45927.25033632</v>
      </c>
      <c r="G23" s="48" t="n">
        <f aca="false">G15+G21</f>
        <v>48845.0229267024</v>
      </c>
      <c r="H23" s="48" t="n">
        <f aca="false">H15+H21</f>
        <v>43460.133904059</v>
      </c>
      <c r="I23" s="48" t="n">
        <f aca="false">I15+I21</f>
        <v>44329.3365821401</v>
      </c>
      <c r="J23" s="48" t="n">
        <f aca="false">J15+J21</f>
        <v>229600.434165221</v>
      </c>
    </row>
    <row r="24" customFormat="false" ht="12.75" hidden="false" customHeight="false" outlineLevel="0" collapsed="false">
      <c r="A24" s="16" t="s">
        <v>45</v>
      </c>
      <c r="B24" s="61"/>
      <c r="C24" s="61"/>
      <c r="D24" s="62"/>
      <c r="E24" s="63"/>
      <c r="F24" s="63"/>
      <c r="G24" s="63"/>
      <c r="H24" s="63"/>
      <c r="I24" s="63"/>
      <c r="J24" s="35"/>
    </row>
    <row r="25" customFormat="false" ht="12.75" hidden="false" customHeight="false" outlineLevel="0" collapsed="false">
      <c r="A25" s="36" t="s">
        <v>46</v>
      </c>
      <c r="B25" s="64" t="s">
        <v>47</v>
      </c>
      <c r="C25" s="64"/>
      <c r="D25" s="39" t="s">
        <v>48</v>
      </c>
      <c r="E25" s="65"/>
      <c r="F25" s="65"/>
      <c r="G25" s="65"/>
      <c r="H25" s="65"/>
      <c r="I25" s="65"/>
      <c r="J25" s="65"/>
    </row>
    <row r="26" customFormat="false" ht="12" hidden="false" customHeight="false" outlineLevel="0" collapsed="false">
      <c r="A26" s="27" t="s">
        <v>85</v>
      </c>
      <c r="B26" s="32" t="n">
        <v>50000</v>
      </c>
      <c r="C26" s="26"/>
      <c r="D26" s="66" t="n">
        <v>1</v>
      </c>
      <c r="E26" s="67" t="n">
        <f aca="false">B26*D26</f>
        <v>50000</v>
      </c>
      <c r="F26" s="67" t="n">
        <v>0</v>
      </c>
      <c r="G26" s="67" t="n">
        <v>0</v>
      </c>
      <c r="H26" s="67" t="n">
        <v>0</v>
      </c>
      <c r="I26" s="67" t="n">
        <v>0</v>
      </c>
      <c r="J26" s="35" t="n">
        <f aca="false">SUM(E26:I26)</f>
        <v>50000</v>
      </c>
    </row>
    <row r="27" customFormat="false" ht="12" hidden="false" customHeight="false" outlineLevel="0" collapsed="false">
      <c r="A27" s="27" t="s">
        <v>50</v>
      </c>
      <c r="B27" s="32" t="n">
        <v>50000</v>
      </c>
      <c r="C27" s="26"/>
      <c r="D27" s="66" t="n">
        <v>1</v>
      </c>
      <c r="E27" s="67" t="n">
        <f aca="false">B27*D27</f>
        <v>50000</v>
      </c>
      <c r="F27" s="67" t="n">
        <v>0</v>
      </c>
      <c r="G27" s="67" t="n">
        <v>0</v>
      </c>
      <c r="H27" s="67" t="n">
        <v>0</v>
      </c>
      <c r="I27" s="67" t="n">
        <v>0</v>
      </c>
      <c r="J27" s="35" t="n">
        <f aca="false">SUM(E27:I27)</f>
        <v>50000</v>
      </c>
    </row>
    <row r="28" customFormat="false" ht="12.75" hidden="false" customHeight="false" outlineLevel="0" collapsed="false">
      <c r="A28" s="68" t="s">
        <v>51</v>
      </c>
      <c r="B28" s="69"/>
      <c r="C28" s="69"/>
      <c r="D28" s="70"/>
      <c r="E28" s="71" t="n">
        <f aca="false">SUM(E26:E27)</f>
        <v>100000</v>
      </c>
      <c r="F28" s="71" t="n">
        <f aca="false">SUM(F26:F27)</f>
        <v>0</v>
      </c>
      <c r="G28" s="71" t="n">
        <f aca="false">SUM(G26:G27)</f>
        <v>0</v>
      </c>
      <c r="H28" s="71" t="n">
        <f aca="false">SUM(H26:H27)</f>
        <v>0</v>
      </c>
      <c r="I28" s="71" t="n">
        <f aca="false">SUM(I26:I27)</f>
        <v>0</v>
      </c>
      <c r="J28" s="71" t="n">
        <f aca="false">SUM(J26:J45)</f>
        <v>113920</v>
      </c>
    </row>
    <row r="29" s="1" customFormat="true" ht="12" hidden="false" customHeight="false" outlineLevel="0" collapsed="false"/>
    <row r="30" customFormat="false" ht="12.75" hidden="false" customHeight="false" outlineLevel="0" collapsed="false">
      <c r="A30" s="36" t="s">
        <v>52</v>
      </c>
      <c r="B30" s="64" t="s">
        <v>53</v>
      </c>
      <c r="C30" s="64" t="s">
        <v>54</v>
      </c>
      <c r="D30" s="39" t="s">
        <v>55</v>
      </c>
      <c r="E30" s="72"/>
      <c r="F30" s="72"/>
      <c r="G30" s="72"/>
      <c r="H30" s="72"/>
      <c r="I30" s="72"/>
      <c r="J30" s="65"/>
    </row>
    <row r="31" customFormat="false" ht="12" hidden="false" customHeight="false" outlineLevel="0" collapsed="false">
      <c r="A31" s="27" t="s">
        <v>56</v>
      </c>
      <c r="B31" s="73" t="n">
        <v>0</v>
      </c>
      <c r="C31" s="74" t="s">
        <v>57</v>
      </c>
      <c r="D31" s="30" t="n">
        <v>0</v>
      </c>
      <c r="E31" s="67" t="n">
        <v>0</v>
      </c>
      <c r="F31" s="67" t="n">
        <f aca="false">1.02*E31</f>
        <v>0</v>
      </c>
      <c r="G31" s="67" t="n">
        <f aca="false">1.02*F31</f>
        <v>0</v>
      </c>
      <c r="H31" s="67" t="n">
        <f aca="false">1.02*G31</f>
        <v>0</v>
      </c>
      <c r="I31" s="67" t="n">
        <f aca="false">B31*D31</f>
        <v>0</v>
      </c>
      <c r="J31" s="35" t="n">
        <f aca="false">SUM(E31:I31)</f>
        <v>0</v>
      </c>
    </row>
    <row r="32" customFormat="false" ht="12" hidden="false" customHeight="false" outlineLevel="0" collapsed="false">
      <c r="A32" s="27" t="s">
        <v>58</v>
      </c>
      <c r="B32" s="73" t="n">
        <v>0</v>
      </c>
      <c r="C32" s="74" t="s">
        <v>57</v>
      </c>
      <c r="D32" s="30" t="n">
        <v>0</v>
      </c>
      <c r="E32" s="67" t="n">
        <v>0</v>
      </c>
      <c r="F32" s="67" t="n">
        <f aca="false">1.02*E32</f>
        <v>0</v>
      </c>
      <c r="G32" s="67" t="n">
        <f aca="false">1.02*F32</f>
        <v>0</v>
      </c>
      <c r="H32" s="67" t="n">
        <f aca="false">1.02*G32</f>
        <v>0</v>
      </c>
      <c r="I32" s="67" t="n">
        <f aca="false">B32*D32</f>
        <v>0</v>
      </c>
      <c r="J32" s="35" t="n">
        <f aca="false">SUM(E32:I32)</f>
        <v>0</v>
      </c>
    </row>
    <row r="33" customFormat="false" ht="12" hidden="false" customHeight="false" outlineLevel="0" collapsed="false">
      <c r="A33" s="27" t="s">
        <v>59</v>
      </c>
      <c r="B33" s="73" t="n">
        <f aca="false">250</f>
        <v>250</v>
      </c>
      <c r="C33" s="74" t="s">
        <v>60</v>
      </c>
      <c r="D33" s="30" t="n">
        <v>5</v>
      </c>
      <c r="E33" s="67" t="n">
        <v>0</v>
      </c>
      <c r="F33" s="67" t="n">
        <f aca="false">B33*C33*D33</f>
        <v>1250</v>
      </c>
      <c r="G33" s="67" t="n">
        <f aca="false">1.02*F33</f>
        <v>1275</v>
      </c>
      <c r="H33" s="67" t="n">
        <f aca="false">1.02*G33</f>
        <v>1300.5</v>
      </c>
      <c r="I33" s="67" t="n">
        <f aca="false">1.02*H33</f>
        <v>1326.51</v>
      </c>
      <c r="J33" s="35" t="n">
        <f aca="false">SUM(E33:I33)</f>
        <v>5152.01</v>
      </c>
    </row>
    <row r="34" customFormat="false" ht="12" hidden="false" customHeight="false" outlineLevel="0" collapsed="false">
      <c r="A34" s="27" t="s">
        <v>61</v>
      </c>
      <c r="B34" s="73" t="n">
        <v>400</v>
      </c>
      <c r="C34" s="74" t="s">
        <v>60</v>
      </c>
      <c r="D34" s="30" t="n">
        <v>1</v>
      </c>
      <c r="E34" s="67" t="n">
        <v>0</v>
      </c>
      <c r="F34" s="67" t="n">
        <f aca="false">B34*C34*D34</f>
        <v>400</v>
      </c>
      <c r="G34" s="67" t="n">
        <f aca="false">1.02*F34</f>
        <v>408</v>
      </c>
      <c r="H34" s="67" t="n">
        <f aca="false">1.02*G34</f>
        <v>416.16</v>
      </c>
      <c r="I34" s="67" t="n">
        <f aca="false">1.02*H34</f>
        <v>424.4832</v>
      </c>
      <c r="J34" s="35" t="n">
        <f aca="false">SUM(E34:I34)</f>
        <v>1648.6432</v>
      </c>
    </row>
    <row r="35" customFormat="false" ht="12" hidden="false" customHeight="false" outlineLevel="0" collapsed="false">
      <c r="A35" s="27" t="s">
        <v>62</v>
      </c>
      <c r="B35" s="73" t="n">
        <v>50</v>
      </c>
      <c r="C35" s="74" t="s">
        <v>60</v>
      </c>
      <c r="D35" s="30" t="n">
        <v>5</v>
      </c>
      <c r="E35" s="67" t="n">
        <f aca="false">0</f>
        <v>0</v>
      </c>
      <c r="F35" s="67" t="n">
        <f aca="false">B35*C35*D35</f>
        <v>250</v>
      </c>
      <c r="G35" s="67" t="n">
        <f aca="false">F35*1.02</f>
        <v>255</v>
      </c>
      <c r="H35" s="67" t="n">
        <f aca="false">G35*1.02</f>
        <v>260.1</v>
      </c>
      <c r="I35" s="67" t="n">
        <f aca="false">H35*1.02</f>
        <v>265.302</v>
      </c>
      <c r="J35" s="35" t="n">
        <f aca="false">SUM(E35:I35)</f>
        <v>1030.402</v>
      </c>
    </row>
    <row r="36" customFormat="false" ht="12" hidden="false" customHeight="false" outlineLevel="0" collapsed="false">
      <c r="A36" s="75" t="s">
        <v>63</v>
      </c>
      <c r="B36" s="76" t="n">
        <v>500</v>
      </c>
      <c r="C36" s="74" t="s">
        <v>60</v>
      </c>
      <c r="D36" s="77" t="n">
        <v>1</v>
      </c>
      <c r="E36" s="67" t="n">
        <f aca="false">0</f>
        <v>0</v>
      </c>
      <c r="F36" s="67" t="n">
        <f aca="false">B36*C36*D36</f>
        <v>500</v>
      </c>
      <c r="G36" s="67" t="n">
        <f aca="false">F36*1.02</f>
        <v>510</v>
      </c>
      <c r="H36" s="67" t="n">
        <f aca="false">G36*1.02</f>
        <v>520.2</v>
      </c>
      <c r="I36" s="67" t="n">
        <f aca="false">H36*1.02</f>
        <v>530.604</v>
      </c>
      <c r="J36" s="35" t="n">
        <f aca="false">SUM(E36:I36)</f>
        <v>2060.804</v>
      </c>
      <c r="L36" s="55"/>
    </row>
    <row r="37" s="8" customFormat="true" ht="12.75" hidden="false" customHeight="false" outlineLevel="0" collapsed="false">
      <c r="A37" s="68" t="s">
        <v>64</v>
      </c>
      <c r="B37" s="69"/>
      <c r="C37" s="78"/>
      <c r="D37" s="79"/>
      <c r="E37" s="48" t="n">
        <f aca="false">SUM(E31:E36)</f>
        <v>0</v>
      </c>
      <c r="F37" s="48" t="n">
        <f aca="false">SUM(F31:F36)</f>
        <v>2400</v>
      </c>
      <c r="G37" s="48" t="n">
        <f aca="false">SUM(G31:G36)</f>
        <v>2448</v>
      </c>
      <c r="H37" s="48" t="n">
        <f aca="false">SUM(H31:H36)</f>
        <v>2496.96</v>
      </c>
      <c r="I37" s="48" t="n">
        <f aca="false">SUM(I31:I36)</f>
        <v>2546.8992</v>
      </c>
      <c r="J37" s="48" t="n">
        <f aca="false">SUM(J31:J36)</f>
        <v>9891.8592</v>
      </c>
    </row>
    <row r="38" customFormat="false" ht="12" hidden="false" customHeight="false" outlineLevel="0" collapsed="false">
      <c r="A38" s="80"/>
      <c r="B38" s="76"/>
      <c r="C38" s="74"/>
      <c r="D38" s="81"/>
      <c r="E38" s="67"/>
      <c r="F38" s="67"/>
      <c r="G38" s="67"/>
      <c r="H38" s="67"/>
      <c r="I38" s="67"/>
      <c r="J38" s="67"/>
    </row>
    <row r="39" customFormat="false" ht="12.75" hidden="false" customHeight="false" outlineLevel="0" collapsed="false">
      <c r="A39" s="82" t="s">
        <v>65</v>
      </c>
      <c r="B39" s="83"/>
      <c r="C39" s="84"/>
      <c r="D39" s="85"/>
      <c r="E39" s="65"/>
      <c r="F39" s="65"/>
      <c r="G39" s="65"/>
      <c r="H39" s="65"/>
      <c r="I39" s="65"/>
      <c r="J39" s="65"/>
    </row>
    <row r="40" customFormat="false" ht="12" hidden="false" customHeight="false" outlineLevel="0" collapsed="false">
      <c r="A40" s="75"/>
      <c r="B40" s="76"/>
      <c r="C40" s="74"/>
      <c r="D40" s="81"/>
      <c r="E40" s="67"/>
      <c r="F40" s="67"/>
      <c r="G40" s="67"/>
      <c r="H40" s="67"/>
      <c r="I40" s="67"/>
      <c r="J40" s="67"/>
    </row>
    <row r="41" customFormat="false" ht="12.75" hidden="false" customHeight="false" outlineLevel="0" collapsed="false">
      <c r="A41" s="36" t="s">
        <v>66</v>
      </c>
      <c r="B41" s="64" t="s">
        <v>30</v>
      </c>
      <c r="C41" s="64" t="s">
        <v>48</v>
      </c>
      <c r="D41" s="39" t="s">
        <v>67</v>
      </c>
      <c r="E41" s="65"/>
      <c r="F41" s="65"/>
      <c r="G41" s="65"/>
      <c r="H41" s="65"/>
      <c r="I41" s="65"/>
      <c r="J41" s="65"/>
    </row>
    <row r="42" customFormat="false" ht="12" hidden="false" customHeight="false" outlineLevel="0" collapsed="false">
      <c r="A42" s="27" t="s">
        <v>68</v>
      </c>
      <c r="B42" s="26" t="n">
        <v>1200</v>
      </c>
      <c r="C42" s="73" t="s">
        <v>69</v>
      </c>
      <c r="D42" s="73" t="s">
        <v>69</v>
      </c>
      <c r="E42" s="67" t="n">
        <f aca="false">1*B42</f>
        <v>1200</v>
      </c>
      <c r="F42" s="67" t="n">
        <f aca="false">2*B42*1.02</f>
        <v>2448</v>
      </c>
      <c r="G42" s="67" t="n">
        <f aca="false">4*B42*1.04</f>
        <v>4992</v>
      </c>
      <c r="H42" s="67" t="n">
        <f aca="false">2*B42*1.06</f>
        <v>2544</v>
      </c>
      <c r="I42" s="67" t="n">
        <f aca="false">1*B42*1.08</f>
        <v>1296</v>
      </c>
      <c r="J42" s="67" t="n">
        <f aca="false">SUM(E42:I42)</f>
        <v>12480</v>
      </c>
      <c r="K42" s="55"/>
    </row>
    <row r="43" customFormat="false" ht="12" hidden="false" customHeight="false" outlineLevel="0" collapsed="false">
      <c r="A43" s="27" t="s">
        <v>70</v>
      </c>
      <c r="B43" s="26" t="n">
        <v>194</v>
      </c>
      <c r="C43" s="73" t="n">
        <v>50</v>
      </c>
      <c r="D43" s="30" t="s">
        <v>69</v>
      </c>
      <c r="E43" s="67" t="n">
        <f aca="false">5*B43</f>
        <v>970</v>
      </c>
      <c r="F43" s="67" t="n">
        <f aca="false">10*B43*1.02</f>
        <v>1978.8</v>
      </c>
      <c r="G43" s="67" t="n">
        <f aca="false">20*B43*1.04</f>
        <v>4035.2</v>
      </c>
      <c r="H43" s="67" t="n">
        <f aca="false">15*B43*1.06</f>
        <v>3084.6</v>
      </c>
      <c r="I43" s="67" t="n">
        <v>0</v>
      </c>
      <c r="J43" s="67" t="n">
        <f aca="false">SUM(E43:I43)</f>
        <v>10068.6</v>
      </c>
      <c r="K43" s="55"/>
    </row>
    <row r="44" customFormat="false" ht="12" hidden="false" customHeight="false" outlineLevel="0" collapsed="false">
      <c r="A44" s="27" t="s">
        <v>71</v>
      </c>
      <c r="B44" s="26" t="n">
        <v>500</v>
      </c>
      <c r="C44" s="73" t="s">
        <v>69</v>
      </c>
      <c r="D44" s="73" t="n">
        <v>1</v>
      </c>
      <c r="E44" s="67" t="n">
        <f aca="false">B44</f>
        <v>500</v>
      </c>
      <c r="F44" s="67" t="n">
        <f aca="false">B44*1.02</f>
        <v>510</v>
      </c>
      <c r="G44" s="67" t="n">
        <f aca="false">B44*1.04</f>
        <v>520</v>
      </c>
      <c r="H44" s="67" t="n">
        <f aca="false">B44*1.06</f>
        <v>530</v>
      </c>
      <c r="I44" s="67" t="n">
        <f aca="false">B44*1.08</f>
        <v>540</v>
      </c>
      <c r="J44" s="67" t="n">
        <f aca="false">SUM(E44:I44)</f>
        <v>2600</v>
      </c>
      <c r="K44" s="55"/>
    </row>
    <row r="45" customFormat="false" ht="12" hidden="false" customHeight="false" outlineLevel="0" collapsed="false">
      <c r="A45" s="109" t="s">
        <v>72</v>
      </c>
      <c r="B45" s="110" t="n">
        <v>1740</v>
      </c>
      <c r="C45" s="111"/>
      <c r="D45" s="112" t="n">
        <v>8</v>
      </c>
      <c r="E45" s="86" t="n">
        <f aca="false">0</f>
        <v>0</v>
      </c>
      <c r="F45" s="86" t="n">
        <f aca="false">B45*D45</f>
        <v>13920</v>
      </c>
      <c r="G45" s="86" t="n">
        <v>0</v>
      </c>
      <c r="H45" s="86" t="n">
        <v>0</v>
      </c>
      <c r="I45" s="86" t="n">
        <v>0</v>
      </c>
      <c r="J45" s="43" t="n">
        <f aca="false">SUM(E45:I45)</f>
        <v>13920</v>
      </c>
    </row>
    <row r="46" customFormat="false" ht="12" hidden="false" customHeight="false" outlineLevel="0" collapsed="false">
      <c r="A46" s="109" t="s">
        <v>73</v>
      </c>
      <c r="B46" s="111" t="n">
        <v>500</v>
      </c>
      <c r="C46" s="113" t="n">
        <v>4</v>
      </c>
      <c r="D46" s="113"/>
      <c r="E46" s="86" t="n">
        <v>0</v>
      </c>
      <c r="F46" s="86" t="n">
        <v>0</v>
      </c>
      <c r="G46" s="86" t="n">
        <v>2000</v>
      </c>
      <c r="H46" s="86" t="n">
        <v>0</v>
      </c>
      <c r="I46" s="86" t="n">
        <v>0</v>
      </c>
      <c r="J46" s="86" t="n">
        <v>0</v>
      </c>
      <c r="K46" s="55"/>
    </row>
    <row r="47" customFormat="false" ht="12" hidden="false" customHeight="false" outlineLevel="0" collapsed="false">
      <c r="A47" s="27" t="s">
        <v>75</v>
      </c>
      <c r="B47" s="26" t="n">
        <v>2500</v>
      </c>
      <c r="C47" s="73" t="n">
        <v>2</v>
      </c>
      <c r="D47" s="73" t="s">
        <v>69</v>
      </c>
      <c r="E47" s="67" t="n">
        <v>0</v>
      </c>
      <c r="F47" s="86" t="n">
        <f aca="false">B47</f>
        <v>2500</v>
      </c>
      <c r="G47" s="86" t="n">
        <f aca="false">B47</f>
        <v>2500</v>
      </c>
      <c r="H47" s="67" t="n">
        <v>0</v>
      </c>
      <c r="I47" s="67" t="n">
        <f aca="false">0</f>
        <v>0</v>
      </c>
      <c r="J47" s="67" t="n">
        <f aca="false">SUM(E47:I47)</f>
        <v>5000</v>
      </c>
      <c r="K47" s="55"/>
    </row>
    <row r="48" customFormat="false" ht="12" hidden="false" customHeight="false" outlineLevel="0" collapsed="false">
      <c r="A48" s="27" t="s">
        <v>76</v>
      </c>
      <c r="B48" s="26" t="n">
        <v>500</v>
      </c>
      <c r="C48" s="73" t="n">
        <v>1</v>
      </c>
      <c r="D48" s="73" t="n">
        <v>1</v>
      </c>
      <c r="E48" s="67" t="n">
        <v>500</v>
      </c>
      <c r="F48" s="67" t="n">
        <v>500</v>
      </c>
      <c r="G48" s="67" t="n">
        <v>500</v>
      </c>
      <c r="H48" s="67" t="n">
        <v>500</v>
      </c>
      <c r="I48" s="67" t="n">
        <v>500</v>
      </c>
      <c r="J48" s="67" t="n">
        <f aca="false">SUM(E48:I48)</f>
        <v>2500</v>
      </c>
      <c r="K48" s="55"/>
    </row>
    <row r="49" customFormat="false" ht="12" hidden="false" customHeight="false" outlineLevel="0" collapsed="false">
      <c r="A49" s="27" t="s">
        <v>77</v>
      </c>
      <c r="B49" s="26" t="n">
        <f aca="false">500+(2*250)+(3*74)+100</f>
        <v>1322</v>
      </c>
      <c r="C49" s="73" t="n">
        <v>1</v>
      </c>
      <c r="D49" s="73" t="n">
        <v>1</v>
      </c>
      <c r="E49" s="67" t="n">
        <f aca="false">B49*C49*D49</f>
        <v>1322</v>
      </c>
      <c r="F49" s="67" t="n">
        <f aca="false">E49*1.02</f>
        <v>1348.44</v>
      </c>
      <c r="G49" s="67" t="n">
        <f aca="false">F49*1.02</f>
        <v>1375.4088</v>
      </c>
      <c r="H49" s="67" t="n">
        <f aca="false">G49*1.02</f>
        <v>1402.916976</v>
      </c>
      <c r="I49" s="67" t="n">
        <f aca="false">H49*1.02</f>
        <v>1430.97531552</v>
      </c>
      <c r="J49" s="67" t="n">
        <f aca="false">SUM(E49:I49)</f>
        <v>6879.74109152</v>
      </c>
      <c r="K49" s="55"/>
    </row>
    <row r="50" customFormat="false" ht="12.75" hidden="false" customHeight="false" outlineLevel="0" collapsed="false">
      <c r="A50" s="45" t="s">
        <v>78</v>
      </c>
      <c r="B50" s="46"/>
      <c r="C50" s="46"/>
      <c r="D50" s="47"/>
      <c r="E50" s="48" t="n">
        <f aca="false">SUM(E42:E49)</f>
        <v>4492</v>
      </c>
      <c r="F50" s="48" t="n">
        <f aca="false">SUM(F42:F49)</f>
        <v>23205.24</v>
      </c>
      <c r="G50" s="48" t="n">
        <f aca="false">SUM(G42:G49)</f>
        <v>15922.6088</v>
      </c>
      <c r="H50" s="48" t="n">
        <f aca="false">SUM(H42:H49)</f>
        <v>8061.516976</v>
      </c>
      <c r="I50" s="48" t="n">
        <f aca="false">SUM(I42:I49)</f>
        <v>3766.97531552</v>
      </c>
      <c r="J50" s="48" t="n">
        <f aca="false">SUM(J42:J49)</f>
        <v>53448.34109152</v>
      </c>
    </row>
    <row r="51" customFormat="false" ht="12.75" hidden="false" customHeight="false" outlineLevel="0" collapsed="false">
      <c r="A51" s="87"/>
      <c r="B51" s="88"/>
      <c r="C51" s="88"/>
      <c r="D51" s="89"/>
      <c r="E51" s="67"/>
      <c r="F51" s="67"/>
      <c r="G51" s="67"/>
      <c r="H51" s="67"/>
      <c r="I51" s="67"/>
      <c r="J51" s="67"/>
    </row>
    <row r="52" customFormat="false" ht="12.75" hidden="false" customHeight="false" outlineLevel="0" collapsed="false">
      <c r="A52" s="90" t="s">
        <v>79</v>
      </c>
      <c r="B52" s="91"/>
      <c r="C52" s="91"/>
      <c r="D52" s="92"/>
      <c r="E52" s="48" t="n">
        <f aca="false">E28+E37+E50</f>
        <v>104492</v>
      </c>
      <c r="F52" s="48" t="n">
        <f aca="false">F28+F37+F50</f>
        <v>25605.24</v>
      </c>
      <c r="G52" s="48" t="n">
        <f aca="false">G28+G37+G50</f>
        <v>18370.6088</v>
      </c>
      <c r="H52" s="48" t="n">
        <f aca="false">H28+H37+H50</f>
        <v>10558.476976</v>
      </c>
      <c r="I52" s="48" t="n">
        <f aca="false">I28+I37+I50</f>
        <v>6313.87451552</v>
      </c>
      <c r="J52" s="48" t="n">
        <f aca="false">J28+J37+J50</f>
        <v>177260.20029152</v>
      </c>
      <c r="K52" s="93"/>
    </row>
    <row r="53" customFormat="false" ht="12.75" hidden="false" customHeight="false" outlineLevel="0" collapsed="false">
      <c r="A53" s="94"/>
      <c r="B53" s="95"/>
      <c r="C53" s="95"/>
      <c r="D53" s="96"/>
      <c r="E53" s="97"/>
      <c r="F53" s="97"/>
      <c r="G53" s="97"/>
      <c r="H53" s="97"/>
      <c r="I53" s="97"/>
      <c r="J53" s="59"/>
      <c r="K53" s="93"/>
    </row>
    <row r="54" customFormat="false" ht="12.75" hidden="false" customHeight="false" outlineLevel="0" collapsed="false">
      <c r="A54" s="90" t="s">
        <v>80</v>
      </c>
      <c r="B54" s="91"/>
      <c r="C54" s="91"/>
      <c r="D54" s="92"/>
      <c r="E54" s="48" t="n">
        <f aca="false">E23+E52</f>
        <v>151530.690416</v>
      </c>
      <c r="F54" s="48" t="n">
        <f aca="false">F23+F52</f>
        <v>71532.49033632</v>
      </c>
      <c r="G54" s="48" t="n">
        <f aca="false">G23+G52</f>
        <v>67215.6317267024</v>
      </c>
      <c r="H54" s="48" t="n">
        <f aca="false">H23+H52</f>
        <v>54018.610880059</v>
      </c>
      <c r="I54" s="48" t="n">
        <f aca="false">I23+I52</f>
        <v>50643.2110976601</v>
      </c>
      <c r="J54" s="56" t="n">
        <f aca="false">SUM(E54:I54)</f>
        <v>394940.634456742</v>
      </c>
      <c r="K54" s="93"/>
    </row>
    <row r="55" customFormat="false" ht="13.5" hidden="false" customHeight="true" outlineLevel="0" collapsed="false">
      <c r="A55" s="94"/>
      <c r="B55" s="98" t="s">
        <v>30</v>
      </c>
      <c r="C55" s="98" t="s">
        <v>81</v>
      </c>
      <c r="D55" s="96"/>
      <c r="E55" s="97"/>
      <c r="F55" s="97"/>
      <c r="G55" s="97"/>
      <c r="H55" s="97"/>
      <c r="I55" s="97"/>
      <c r="J55" s="59"/>
      <c r="K55" s="93"/>
    </row>
    <row r="56" customFormat="false" ht="12.75" hidden="false" customHeight="false" outlineLevel="0" collapsed="false">
      <c r="A56" s="90" t="s">
        <v>82</v>
      </c>
      <c r="B56" s="99" t="n">
        <v>0.557</v>
      </c>
      <c r="C56" s="100" t="s">
        <v>83</v>
      </c>
      <c r="D56" s="92"/>
      <c r="E56" s="48" t="n">
        <f aca="false">E15*0.557</f>
        <v>25054.21648</v>
      </c>
      <c r="F56" s="48" t="n">
        <f aca="false">F15*0.557</f>
        <v>24658.8327036</v>
      </c>
      <c r="G56" s="48" t="n">
        <f aca="false">G15*0.557</f>
        <v>26017.902441432</v>
      </c>
      <c r="H56" s="48" t="n">
        <f aca="false">H15*0.557</f>
        <v>23256.6187593699</v>
      </c>
      <c r="I56" s="48" t="n">
        <f aca="false">I15*0.557</f>
        <v>23721.7511345573</v>
      </c>
      <c r="J56" s="56" t="n">
        <f aca="false">SUM(E56:I56)</f>
        <v>122709.321518959</v>
      </c>
    </row>
    <row r="57" customFormat="false" ht="12.75" hidden="false" customHeight="false" outlineLevel="0" collapsed="false">
      <c r="A57" s="94"/>
      <c r="B57" s="101"/>
      <c r="C57" s="95"/>
      <c r="D57" s="96"/>
      <c r="E57" s="97"/>
      <c r="F57" s="97"/>
      <c r="G57" s="97"/>
      <c r="H57" s="97"/>
      <c r="I57" s="97"/>
      <c r="J57" s="59"/>
    </row>
    <row r="58" customFormat="false" ht="12.75" hidden="false" customHeight="false" outlineLevel="0" collapsed="false">
      <c r="A58" s="102" t="s">
        <v>84</v>
      </c>
      <c r="B58" s="103"/>
      <c r="C58" s="103"/>
      <c r="D58" s="104"/>
      <c r="E58" s="105" t="n">
        <f aca="false">E54+E56</f>
        <v>176584.906896</v>
      </c>
      <c r="F58" s="105" t="n">
        <f aca="false">F54+F56</f>
        <v>96191.32303992</v>
      </c>
      <c r="G58" s="105" t="n">
        <f aca="false">G54+G56</f>
        <v>93233.5341681344</v>
      </c>
      <c r="H58" s="105" t="n">
        <f aca="false">H54+H56</f>
        <v>77275.2296394288</v>
      </c>
      <c r="I58" s="105" t="n">
        <f aca="false">I54+I56</f>
        <v>74364.9622322174</v>
      </c>
      <c r="J58" s="105" t="n">
        <f aca="false">J54+J56</f>
        <v>517649.955975701</v>
      </c>
      <c r="K58" s="93"/>
    </row>
    <row r="59" customFormat="false" ht="12.75" hidden="false" customHeight="true" outlineLevel="0" collapsed="false">
      <c r="A59" s="106"/>
      <c r="D59" s="107"/>
      <c r="E59" s="55"/>
      <c r="F59" s="55"/>
      <c r="G59" s="55"/>
      <c r="H59" s="55"/>
      <c r="I59" s="55"/>
      <c r="J59" s="55"/>
    </row>
    <row r="60" customFormat="false" ht="12.75" hidden="false" customHeight="true" outlineLevel="0" collapsed="false">
      <c r="A60" s="108"/>
      <c r="D60" s="107"/>
      <c r="E60" s="55"/>
      <c r="F60" s="55"/>
      <c r="G60" s="55"/>
      <c r="H60" s="55"/>
      <c r="I60" s="55"/>
      <c r="J60" s="55"/>
    </row>
  </sheetData>
  <mergeCells count="3">
    <mergeCell ref="A1:G1"/>
    <mergeCell ref="A4:A5"/>
    <mergeCell ref="B4:D5"/>
  </mergeCells>
  <printOptions headings="false" gridLines="false" gridLinesSet="true" horizontalCentered="true" verticalCentered="true"/>
  <pageMargins left="0.5" right="0.5" top="0.5" bottom="0.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P60"/>
  <sheetViews>
    <sheetView showFormulas="false" showGridLines="true" showRowColHeaders="true" showZeros="true" rightToLeft="false" tabSelected="false" showOutlineSymbols="false" defaultGridColor="true" view="normal" topLeftCell="A28" colorId="64" zoomScale="100" zoomScaleNormal="100" zoomScalePageLayoutView="100" workbookViewId="0">
      <selection pane="topLeft" activeCell="A46" activeCellId="0" sqref="A46"/>
    </sheetView>
  </sheetViews>
  <sheetFormatPr defaultColWidth="8.83203125" defaultRowHeight="12" zeroHeight="false" outlineLevelRow="0" outlineLevelCol="0"/>
  <cols>
    <col collapsed="false" customWidth="true" hidden="false" outlineLevel="0" max="1" min="1" style="1" width="36.54"/>
    <col collapsed="false" customWidth="true" hidden="false" outlineLevel="0" max="2" min="2" style="1" width="10.54"/>
    <col collapsed="false" customWidth="true" hidden="false" outlineLevel="0" max="3" min="3" style="1" width="11.64"/>
    <col collapsed="false" customWidth="true" hidden="false" outlineLevel="0" max="4" min="4" style="2" width="12.64"/>
    <col collapsed="false" customWidth="true" hidden="false" outlineLevel="0" max="5" min="5" style="1" width="18.82"/>
    <col collapsed="false" customWidth="true" hidden="false" outlineLevel="0" max="9" min="6" style="1" width="19.46"/>
    <col collapsed="false" customWidth="true" hidden="false" outlineLevel="0" max="10" min="10" style="1" width="18.82"/>
    <col collapsed="false" customWidth="true" hidden="false" outlineLevel="0" max="11" min="11" style="1" width="15.45"/>
    <col collapsed="false" customWidth="true" hidden="false" outlineLevel="0" max="12" min="12" style="1" width="11.45"/>
    <col collapsed="false" customWidth="true" hidden="false" outlineLevel="0" max="15" min="13" style="1" width="9.82"/>
    <col collapsed="false" customWidth="true" hidden="false" outlineLevel="0" max="16" min="16" style="1" width="10.82"/>
    <col collapsed="false" customWidth="true" hidden="false" outlineLevel="0" max="50" min="17" style="1" width="9.18"/>
    <col collapsed="false" customWidth="false" hidden="false" outlineLevel="0" max="1024" min="51" style="1" width="8.82"/>
  </cols>
  <sheetData>
    <row r="1" s="4" customFormat="true" ht="12.7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4" t="s">
        <v>1</v>
      </c>
      <c r="I1" s="5" t="s">
        <v>2</v>
      </c>
    </row>
    <row r="2" customFormat="false" ht="12.75" hidden="false" customHeight="false" outlineLevel="0" collapsed="false">
      <c r="A2" s="6" t="s">
        <v>3</v>
      </c>
      <c r="B2" s="6" t="s">
        <v>4</v>
      </c>
      <c r="C2" s="1" t="s">
        <v>5</v>
      </c>
      <c r="D2" s="7"/>
      <c r="H2" s="8" t="s">
        <v>6</v>
      </c>
      <c r="I2" s="1" t="s">
        <v>7</v>
      </c>
    </row>
    <row r="3" customFormat="false" ht="12.75" hidden="false" customHeight="false" outlineLevel="0" collapsed="false">
      <c r="B3" s="6"/>
      <c r="C3" s="9"/>
      <c r="D3" s="7"/>
      <c r="E3" s="10"/>
      <c r="F3" s="10"/>
      <c r="G3" s="10"/>
      <c r="H3" s="10"/>
      <c r="I3" s="10"/>
    </row>
    <row r="4" customFormat="false" ht="12.75" hidden="false" customHeight="false" outlineLevel="0" collapsed="false">
      <c r="A4" s="11" t="s">
        <v>8</v>
      </c>
      <c r="B4" s="12" t="s">
        <v>9</v>
      </c>
      <c r="C4" s="12"/>
      <c r="D4" s="12"/>
      <c r="E4" s="13" t="s">
        <v>10</v>
      </c>
      <c r="F4" s="13" t="s">
        <v>11</v>
      </c>
      <c r="G4" s="13" t="s">
        <v>12</v>
      </c>
      <c r="H4" s="13" t="s">
        <v>13</v>
      </c>
      <c r="I4" s="13" t="s">
        <v>14</v>
      </c>
      <c r="J4" s="14" t="s">
        <v>15</v>
      </c>
    </row>
    <row r="5" customFormat="false" ht="12.75" hidden="false" customHeight="false" outlineLevel="0" collapsed="false">
      <c r="A5" s="11"/>
      <c r="B5" s="12"/>
      <c r="C5" s="12"/>
      <c r="D5" s="12"/>
      <c r="E5" s="15" t="s">
        <v>16</v>
      </c>
      <c r="F5" s="15" t="s">
        <v>17</v>
      </c>
      <c r="G5" s="15" t="s">
        <v>18</v>
      </c>
      <c r="H5" s="15" t="s">
        <v>19</v>
      </c>
      <c r="I5" s="15" t="s">
        <v>20</v>
      </c>
      <c r="J5" s="15" t="s">
        <v>21</v>
      </c>
    </row>
    <row r="6" customFormat="false" ht="12.75" hidden="false" customHeight="false" outlineLevel="0" collapsed="false">
      <c r="A6" s="16" t="s">
        <v>22</v>
      </c>
      <c r="B6" s="17"/>
      <c r="C6" s="18"/>
      <c r="D6" s="19"/>
      <c r="E6" s="20"/>
      <c r="F6" s="20"/>
      <c r="G6" s="20"/>
      <c r="H6" s="20"/>
      <c r="I6" s="20"/>
      <c r="J6" s="20"/>
    </row>
    <row r="7" s="26" customFormat="true" ht="12.75" hidden="false" customHeight="false" outlineLevel="0" collapsed="false">
      <c r="A7" s="21" t="s">
        <v>23</v>
      </c>
      <c r="B7" s="22" t="s">
        <v>24</v>
      </c>
      <c r="C7" s="22" t="s">
        <v>25</v>
      </c>
      <c r="D7" s="23" t="s">
        <v>26</v>
      </c>
      <c r="E7" s="24"/>
      <c r="F7" s="24"/>
      <c r="G7" s="24"/>
      <c r="H7" s="24"/>
      <c r="I7" s="24"/>
      <c r="J7" s="25"/>
    </row>
    <row r="8" s="26" customFormat="true" ht="12" hidden="false" customHeight="false" outlineLevel="0" collapsed="false">
      <c r="A8" s="27" t="s">
        <v>27</v>
      </c>
      <c r="B8" s="28"/>
      <c r="C8" s="29"/>
      <c r="D8" s="30"/>
      <c r="E8" s="31"/>
      <c r="F8" s="31"/>
      <c r="G8" s="31"/>
      <c r="H8" s="31"/>
      <c r="I8" s="31"/>
      <c r="J8" s="31"/>
      <c r="K8" s="32"/>
      <c r="L8" s="32"/>
      <c r="M8" s="32"/>
      <c r="N8" s="32"/>
      <c r="O8" s="32"/>
      <c r="P8" s="32"/>
    </row>
    <row r="9" s="26" customFormat="true" ht="12" hidden="false" customHeight="false" outlineLevel="0" collapsed="false">
      <c r="A9" s="27" t="s">
        <v>28</v>
      </c>
      <c r="B9" s="28" t="n">
        <f aca="false">(74460+2700)*1.02</f>
        <v>78703.2</v>
      </c>
      <c r="C9" s="33" t="n">
        <v>2</v>
      </c>
      <c r="D9" s="34" t="n">
        <v>1.02</v>
      </c>
      <c r="E9" s="35" t="n">
        <f aca="false">B9/10*C9</f>
        <v>15740.64</v>
      </c>
      <c r="F9" s="35" t="n">
        <f aca="false">E9*1.02</f>
        <v>16055.4528</v>
      </c>
      <c r="G9" s="35" t="n">
        <f aca="false">F9*1.02</f>
        <v>16376.561856</v>
      </c>
      <c r="H9" s="35" t="n">
        <f aca="false">G9*1.02</f>
        <v>16704.09309312</v>
      </c>
      <c r="I9" s="35" t="n">
        <f aca="false">H9*1.02</f>
        <v>17038.1749549824</v>
      </c>
      <c r="J9" s="35" t="n">
        <f aca="false">SUM(E9:I9)</f>
        <v>81914.9227041024</v>
      </c>
      <c r="K9" s="32"/>
      <c r="L9" s="32"/>
      <c r="M9" s="32"/>
      <c r="N9" s="32"/>
      <c r="O9" s="32"/>
      <c r="P9" s="32"/>
    </row>
    <row r="10" s="26" customFormat="true" ht="12.75" hidden="false" customHeight="false" outlineLevel="0" collapsed="false">
      <c r="A10" s="36" t="s">
        <v>29</v>
      </c>
      <c r="B10" s="37" t="s">
        <v>30</v>
      </c>
      <c r="C10" s="38" t="s">
        <v>31</v>
      </c>
      <c r="D10" s="39" t="s">
        <v>32</v>
      </c>
      <c r="E10" s="40"/>
      <c r="F10" s="40"/>
      <c r="G10" s="40"/>
      <c r="H10" s="40"/>
      <c r="I10" s="40"/>
      <c r="J10" s="40"/>
    </row>
    <row r="11" s="26" customFormat="true" ht="12" hidden="false" customHeight="false" outlineLevel="0" collapsed="false">
      <c r="A11" s="27" t="s">
        <v>33</v>
      </c>
      <c r="B11" s="41" t="n">
        <v>15.5</v>
      </c>
      <c r="C11" s="42" t="n">
        <f aca="false">10*13*2</f>
        <v>260</v>
      </c>
      <c r="D11" s="30" t="n">
        <v>4</v>
      </c>
      <c r="E11" s="35" t="n">
        <f aca="false">B11*C11*D11</f>
        <v>16120</v>
      </c>
      <c r="F11" s="35" t="n">
        <f aca="false">E11*1.02*5/4</f>
        <v>20553</v>
      </c>
      <c r="G11" s="35" t="n">
        <f aca="false">F11*1.02*4/5</f>
        <v>16771.248</v>
      </c>
      <c r="H11" s="35" t="n">
        <f aca="false">G11*1.02</f>
        <v>17106.67296</v>
      </c>
      <c r="I11" s="35" t="n">
        <f aca="false">H11*1.02</f>
        <v>17448.8064192</v>
      </c>
      <c r="J11" s="35" t="n">
        <f aca="false">SUM(E11:I11)</f>
        <v>87999.7273792</v>
      </c>
    </row>
    <row r="12" s="26" customFormat="true" ht="12" hidden="false" customHeight="false" outlineLevel="0" collapsed="false">
      <c r="A12" s="27" t="s">
        <v>34</v>
      </c>
      <c r="B12" s="41" t="n">
        <v>15.5</v>
      </c>
      <c r="C12" s="42" t="n">
        <f aca="false">18*10</f>
        <v>180</v>
      </c>
      <c r="D12" s="30" t="n">
        <v>3</v>
      </c>
      <c r="E12" s="35" t="n">
        <f aca="false">B12*C12*D12</f>
        <v>8370</v>
      </c>
      <c r="F12" s="35" t="n">
        <f aca="false">E12*1.02*0.33</f>
        <v>2817.342</v>
      </c>
      <c r="G12" s="35" t="n">
        <f aca="false">F12*1.02*3</f>
        <v>8621.06652</v>
      </c>
      <c r="H12" s="35" t="n">
        <f aca="false">G12*1.02*0.33</f>
        <v>2901.850990632</v>
      </c>
      <c r="I12" s="35" t="n">
        <f aca="false">H12*1.02</f>
        <v>2959.88801044464</v>
      </c>
      <c r="J12" s="35" t="n">
        <f aca="false">SUM(E12:I12)</f>
        <v>25670.1475210766</v>
      </c>
    </row>
    <row r="13" s="26" customFormat="true" ht="12" hidden="false" customHeight="false" outlineLevel="0" collapsed="false">
      <c r="A13" s="27" t="s">
        <v>35</v>
      </c>
      <c r="B13" s="44" t="n">
        <v>25</v>
      </c>
      <c r="C13" s="42" t="n">
        <f aca="false">19*10</f>
        <v>190</v>
      </c>
      <c r="D13" s="30" t="n">
        <v>1</v>
      </c>
      <c r="E13" s="35" t="n">
        <f aca="false">B13*C13*D13</f>
        <v>4750</v>
      </c>
      <c r="F13" s="35" t="n">
        <f aca="false">E13*1.02</f>
        <v>4845</v>
      </c>
      <c r="G13" s="35" t="n">
        <f aca="false">F13*1.02</f>
        <v>4941.9</v>
      </c>
      <c r="H13" s="35" t="n">
        <f aca="false">G13*1.02</f>
        <v>5040.738</v>
      </c>
      <c r="I13" s="35" t="n">
        <f aca="false">H13*1.02</f>
        <v>5141.55276</v>
      </c>
      <c r="J13" s="35" t="n">
        <f aca="false">SUM(E13:I13)</f>
        <v>24719.19076</v>
      </c>
    </row>
    <row r="14" s="26" customFormat="true" ht="12" hidden="false" customHeight="false" outlineLevel="0" collapsed="false">
      <c r="A14" s="27"/>
      <c r="B14" s="44"/>
      <c r="C14" s="42"/>
      <c r="D14" s="30"/>
      <c r="E14" s="35" t="n">
        <f aca="false">B14*C14*D14</f>
        <v>0</v>
      </c>
      <c r="F14" s="35" t="n">
        <f aca="false">E14*1.02</f>
        <v>0</v>
      </c>
      <c r="G14" s="35" t="n">
        <f aca="false">F14*1.02</f>
        <v>0</v>
      </c>
      <c r="H14" s="35" t="n">
        <f aca="false">G14*1.02</f>
        <v>0</v>
      </c>
      <c r="I14" s="35" t="n">
        <f aca="false">H14*1.02</f>
        <v>0</v>
      </c>
      <c r="J14" s="35" t="n">
        <f aca="false">SUM(E14:I14)</f>
        <v>0</v>
      </c>
    </row>
    <row r="15" customFormat="false" ht="12.75" hidden="false" customHeight="false" outlineLevel="0" collapsed="false">
      <c r="A15" s="45" t="s">
        <v>36</v>
      </c>
      <c r="B15" s="46"/>
      <c r="C15" s="46"/>
      <c r="D15" s="47"/>
      <c r="E15" s="48" t="n">
        <f aca="false">SUM(E8:E14)</f>
        <v>44980.64</v>
      </c>
      <c r="F15" s="48" t="n">
        <f aca="false">SUM(F8:F14)</f>
        <v>44270.7948</v>
      </c>
      <c r="G15" s="48" t="n">
        <f aca="false">SUM(G8:G14)</f>
        <v>46710.776376</v>
      </c>
      <c r="H15" s="48" t="n">
        <f aca="false">SUM(H8:H14)</f>
        <v>41753.355043752</v>
      </c>
      <c r="I15" s="48" t="n">
        <f aca="false">SUM(I8:I14)</f>
        <v>42588.4221446271</v>
      </c>
      <c r="J15" s="48" t="n">
        <f aca="false">SUM(J8:J14)</f>
        <v>220303.988364379</v>
      </c>
      <c r="K15" s="49"/>
      <c r="L15" s="49"/>
      <c r="M15" s="49"/>
      <c r="N15" s="49"/>
      <c r="O15" s="49"/>
      <c r="P15" s="49"/>
    </row>
    <row r="16" s="5" customFormat="true" ht="12.75" hidden="false" customHeight="true" outlineLevel="0" collapsed="false">
      <c r="A16" s="50" t="s">
        <v>37</v>
      </c>
      <c r="B16" s="51" t="s">
        <v>38</v>
      </c>
      <c r="C16" s="51" t="s">
        <v>39</v>
      </c>
      <c r="D16" s="51" t="s">
        <v>40</v>
      </c>
      <c r="E16" s="52"/>
      <c r="F16" s="52"/>
      <c r="G16" s="52"/>
      <c r="H16" s="52"/>
      <c r="I16" s="52"/>
      <c r="J16" s="52"/>
    </row>
    <row r="17" customFormat="false" ht="12" hidden="false" customHeight="false" outlineLevel="0" collapsed="false">
      <c r="A17" s="27" t="str">
        <f aca="false">A8</f>
        <v>PI AY Release</v>
      </c>
      <c r="B17" s="29" t="n">
        <v>0.32</v>
      </c>
      <c r="C17" s="53"/>
      <c r="D17" s="53"/>
      <c r="E17" s="35"/>
      <c r="F17" s="35"/>
      <c r="G17" s="35"/>
      <c r="H17" s="35"/>
      <c r="I17" s="35"/>
      <c r="J17" s="35"/>
    </row>
    <row r="18" customFormat="false" ht="12" hidden="false" customHeight="false" outlineLevel="0" collapsed="false">
      <c r="A18" s="27" t="str">
        <f aca="false">A9</f>
        <v>PI Summer Salary</v>
      </c>
      <c r="B18" s="54"/>
      <c r="C18" s="53"/>
      <c r="D18" s="53" t="n">
        <v>0.0849</v>
      </c>
      <c r="E18" s="35" t="n">
        <f aca="false">$D$18*E9</f>
        <v>1336.380336</v>
      </c>
      <c r="F18" s="35" t="n">
        <f aca="false">$D$18*F9</f>
        <v>1363.10794272</v>
      </c>
      <c r="G18" s="35" t="n">
        <f aca="false">$D$18*G9</f>
        <v>1390.3701015744</v>
      </c>
      <c r="H18" s="35" t="n">
        <f aca="false">$D$18*H9</f>
        <v>1418.17750360589</v>
      </c>
      <c r="I18" s="35" t="n">
        <f aca="false">$D$18*I9</f>
        <v>1446.54105367801</v>
      </c>
      <c r="J18" s="35" t="n">
        <f aca="false">SUM(E18:I18)</f>
        <v>6954.57693757829</v>
      </c>
      <c r="K18" s="55"/>
    </row>
    <row r="19" customFormat="false" ht="12" hidden="false" customHeight="false" outlineLevel="0" collapsed="false">
      <c r="A19" s="27" t="s">
        <v>41</v>
      </c>
      <c r="B19" s="53" t="n">
        <v>0.003334</v>
      </c>
      <c r="C19" s="53"/>
      <c r="E19" s="35" t="n">
        <f aca="false">$B$19*E11</f>
        <v>53.74408</v>
      </c>
      <c r="F19" s="35" t="n">
        <f aca="false">$B$19*F11</f>
        <v>68.523702</v>
      </c>
      <c r="G19" s="35" t="n">
        <f aca="false">$B$19*G11</f>
        <v>55.915340832</v>
      </c>
      <c r="H19" s="35" t="n">
        <f aca="false">$B$19*H11</f>
        <v>57.03364764864</v>
      </c>
      <c r="I19" s="35" t="n">
        <f aca="false">$B$19*I11</f>
        <v>58.1743206016128</v>
      </c>
      <c r="J19" s="35" t="n">
        <f aca="false">SUM(E19:I19)</f>
        <v>293.391091082253</v>
      </c>
    </row>
    <row r="20" customFormat="false" ht="12" hidden="false" customHeight="false" outlineLevel="0" collapsed="false">
      <c r="A20" s="27" t="s">
        <v>42</v>
      </c>
      <c r="B20" s="54"/>
      <c r="C20" s="53"/>
      <c r="D20" s="53" t="n">
        <v>0.0798</v>
      </c>
      <c r="E20" s="35" t="n">
        <f aca="false">E12*$D$20</f>
        <v>667.926</v>
      </c>
      <c r="F20" s="35" t="n">
        <f aca="false">F12*$D$20</f>
        <v>224.8238916</v>
      </c>
      <c r="G20" s="35" t="n">
        <f aca="false">G12*$D$20</f>
        <v>687.961108296</v>
      </c>
      <c r="H20" s="35" t="n">
        <f aca="false">H12*$D$20</f>
        <v>231.567709052434</v>
      </c>
      <c r="I20" s="35" t="n">
        <f aca="false">I12*$D$20</f>
        <v>236.199063233482</v>
      </c>
      <c r="J20" s="35" t="n">
        <f aca="false">SUM(E20:I20)</f>
        <v>2048.47777218192</v>
      </c>
      <c r="K20" s="55"/>
    </row>
    <row r="21" customFormat="false" ht="12.75" hidden="false" customHeight="false" outlineLevel="0" collapsed="false">
      <c r="A21" s="45" t="s">
        <v>43</v>
      </c>
      <c r="B21" s="46"/>
      <c r="C21" s="46"/>
      <c r="D21" s="47"/>
      <c r="E21" s="56" t="n">
        <f aca="false">SUM(E17:E20)</f>
        <v>2058.050416</v>
      </c>
      <c r="F21" s="56" t="n">
        <f aca="false">SUM(F17:F20)</f>
        <v>1656.45553632</v>
      </c>
      <c r="G21" s="56" t="n">
        <f aca="false">SUM(G17:G20)</f>
        <v>2134.2465507024</v>
      </c>
      <c r="H21" s="56" t="n">
        <f aca="false">SUM(H17:H20)</f>
        <v>1706.77886030696</v>
      </c>
      <c r="I21" s="56" t="n">
        <f aca="false">SUM(I17:I20)</f>
        <v>1740.9144375131</v>
      </c>
      <c r="J21" s="56" t="n">
        <f aca="false">SUM(J17:J20)</f>
        <v>9296.44580084246</v>
      </c>
    </row>
    <row r="22" customFormat="false" ht="12.75" hidden="false" customHeight="false" outlineLevel="0" collapsed="false">
      <c r="A22" s="57"/>
      <c r="B22" s="8"/>
      <c r="C22" s="8"/>
      <c r="D22" s="58"/>
      <c r="E22" s="59"/>
      <c r="F22" s="59"/>
      <c r="G22" s="59"/>
      <c r="H22" s="59"/>
      <c r="I22" s="59"/>
      <c r="J22" s="59"/>
    </row>
    <row r="23" customFormat="false" ht="12.75" hidden="false" customHeight="false" outlineLevel="0" collapsed="false">
      <c r="A23" s="60" t="s">
        <v>44</v>
      </c>
      <c r="B23" s="46"/>
      <c r="C23" s="46"/>
      <c r="D23" s="47"/>
      <c r="E23" s="48" t="n">
        <f aca="false">E15+E21</f>
        <v>47038.690416</v>
      </c>
      <c r="F23" s="48" t="n">
        <f aca="false">F15+F21</f>
        <v>45927.25033632</v>
      </c>
      <c r="G23" s="48" t="n">
        <f aca="false">G15+G21</f>
        <v>48845.0229267024</v>
      </c>
      <c r="H23" s="48" t="n">
        <f aca="false">H15+H21</f>
        <v>43460.133904059</v>
      </c>
      <c r="I23" s="48" t="n">
        <f aca="false">I15+I21</f>
        <v>44329.3365821401</v>
      </c>
      <c r="J23" s="48" t="n">
        <f aca="false">J15+J21</f>
        <v>229600.434165221</v>
      </c>
    </row>
    <row r="24" customFormat="false" ht="12.75" hidden="false" customHeight="false" outlineLevel="0" collapsed="false">
      <c r="A24" s="16" t="s">
        <v>45</v>
      </c>
      <c r="B24" s="61"/>
      <c r="C24" s="61"/>
      <c r="D24" s="62"/>
      <c r="E24" s="63"/>
      <c r="F24" s="63"/>
      <c r="G24" s="63"/>
      <c r="H24" s="63"/>
      <c r="I24" s="63"/>
      <c r="J24" s="35"/>
    </row>
    <row r="25" customFormat="false" ht="12.75" hidden="false" customHeight="false" outlineLevel="0" collapsed="false">
      <c r="A25" s="36" t="s">
        <v>46</v>
      </c>
      <c r="B25" s="64" t="s">
        <v>47</v>
      </c>
      <c r="C25" s="64"/>
      <c r="D25" s="39" t="s">
        <v>48</v>
      </c>
      <c r="E25" s="65"/>
      <c r="F25" s="65"/>
      <c r="G25" s="65"/>
      <c r="H25" s="65"/>
      <c r="I25" s="65"/>
      <c r="J25" s="65"/>
    </row>
    <row r="26" customFormat="false" ht="12" hidden="false" customHeight="false" outlineLevel="0" collapsed="false">
      <c r="A26" s="27" t="s">
        <v>85</v>
      </c>
      <c r="B26" s="32" t="n">
        <v>50000</v>
      </c>
      <c r="C26" s="26"/>
      <c r="D26" s="66" t="n">
        <v>1</v>
      </c>
      <c r="E26" s="67" t="n">
        <f aca="false">B26*D26</f>
        <v>50000</v>
      </c>
      <c r="F26" s="67" t="n">
        <v>0</v>
      </c>
      <c r="G26" s="67" t="n">
        <v>0</v>
      </c>
      <c r="H26" s="67" t="n">
        <v>0</v>
      </c>
      <c r="I26" s="67" t="n">
        <v>0</v>
      </c>
      <c r="J26" s="35" t="n">
        <f aca="false">SUM(E26:I26)</f>
        <v>50000</v>
      </c>
    </row>
    <row r="27" customFormat="false" ht="12" hidden="false" customHeight="false" outlineLevel="0" collapsed="false">
      <c r="A27" s="27" t="s">
        <v>50</v>
      </c>
      <c r="B27" s="32" t="n">
        <v>50000</v>
      </c>
      <c r="C27" s="26"/>
      <c r="D27" s="66" t="n">
        <v>1</v>
      </c>
      <c r="E27" s="67" t="n">
        <f aca="false">B27*D27</f>
        <v>50000</v>
      </c>
      <c r="F27" s="67" t="n">
        <v>0</v>
      </c>
      <c r="G27" s="67" t="n">
        <v>0</v>
      </c>
      <c r="H27" s="67" t="n">
        <v>0</v>
      </c>
      <c r="I27" s="67" t="n">
        <v>0</v>
      </c>
      <c r="J27" s="35" t="n">
        <f aca="false">SUM(E27:I27)</f>
        <v>50000</v>
      </c>
    </row>
    <row r="28" s="114" customFormat="true" ht="12" hidden="false" customHeight="false" outlineLevel="0" collapsed="false">
      <c r="A28" s="109" t="s">
        <v>86</v>
      </c>
      <c r="B28" s="110" t="n">
        <v>1740</v>
      </c>
      <c r="C28" s="111"/>
      <c r="D28" s="112" t="n">
        <v>8</v>
      </c>
      <c r="E28" s="86" t="n">
        <f aca="false">0</f>
        <v>0</v>
      </c>
      <c r="F28" s="86" t="n">
        <f aca="false">B28*D28</f>
        <v>13920</v>
      </c>
      <c r="G28" s="86" t="n">
        <v>0</v>
      </c>
      <c r="H28" s="86" t="n">
        <v>0</v>
      </c>
      <c r="I28" s="86" t="n">
        <v>0</v>
      </c>
      <c r="J28" s="43" t="n">
        <f aca="false">SUM(E28:I28)</f>
        <v>13920</v>
      </c>
    </row>
    <row r="29" customFormat="false" ht="12.75" hidden="false" customHeight="false" outlineLevel="0" collapsed="false">
      <c r="A29" s="68" t="s">
        <v>51</v>
      </c>
      <c r="B29" s="69"/>
      <c r="C29" s="69"/>
      <c r="D29" s="70"/>
      <c r="E29" s="71" t="n">
        <f aca="false">SUM(E26:E28)</f>
        <v>100000</v>
      </c>
      <c r="F29" s="71" t="n">
        <f aca="false">SUM(F26:F28)</f>
        <v>13920</v>
      </c>
      <c r="G29" s="71" t="n">
        <f aca="false">SUM(G26:G28)</f>
        <v>0</v>
      </c>
      <c r="H29" s="71" t="n">
        <f aca="false">SUM(H26:H28)</f>
        <v>0</v>
      </c>
      <c r="I29" s="71" t="n">
        <f aca="false">SUM(I26:I28)</f>
        <v>0</v>
      </c>
      <c r="J29" s="71" t="n">
        <f aca="false">SUM(J26:J28)</f>
        <v>113920</v>
      </c>
    </row>
    <row r="30" s="1" customFormat="true" ht="12" hidden="false" customHeight="false" outlineLevel="0" collapsed="false"/>
    <row r="31" customFormat="false" ht="12.75" hidden="false" customHeight="false" outlineLevel="0" collapsed="false">
      <c r="A31" s="36" t="s">
        <v>52</v>
      </c>
      <c r="B31" s="64" t="s">
        <v>53</v>
      </c>
      <c r="C31" s="64" t="s">
        <v>54</v>
      </c>
      <c r="D31" s="39" t="s">
        <v>55</v>
      </c>
      <c r="E31" s="72"/>
      <c r="F31" s="72"/>
      <c r="G31" s="72"/>
      <c r="H31" s="72"/>
      <c r="I31" s="72"/>
      <c r="J31" s="65"/>
    </row>
    <row r="32" customFormat="false" ht="12" hidden="false" customHeight="false" outlineLevel="0" collapsed="false">
      <c r="A32" s="27" t="s">
        <v>56</v>
      </c>
      <c r="B32" s="73" t="n">
        <v>0</v>
      </c>
      <c r="C32" s="74" t="s">
        <v>57</v>
      </c>
      <c r="D32" s="30" t="n">
        <v>0</v>
      </c>
      <c r="E32" s="67" t="n">
        <v>0</v>
      </c>
      <c r="F32" s="67" t="n">
        <f aca="false">1.02*E32</f>
        <v>0</v>
      </c>
      <c r="G32" s="67" t="n">
        <f aca="false">1.02*F32</f>
        <v>0</v>
      </c>
      <c r="H32" s="67" t="n">
        <f aca="false">1.02*G32</f>
        <v>0</v>
      </c>
      <c r="I32" s="67" t="n">
        <f aca="false">B32*D32</f>
        <v>0</v>
      </c>
      <c r="J32" s="35" t="n">
        <f aca="false">SUM(E32:I32)</f>
        <v>0</v>
      </c>
    </row>
    <row r="33" customFormat="false" ht="12" hidden="false" customHeight="false" outlineLevel="0" collapsed="false">
      <c r="A33" s="27" t="s">
        <v>58</v>
      </c>
      <c r="B33" s="73" t="n">
        <v>0</v>
      </c>
      <c r="C33" s="74" t="s">
        <v>57</v>
      </c>
      <c r="D33" s="30" t="n">
        <v>0</v>
      </c>
      <c r="E33" s="67" t="n">
        <v>0</v>
      </c>
      <c r="F33" s="67" t="n">
        <f aca="false">1.02*E33</f>
        <v>0</v>
      </c>
      <c r="G33" s="67" t="n">
        <f aca="false">1.02*F33</f>
        <v>0</v>
      </c>
      <c r="H33" s="67" t="n">
        <f aca="false">1.02*G33</f>
        <v>0</v>
      </c>
      <c r="I33" s="67" t="n">
        <f aca="false">B33*D33</f>
        <v>0</v>
      </c>
      <c r="J33" s="35" t="n">
        <f aca="false">SUM(E33:I33)</f>
        <v>0</v>
      </c>
    </row>
    <row r="34" customFormat="false" ht="12" hidden="false" customHeight="false" outlineLevel="0" collapsed="false">
      <c r="A34" s="27" t="s">
        <v>59</v>
      </c>
      <c r="B34" s="73" t="n">
        <f aca="false">250</f>
        <v>250</v>
      </c>
      <c r="C34" s="74" t="s">
        <v>60</v>
      </c>
      <c r="D34" s="30" t="n">
        <v>5</v>
      </c>
      <c r="E34" s="67" t="n">
        <v>0</v>
      </c>
      <c r="F34" s="67" t="n">
        <f aca="false">B34*C34*D34</f>
        <v>1250</v>
      </c>
      <c r="G34" s="67" t="n">
        <f aca="false">1.02*F34</f>
        <v>1275</v>
      </c>
      <c r="H34" s="67" t="n">
        <f aca="false">1.02*G34</f>
        <v>1300.5</v>
      </c>
      <c r="I34" s="67" t="n">
        <f aca="false">1.02*H34</f>
        <v>1326.51</v>
      </c>
      <c r="J34" s="35" t="n">
        <f aca="false">SUM(E34:I34)</f>
        <v>5152.01</v>
      </c>
    </row>
    <row r="35" customFormat="false" ht="12" hidden="false" customHeight="false" outlineLevel="0" collapsed="false">
      <c r="A35" s="27" t="s">
        <v>61</v>
      </c>
      <c r="B35" s="73" t="n">
        <v>400</v>
      </c>
      <c r="C35" s="74" t="s">
        <v>60</v>
      </c>
      <c r="D35" s="30" t="n">
        <v>1</v>
      </c>
      <c r="E35" s="67" t="n">
        <v>0</v>
      </c>
      <c r="F35" s="67" t="n">
        <f aca="false">B35*C35*D35</f>
        <v>400</v>
      </c>
      <c r="G35" s="67" t="n">
        <f aca="false">1.02*F35</f>
        <v>408</v>
      </c>
      <c r="H35" s="67" t="n">
        <f aca="false">1.02*G35</f>
        <v>416.16</v>
      </c>
      <c r="I35" s="67" t="n">
        <f aca="false">1.02*H35</f>
        <v>424.4832</v>
      </c>
      <c r="J35" s="35" t="n">
        <f aca="false">SUM(E35:I35)</f>
        <v>1648.6432</v>
      </c>
    </row>
    <row r="36" customFormat="false" ht="12" hidden="false" customHeight="false" outlineLevel="0" collapsed="false">
      <c r="A36" s="27" t="s">
        <v>62</v>
      </c>
      <c r="B36" s="73" t="n">
        <v>50</v>
      </c>
      <c r="C36" s="74" t="s">
        <v>60</v>
      </c>
      <c r="D36" s="30" t="n">
        <v>5</v>
      </c>
      <c r="E36" s="67" t="n">
        <f aca="false">0</f>
        <v>0</v>
      </c>
      <c r="F36" s="67" t="n">
        <f aca="false">B36*C36*D36</f>
        <v>250</v>
      </c>
      <c r="G36" s="67" t="n">
        <f aca="false">F36*1.02</f>
        <v>255</v>
      </c>
      <c r="H36" s="67" t="n">
        <f aca="false">G36*1.02</f>
        <v>260.1</v>
      </c>
      <c r="I36" s="67" t="n">
        <f aca="false">H36*1.02</f>
        <v>265.302</v>
      </c>
      <c r="J36" s="35" t="n">
        <f aca="false">SUM(E36:I36)</f>
        <v>1030.402</v>
      </c>
    </row>
    <row r="37" customFormat="false" ht="12" hidden="false" customHeight="false" outlineLevel="0" collapsed="false">
      <c r="A37" s="75" t="s">
        <v>63</v>
      </c>
      <c r="B37" s="76" t="n">
        <v>500</v>
      </c>
      <c r="C37" s="74" t="s">
        <v>60</v>
      </c>
      <c r="D37" s="77" t="n">
        <v>1</v>
      </c>
      <c r="E37" s="67" t="n">
        <f aca="false">0</f>
        <v>0</v>
      </c>
      <c r="F37" s="67" t="n">
        <f aca="false">B37*C37*D37</f>
        <v>500</v>
      </c>
      <c r="G37" s="67" t="n">
        <f aca="false">F37*1.02</f>
        <v>510</v>
      </c>
      <c r="H37" s="67" t="n">
        <f aca="false">G37*1.02</f>
        <v>520.2</v>
      </c>
      <c r="I37" s="67" t="n">
        <f aca="false">B37*D37</f>
        <v>500</v>
      </c>
      <c r="J37" s="35" t="n">
        <f aca="false">SUM(E37:I37)</f>
        <v>2030.2</v>
      </c>
      <c r="L37" s="55"/>
    </row>
    <row r="38" s="8" customFormat="true" ht="12.75" hidden="false" customHeight="false" outlineLevel="0" collapsed="false">
      <c r="A38" s="68" t="s">
        <v>64</v>
      </c>
      <c r="B38" s="69"/>
      <c r="C38" s="78"/>
      <c r="D38" s="79"/>
      <c r="E38" s="48" t="n">
        <f aca="false">SUM(E32:E37)</f>
        <v>0</v>
      </c>
      <c r="F38" s="48" t="n">
        <f aca="false">SUM(F32:F37)</f>
        <v>2400</v>
      </c>
      <c r="G38" s="48" t="n">
        <f aca="false">SUM(G32:G37)</f>
        <v>2448</v>
      </c>
      <c r="H38" s="48" t="n">
        <f aca="false">SUM(H32:H37)</f>
        <v>2496.96</v>
      </c>
      <c r="I38" s="48" t="n">
        <f aca="false">SUM(I32:I37)</f>
        <v>2516.2952</v>
      </c>
      <c r="J38" s="48" t="n">
        <f aca="false">SUM(J32:J37)</f>
        <v>9861.2552</v>
      </c>
    </row>
    <row r="39" customFormat="false" ht="12" hidden="false" customHeight="false" outlineLevel="0" collapsed="false">
      <c r="A39" s="80"/>
      <c r="B39" s="76"/>
      <c r="C39" s="74"/>
      <c r="D39" s="81"/>
      <c r="E39" s="67"/>
      <c r="F39" s="67"/>
      <c r="G39" s="67"/>
      <c r="H39" s="67"/>
      <c r="I39" s="67"/>
      <c r="J39" s="67"/>
    </row>
    <row r="40" customFormat="false" ht="12.75" hidden="false" customHeight="false" outlineLevel="0" collapsed="false">
      <c r="A40" s="82" t="s">
        <v>65</v>
      </c>
      <c r="B40" s="83"/>
      <c r="C40" s="84"/>
      <c r="D40" s="85"/>
      <c r="E40" s="65"/>
      <c r="F40" s="65"/>
      <c r="G40" s="65"/>
      <c r="H40" s="65"/>
      <c r="I40" s="65"/>
      <c r="J40" s="65"/>
    </row>
    <row r="41" customFormat="false" ht="12" hidden="false" customHeight="false" outlineLevel="0" collapsed="false">
      <c r="A41" s="75"/>
      <c r="B41" s="76"/>
      <c r="C41" s="74"/>
      <c r="D41" s="81"/>
      <c r="E41" s="67"/>
      <c r="F41" s="67"/>
      <c r="G41" s="67"/>
      <c r="H41" s="67"/>
      <c r="I41" s="67"/>
      <c r="J41" s="67"/>
    </row>
    <row r="42" customFormat="false" ht="12.75" hidden="false" customHeight="false" outlineLevel="0" collapsed="false">
      <c r="A42" s="36" t="s">
        <v>66</v>
      </c>
      <c r="B42" s="64" t="s">
        <v>30</v>
      </c>
      <c r="C42" s="64" t="s">
        <v>48</v>
      </c>
      <c r="D42" s="39" t="s">
        <v>67</v>
      </c>
      <c r="E42" s="65"/>
      <c r="F42" s="65"/>
      <c r="G42" s="65"/>
      <c r="H42" s="65"/>
      <c r="I42" s="65"/>
      <c r="J42" s="65"/>
    </row>
    <row r="43" customFormat="false" ht="12" hidden="false" customHeight="false" outlineLevel="0" collapsed="false">
      <c r="A43" s="27" t="s">
        <v>68</v>
      </c>
      <c r="B43" s="26" t="n">
        <v>1200</v>
      </c>
      <c r="C43" s="73" t="s">
        <v>69</v>
      </c>
      <c r="D43" s="73" t="s">
        <v>69</v>
      </c>
      <c r="E43" s="67" t="n">
        <f aca="false">1*B43</f>
        <v>1200</v>
      </c>
      <c r="F43" s="67" t="n">
        <f aca="false">2*B43</f>
        <v>2400</v>
      </c>
      <c r="G43" s="67" t="n">
        <f aca="false">4*B43</f>
        <v>4800</v>
      </c>
      <c r="H43" s="67" t="n">
        <f aca="false">2*B43</f>
        <v>2400</v>
      </c>
      <c r="I43" s="67" t="n">
        <f aca="false">1*B43</f>
        <v>1200</v>
      </c>
      <c r="J43" s="67" t="n">
        <f aca="false">SUM(E43:I43)</f>
        <v>12000</v>
      </c>
      <c r="K43" s="55"/>
    </row>
    <row r="44" customFormat="false" ht="12" hidden="false" customHeight="false" outlineLevel="0" collapsed="false">
      <c r="A44" s="27" t="s">
        <v>70</v>
      </c>
      <c r="B44" s="26" t="n">
        <v>194</v>
      </c>
      <c r="C44" s="73" t="n">
        <v>50</v>
      </c>
      <c r="D44" s="30" t="s">
        <v>69</v>
      </c>
      <c r="E44" s="67" t="n">
        <f aca="false">5*B44</f>
        <v>970</v>
      </c>
      <c r="F44" s="67" t="n">
        <f aca="false">10*B44</f>
        <v>1940</v>
      </c>
      <c r="G44" s="67" t="n">
        <f aca="false">20*B44</f>
        <v>3880</v>
      </c>
      <c r="H44" s="67" t="n">
        <f aca="false">15*B44</f>
        <v>2910</v>
      </c>
      <c r="I44" s="67" t="n">
        <v>0</v>
      </c>
      <c r="J44" s="67" t="n">
        <f aca="false">SUM(E44:I44)</f>
        <v>9700</v>
      </c>
      <c r="K44" s="55"/>
    </row>
    <row r="45" customFormat="false" ht="12" hidden="false" customHeight="false" outlineLevel="0" collapsed="false">
      <c r="A45" s="27" t="s">
        <v>71</v>
      </c>
      <c r="B45" s="26" t="n">
        <v>500</v>
      </c>
      <c r="C45" s="73" t="s">
        <v>69</v>
      </c>
      <c r="D45" s="73" t="n">
        <v>1</v>
      </c>
      <c r="E45" s="67" t="n">
        <f aca="false">B45</f>
        <v>500</v>
      </c>
      <c r="F45" s="67" t="n">
        <f aca="false">B45</f>
        <v>500</v>
      </c>
      <c r="G45" s="67" t="n">
        <f aca="false">B45</f>
        <v>500</v>
      </c>
      <c r="H45" s="67" t="n">
        <f aca="false">B45</f>
        <v>500</v>
      </c>
      <c r="I45" s="67" t="n">
        <f aca="false">B45</f>
        <v>500</v>
      </c>
      <c r="J45" s="67" t="n">
        <f aca="false">SUM(E45:I45)</f>
        <v>2500</v>
      </c>
      <c r="K45" s="55"/>
    </row>
    <row r="46" s="114" customFormat="true" ht="12" hidden="false" customHeight="false" outlineLevel="0" collapsed="false">
      <c r="A46" s="109" t="s">
        <v>73</v>
      </c>
      <c r="B46" s="111" t="n">
        <v>500</v>
      </c>
      <c r="C46" s="113" t="n">
        <v>4</v>
      </c>
      <c r="D46" s="113"/>
      <c r="E46" s="86" t="n">
        <v>0</v>
      </c>
      <c r="F46" s="86" t="n">
        <v>0</v>
      </c>
      <c r="G46" s="86" t="n">
        <v>2000</v>
      </c>
      <c r="H46" s="86" t="n">
        <v>0</v>
      </c>
      <c r="I46" s="86" t="n">
        <v>0</v>
      </c>
      <c r="J46" s="86" t="n">
        <v>0</v>
      </c>
      <c r="K46" s="115"/>
    </row>
    <row r="47" customFormat="false" ht="12" hidden="false" customHeight="false" outlineLevel="0" collapsed="false">
      <c r="A47" s="27" t="s">
        <v>75</v>
      </c>
      <c r="B47" s="26" t="n">
        <v>2500</v>
      </c>
      <c r="C47" s="73" t="n">
        <v>2</v>
      </c>
      <c r="D47" s="73" t="s">
        <v>69</v>
      </c>
      <c r="E47" s="67" t="n">
        <v>0</v>
      </c>
      <c r="F47" s="86" t="n">
        <f aca="false">B47</f>
        <v>2500</v>
      </c>
      <c r="G47" s="86" t="n">
        <f aca="false">B47</f>
        <v>2500</v>
      </c>
      <c r="H47" s="67" t="n">
        <v>0</v>
      </c>
      <c r="I47" s="67" t="n">
        <f aca="false">0</f>
        <v>0</v>
      </c>
      <c r="J47" s="67" t="n">
        <f aca="false">SUM(E47:I47)</f>
        <v>5000</v>
      </c>
      <c r="K47" s="55"/>
    </row>
    <row r="48" customFormat="false" ht="12" hidden="false" customHeight="false" outlineLevel="0" collapsed="false">
      <c r="A48" s="27" t="s">
        <v>76</v>
      </c>
      <c r="B48" s="26" t="n">
        <v>500</v>
      </c>
      <c r="C48" s="73" t="n">
        <v>1</v>
      </c>
      <c r="D48" s="73" t="n">
        <v>1</v>
      </c>
      <c r="E48" s="67" t="n">
        <v>500</v>
      </c>
      <c r="F48" s="67" t="n">
        <v>500</v>
      </c>
      <c r="G48" s="67" t="n">
        <v>500</v>
      </c>
      <c r="H48" s="67" t="n">
        <v>500</v>
      </c>
      <c r="I48" s="67" t="n">
        <v>500</v>
      </c>
      <c r="J48" s="67" t="n">
        <f aca="false">SUM(E48:I48)</f>
        <v>2500</v>
      </c>
      <c r="K48" s="55"/>
    </row>
    <row r="49" customFormat="false" ht="12" hidden="false" customHeight="false" outlineLevel="0" collapsed="false">
      <c r="A49" s="27" t="s">
        <v>77</v>
      </c>
      <c r="B49" s="26" t="n">
        <f aca="false">450+(2*250)+(3*74)+100</f>
        <v>1272</v>
      </c>
      <c r="C49" s="73" t="n">
        <v>1</v>
      </c>
      <c r="D49" s="73" t="n">
        <v>1</v>
      </c>
      <c r="E49" s="67" t="n">
        <v>1272</v>
      </c>
      <c r="F49" s="67" t="n">
        <v>1272</v>
      </c>
      <c r="G49" s="67" t="n">
        <v>1272</v>
      </c>
      <c r="H49" s="67" t="n">
        <v>1272</v>
      </c>
      <c r="I49" s="67" t="n">
        <v>1272</v>
      </c>
      <c r="J49" s="67" t="n">
        <f aca="false">SUM(E49:I49)</f>
        <v>6360</v>
      </c>
      <c r="K49" s="55"/>
    </row>
    <row r="50" customFormat="false" ht="12.75" hidden="false" customHeight="false" outlineLevel="0" collapsed="false">
      <c r="A50" s="45" t="s">
        <v>78</v>
      </c>
      <c r="B50" s="46"/>
      <c r="C50" s="46"/>
      <c r="D50" s="47"/>
      <c r="E50" s="48" t="n">
        <f aca="false">SUM(E43:E49)</f>
        <v>4442</v>
      </c>
      <c r="F50" s="48" t="n">
        <f aca="false">SUM(F43:F49)</f>
        <v>9112</v>
      </c>
      <c r="G50" s="48" t="n">
        <f aca="false">SUM(G43:G49)</f>
        <v>15452</v>
      </c>
      <c r="H50" s="48" t="n">
        <f aca="false">SUM(H43:H49)</f>
        <v>7582</v>
      </c>
      <c r="I50" s="48" t="n">
        <f aca="false">SUM(I43:I49)</f>
        <v>3472</v>
      </c>
      <c r="J50" s="48" t="n">
        <f aca="false">SUM(J43:J49)</f>
        <v>38060</v>
      </c>
    </row>
    <row r="51" customFormat="false" ht="12.75" hidden="false" customHeight="false" outlineLevel="0" collapsed="false">
      <c r="A51" s="87"/>
      <c r="B51" s="88"/>
      <c r="C51" s="88"/>
      <c r="D51" s="89"/>
      <c r="E51" s="67"/>
      <c r="F51" s="67"/>
      <c r="G51" s="67"/>
      <c r="H51" s="67"/>
      <c r="I51" s="67"/>
      <c r="J51" s="67"/>
    </row>
    <row r="52" customFormat="false" ht="12.75" hidden="false" customHeight="false" outlineLevel="0" collapsed="false">
      <c r="A52" s="90" t="s">
        <v>79</v>
      </c>
      <c r="B52" s="91"/>
      <c r="C52" s="91"/>
      <c r="D52" s="92"/>
      <c r="E52" s="48" t="n">
        <f aca="false">E29+E38+E50</f>
        <v>104442</v>
      </c>
      <c r="F52" s="48" t="n">
        <f aca="false">F29+F38+F50</f>
        <v>25432</v>
      </c>
      <c r="G52" s="48" t="n">
        <f aca="false">G29+G38+G50</f>
        <v>17900</v>
      </c>
      <c r="H52" s="48" t="n">
        <f aca="false">H29+H38+H50</f>
        <v>10078.96</v>
      </c>
      <c r="I52" s="48" t="n">
        <f aca="false">I29+I38+I50</f>
        <v>5988.2952</v>
      </c>
      <c r="J52" s="48" t="n">
        <f aca="false">J29+J38+J50</f>
        <v>161841.2552</v>
      </c>
      <c r="K52" s="93"/>
    </row>
    <row r="53" customFormat="false" ht="12.75" hidden="false" customHeight="false" outlineLevel="0" collapsed="false">
      <c r="A53" s="94"/>
      <c r="B53" s="95"/>
      <c r="C53" s="95"/>
      <c r="D53" s="96"/>
      <c r="E53" s="97"/>
      <c r="F53" s="97"/>
      <c r="G53" s="97"/>
      <c r="H53" s="97"/>
      <c r="I53" s="97"/>
      <c r="J53" s="59"/>
      <c r="K53" s="93"/>
    </row>
    <row r="54" customFormat="false" ht="12.75" hidden="false" customHeight="false" outlineLevel="0" collapsed="false">
      <c r="A54" s="90" t="s">
        <v>80</v>
      </c>
      <c r="B54" s="91"/>
      <c r="C54" s="91"/>
      <c r="D54" s="92"/>
      <c r="E54" s="48" t="n">
        <f aca="false">E23+E52</f>
        <v>151480.690416</v>
      </c>
      <c r="F54" s="48" t="n">
        <f aca="false">F23+F52</f>
        <v>71359.25033632</v>
      </c>
      <c r="G54" s="48" t="n">
        <f aca="false">G23+G52</f>
        <v>66745.0229267024</v>
      </c>
      <c r="H54" s="48" t="n">
        <f aca="false">H23+H52</f>
        <v>53539.093904059</v>
      </c>
      <c r="I54" s="48" t="n">
        <f aca="false">I23+I52</f>
        <v>50317.6317821402</v>
      </c>
      <c r="J54" s="56" t="n">
        <f aca="false">SUM(E54:I54)</f>
        <v>393441.689365222</v>
      </c>
      <c r="K54" s="93"/>
    </row>
    <row r="55" customFormat="false" ht="13.5" hidden="false" customHeight="true" outlineLevel="0" collapsed="false">
      <c r="A55" s="94"/>
      <c r="B55" s="98" t="s">
        <v>30</v>
      </c>
      <c r="C55" s="98" t="s">
        <v>81</v>
      </c>
      <c r="D55" s="96"/>
      <c r="E55" s="97"/>
      <c r="F55" s="97"/>
      <c r="G55" s="97"/>
      <c r="H55" s="97"/>
      <c r="I55" s="97"/>
      <c r="J55" s="59"/>
      <c r="K55" s="93"/>
    </row>
    <row r="56" customFormat="false" ht="12.75" hidden="false" customHeight="false" outlineLevel="0" collapsed="false">
      <c r="A56" s="90" t="s">
        <v>82</v>
      </c>
      <c r="B56" s="99" t="n">
        <v>0.557</v>
      </c>
      <c r="C56" s="100" t="s">
        <v>83</v>
      </c>
      <c r="D56" s="92"/>
      <c r="E56" s="48" t="n">
        <f aca="false">E15*0.557</f>
        <v>25054.21648</v>
      </c>
      <c r="F56" s="48" t="n">
        <f aca="false">F15*0.557</f>
        <v>24658.8327036</v>
      </c>
      <c r="G56" s="48" t="n">
        <f aca="false">G15*0.557</f>
        <v>26017.902441432</v>
      </c>
      <c r="H56" s="48" t="n">
        <f aca="false">H15*0.557</f>
        <v>23256.6187593699</v>
      </c>
      <c r="I56" s="48" t="n">
        <f aca="false">I15*0.557</f>
        <v>23721.7511345573</v>
      </c>
      <c r="J56" s="56" t="n">
        <f aca="false">SUM(E56:I56)</f>
        <v>122709.321518959</v>
      </c>
    </row>
    <row r="57" customFormat="false" ht="12.75" hidden="false" customHeight="false" outlineLevel="0" collapsed="false">
      <c r="A57" s="94"/>
      <c r="B57" s="101"/>
      <c r="C57" s="95"/>
      <c r="D57" s="96"/>
      <c r="E57" s="97"/>
      <c r="F57" s="97"/>
      <c r="G57" s="97"/>
      <c r="H57" s="97"/>
      <c r="I57" s="97"/>
      <c r="J57" s="59"/>
    </row>
    <row r="58" customFormat="false" ht="12.75" hidden="false" customHeight="false" outlineLevel="0" collapsed="false">
      <c r="A58" s="102" t="s">
        <v>84</v>
      </c>
      <c r="B58" s="103"/>
      <c r="C58" s="103"/>
      <c r="D58" s="104"/>
      <c r="E58" s="105" t="n">
        <f aca="false">E54+E56</f>
        <v>176534.906896</v>
      </c>
      <c r="F58" s="105" t="n">
        <f aca="false">F54+F56</f>
        <v>96018.08303992</v>
      </c>
      <c r="G58" s="105" t="n">
        <f aca="false">G54+G56</f>
        <v>92762.9253681344</v>
      </c>
      <c r="H58" s="105" t="n">
        <f aca="false">H54+H56</f>
        <v>76795.7126634288</v>
      </c>
      <c r="I58" s="105" t="n">
        <f aca="false">I54+I56</f>
        <v>74039.3829166974</v>
      </c>
      <c r="J58" s="105" t="n">
        <f aca="false">J54+J56</f>
        <v>516151.010884181</v>
      </c>
      <c r="K58" s="93"/>
    </row>
    <row r="59" customFormat="false" ht="12.75" hidden="false" customHeight="true" outlineLevel="0" collapsed="false">
      <c r="A59" s="106"/>
      <c r="D59" s="107"/>
      <c r="E59" s="55"/>
      <c r="F59" s="55"/>
      <c r="G59" s="55"/>
      <c r="H59" s="55"/>
      <c r="I59" s="55"/>
      <c r="J59" s="55"/>
    </row>
    <row r="60" customFormat="false" ht="12.75" hidden="false" customHeight="true" outlineLevel="0" collapsed="false">
      <c r="A60" s="108"/>
      <c r="D60" s="107"/>
      <c r="E60" s="55"/>
      <c r="F60" s="55"/>
      <c r="G60" s="55"/>
      <c r="H60" s="55"/>
      <c r="I60" s="55"/>
      <c r="J60" s="55"/>
    </row>
  </sheetData>
  <mergeCells count="3">
    <mergeCell ref="A1:G1"/>
    <mergeCell ref="A4:A5"/>
    <mergeCell ref="B4:D5"/>
  </mergeCells>
  <printOptions headings="false" gridLines="false" gridLinesSet="true" horizontalCentered="true" verticalCentered="true"/>
  <pageMargins left="0.5" right="0.5" top="0.5" bottom="0.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7421875" defaultRowHeight="12" zeroHeight="false" outlineLevelRow="0" outlineLevelCol="0"/>
  <cols>
    <col collapsed="false" customWidth="true" hidden="false" outlineLevel="0" max="4" min="4" style="0" width="9.91"/>
    <col collapsed="false" customWidth="true" hidden="false" outlineLevel="0" max="5" min="5" style="0" width="13.02"/>
  </cols>
  <sheetData>
    <row r="1" customFormat="false" ht="14.25" hidden="false" customHeight="false" outlineLevel="0" collapsed="false">
      <c r="A1" s="116" t="s">
        <v>87</v>
      </c>
      <c r="B1" s="117"/>
      <c r="C1" s="118"/>
      <c r="D1" s="118"/>
      <c r="E1" s="118"/>
    </row>
    <row r="2" customFormat="false" ht="12" hidden="false" customHeight="false" outlineLevel="0" collapsed="false">
      <c r="A2" s="118"/>
      <c r="B2" s="117"/>
      <c r="C2" s="118"/>
      <c r="D2" s="118"/>
      <c r="E2" s="118"/>
    </row>
    <row r="3" customFormat="false" ht="14.25" hidden="false" customHeight="false" outlineLevel="0" collapsed="false">
      <c r="A3" s="119" t="s">
        <v>88</v>
      </c>
      <c r="B3" s="119" t="s">
        <v>89</v>
      </c>
      <c r="C3" s="119" t="s">
        <v>90</v>
      </c>
      <c r="D3" s="119" t="s">
        <v>91</v>
      </c>
      <c r="E3" s="119" t="s">
        <v>92</v>
      </c>
    </row>
    <row r="4" customFormat="false" ht="12" hidden="false" customHeight="false" outlineLevel="0" collapsed="false">
      <c r="A4" s="118" t="s">
        <v>93</v>
      </c>
      <c r="B4" s="117" t="s">
        <v>40</v>
      </c>
      <c r="C4" s="118" t="n">
        <v>1</v>
      </c>
      <c r="D4" s="118" t="n">
        <v>2</v>
      </c>
      <c r="E4" s="118" t="n">
        <f aca="false">C4*D4</f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DECD5F91A8184A982195B4B44A858B" ma:contentTypeVersion="17" ma:contentTypeDescription="Create a new document." ma:contentTypeScope="" ma:versionID="8091852db91283ddb329f4821ca690f2">
  <xsd:schema xmlns:xsd="http://www.w3.org/2001/XMLSchema" xmlns:xs="http://www.w3.org/2001/XMLSchema" xmlns:p="http://schemas.microsoft.com/office/2006/metadata/properties" xmlns:ns2="37f2be3f-c675-40f9-b00c-ad6d7a7b6985" xmlns:ns3="32dda713-7a87-4c81-9014-cb42735fe5d1" targetNamespace="http://schemas.microsoft.com/office/2006/metadata/properties" ma:root="true" ma:fieldsID="3bdbbad2123e3b72f83366085cc7c7e2" ns2:_="" ns3:_="">
    <xsd:import namespace="37f2be3f-c675-40f9-b00c-ad6d7a7b6985"/>
    <xsd:import namespace="32dda713-7a87-4c81-9014-cb42735fe5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f2be3f-c675-40f9-b00c-ad6d7a7b69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0000000-0000-0000-0000-000000000000" ma:termSetId="00000000-0000-0000-0000-00000000000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dda713-7a87-4c81-9014-cb42735fe5d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9fea94c-8c02-4187-af7e-ffcf37181bc9}" ma:internalName="TaxCatchAll" ma:showField="CatchAllData" ma:web="32dda713-7a87-4c81-9014-cb42735fe5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2dda713-7a87-4c81-9014-cb42735fe5d1" xsi:nil="true"/>
    <lcf76f155ced4ddcb4097134ff3c332f xmlns="37f2be3f-c675-40f9-b00c-ad6d7a7b69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B71C507-F03A-43A3-AB53-7EC6C50CEA2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C8FD19-3975-4D04-9EEB-74B9CE7507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f2be3f-c675-40f9-b00c-ad6d7a7b6985"/>
    <ds:schemaRef ds:uri="32dda713-7a87-4c81-9014-cb42735fe5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54BD045-81E4-4073-B332-78F41FCD121F}">
  <ds:schemaRefs>
    <ds:schemaRef ds:uri="http://schemas.microsoft.com/office/2006/metadata/properties"/>
    <ds:schemaRef ds:uri="http://schemas.microsoft.com/office/infopath/2007/PartnerControls"/>
    <ds:schemaRef ds:uri="32dda713-7a87-4c81-9014-cb42735fe5d1"/>
    <ds:schemaRef ds:uri="37f2be3f-c675-40f9-b00c-ad6d7a7b698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LibreOffice/7.3.7.2$Linux_X86_64 LibreOffice_project/30$Build-2</Application>
  <AppVersion>15.0000</AppVersion>
  <Company>ucb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2006-09-21T22:07:06Z</dcterms:created>
  <dc:creator>Jesse Gardeman</dc:creator>
  <dc:description/>
  <dc:language>en-US</dc:language>
  <cp:lastModifiedBy/>
  <cp:lastPrinted>2023-05-16T23:29:46Z</cp:lastPrinted>
  <dcterms:modified xsi:type="dcterms:W3CDTF">2023-06-22T12:49:40Z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0x01010065DECD5F91A8184A982195B4B44A858B</vt:lpwstr>
  </property>
  <property fmtid="{D5CDD505-2E9C-101B-9397-08002B2CF9AE}" pid="3" name="MediaServiceImageTags">
    <vt:lpwstr/>
  </property>
</Properties>
</file>