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10" tabRatio="879" activeTab="8"/>
  </bookViews>
  <sheets>
    <sheet name="汇总表" sheetId="3" r:id="rId1"/>
    <sheet name="2019回款及耗煤量" sheetId="1" state="hidden" r:id="rId2"/>
    <sheet name="2019年费用税金" sheetId="2" state="hidden" r:id="rId3"/>
    <sheet name="2019成本" sheetId="4" state="hidden" r:id="rId4"/>
    <sheet name="蒸汽动力2019" sheetId="14" state="hidden" r:id="rId5"/>
    <sheet name="制造费用2019" sheetId="15" state="hidden" r:id="rId6"/>
    <sheet name="2020回款及耗煤量" sheetId="5" r:id="rId7"/>
    <sheet name="成本2020年" sheetId="6" r:id="rId8"/>
    <sheet name="费用税金2020年" sheetId="7" r:id="rId9"/>
    <sheet name="蒸汽动力2020" sheetId="13" r:id="rId10"/>
    <sheet name="制造费用2020" sheetId="12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7" hidden="1">成本2020年!$A$2:$R$106</definedName>
  </definedNames>
  <calcPr calcId="144525"/>
</workbook>
</file>

<file path=xl/sharedStrings.xml><?xml version="1.0" encoding="utf-8"?>
<sst xmlns="http://schemas.openxmlformats.org/spreadsheetml/2006/main" count="762" uniqueCount="212">
  <si>
    <t>2019年第四季度资金预测</t>
  </si>
  <si>
    <t>项目</t>
  </si>
  <si>
    <t>10月</t>
  </si>
  <si>
    <t>11月</t>
  </si>
  <si>
    <t>12月</t>
  </si>
  <si>
    <t>合计</t>
  </si>
  <si>
    <t>现金流入</t>
  </si>
  <si>
    <t>成本支出</t>
  </si>
  <si>
    <t>税金</t>
  </si>
  <si>
    <t>管理费用支出</t>
  </si>
  <si>
    <t>销售费用支出</t>
  </si>
  <si>
    <t>经营支出小计</t>
  </si>
  <si>
    <t>项目投资</t>
  </si>
  <si>
    <t>支出合计</t>
  </si>
  <si>
    <t>净现流</t>
  </si>
  <si>
    <t>2020年资金预测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</si>
  <si>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</si>
  <si>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</si>
  <si>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</si>
  <si>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</si>
  <si>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</si>
  <si>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</si>
  <si>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</si>
  <si>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</si>
  <si>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</si>
  <si>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1季度</t>
  </si>
  <si>
    <t>2季度</t>
  </si>
  <si>
    <t>3季度</t>
  </si>
  <si>
    <t>4季度</t>
  </si>
  <si>
    <t>折旧</t>
  </si>
  <si>
    <t>工会经费</t>
  </si>
  <si>
    <t>职工教育经费</t>
  </si>
  <si>
    <t>累计摊销</t>
  </si>
  <si>
    <t>2021年资金预测</t>
  </si>
  <si>
    <t>2022年资金预测</t>
  </si>
  <si>
    <t>2023年资金预测</t>
  </si>
  <si>
    <t>2024年资金预测</t>
  </si>
  <si>
    <t>产     量</t>
  </si>
  <si>
    <t>单价</t>
  </si>
  <si>
    <t>销售回款</t>
  </si>
  <si>
    <t>月份</t>
  </si>
  <si>
    <t>湿熄焦</t>
  </si>
  <si>
    <t>干熄焦</t>
  </si>
  <si>
    <t>焦  油</t>
  </si>
  <si>
    <t>粗  苯</t>
  </si>
  <si>
    <t>硫酸铵</t>
  </si>
  <si>
    <t>甲  醇</t>
  </si>
  <si>
    <t>液  氨</t>
  </si>
  <si>
    <t>合 计</t>
  </si>
  <si>
    <t>收入印花税</t>
  </si>
  <si>
    <t>1耗煤量</t>
  </si>
  <si>
    <t>主焦煤</t>
  </si>
  <si>
    <t>肥  煤</t>
  </si>
  <si>
    <t>瘦  煤</t>
  </si>
  <si>
    <t>1/3焦煤</t>
  </si>
  <si>
    <t>中粘煤</t>
  </si>
  <si>
    <t>精煤小计</t>
  </si>
  <si>
    <t>电  煤</t>
  </si>
  <si>
    <t>2耗煤量</t>
  </si>
  <si>
    <t>原料合计</t>
  </si>
  <si>
    <t>原料印花税</t>
  </si>
  <si>
    <t>成本装卸费</t>
  </si>
  <si>
    <t>销售费用装卸费</t>
  </si>
  <si>
    <t>粗苯1</t>
  </si>
  <si>
    <t>洗油</t>
  </si>
  <si>
    <t>粗苯2</t>
  </si>
  <si>
    <t>硫酸按1</t>
  </si>
  <si>
    <t>硫酸</t>
  </si>
  <si>
    <t>硫酸按2</t>
  </si>
  <si>
    <t>甲醇</t>
  </si>
  <si>
    <t>催化剂</t>
  </si>
  <si>
    <t>脱硫剂</t>
  </si>
  <si>
    <t>运费印花税</t>
  </si>
  <si>
    <t xml:space="preserve">  管理费用工资</t>
  </si>
  <si>
    <t>同期数据10</t>
  </si>
  <si>
    <t xml:space="preserve">  职工福利费</t>
  </si>
  <si>
    <t xml:space="preserve">  社会保险/养老</t>
  </si>
  <si>
    <t xml:space="preserve">  社会保/医疗</t>
  </si>
  <si>
    <t xml:space="preserve">  社会保险/工伤</t>
  </si>
  <si>
    <t xml:space="preserve">  社会保险/生育</t>
  </si>
  <si>
    <t xml:space="preserve">  社会保险/失业</t>
  </si>
  <si>
    <t xml:space="preserve">  办公费</t>
  </si>
  <si>
    <t xml:space="preserve">  差旅费</t>
  </si>
  <si>
    <t xml:space="preserve">  招待费</t>
  </si>
  <si>
    <t xml:space="preserve">  机物料消耗</t>
  </si>
  <si>
    <t xml:space="preserve">  维修费</t>
  </si>
  <si>
    <t xml:space="preserve">  通讯费</t>
  </si>
  <si>
    <t xml:space="preserve">  车辆使用费</t>
  </si>
  <si>
    <t xml:space="preserve">  办事处费用</t>
  </si>
  <si>
    <t xml:space="preserve">  设备财产费</t>
  </si>
  <si>
    <t xml:space="preserve">  招聘费</t>
  </si>
  <si>
    <t xml:space="preserve">  动力费</t>
  </si>
  <si>
    <t xml:space="preserve">  蒸  汽</t>
  </si>
  <si>
    <t xml:space="preserve">  研发费用</t>
  </si>
  <si>
    <t xml:space="preserve">  绿化费</t>
  </si>
  <si>
    <t xml:space="preserve">  安全经费</t>
  </si>
  <si>
    <t xml:space="preserve"> 其  他</t>
  </si>
  <si>
    <t xml:space="preserve"> 咨询费</t>
  </si>
  <si>
    <t>管理费用合计</t>
  </si>
  <si>
    <t>销售费用工资</t>
  </si>
  <si>
    <t>差旅招待费</t>
  </si>
  <si>
    <t>辅材</t>
  </si>
  <si>
    <t>装卸费</t>
  </si>
  <si>
    <t>筛粉费</t>
  </si>
  <si>
    <t>港建费</t>
  </si>
  <si>
    <t>港务费</t>
  </si>
  <si>
    <t>销售费用合计</t>
  </si>
  <si>
    <t>增值税</t>
  </si>
  <si>
    <t>印花税收入</t>
  </si>
  <si>
    <t>印花税原料</t>
  </si>
  <si>
    <t>附加税</t>
  </si>
  <si>
    <t>个税</t>
  </si>
  <si>
    <t>水资源税</t>
  </si>
  <si>
    <t>环保税</t>
  </si>
  <si>
    <t>残保金</t>
  </si>
  <si>
    <t>房产税</t>
  </si>
  <si>
    <t>土地使用税</t>
  </si>
  <si>
    <t>所得税</t>
  </si>
  <si>
    <t>税费合计</t>
  </si>
  <si>
    <t>2019年第四季度产品成本支出明细</t>
  </si>
  <si>
    <t>名称</t>
  </si>
  <si>
    <t>成本项目</t>
  </si>
  <si>
    <t>1-9月累计</t>
  </si>
  <si>
    <t>单位成本</t>
  </si>
  <si>
    <t>顶装焦</t>
  </si>
  <si>
    <t xml:space="preserve">  动   力</t>
  </si>
  <si>
    <t xml:space="preserve">  蒸   汽</t>
  </si>
  <si>
    <t xml:space="preserve">  维 修 费</t>
  </si>
  <si>
    <t xml:space="preserve">  工   资</t>
  </si>
  <si>
    <t xml:space="preserve">  五   险</t>
  </si>
  <si>
    <t xml:space="preserve">   机物料消耗</t>
  </si>
  <si>
    <t xml:space="preserve">  辅助材料</t>
  </si>
  <si>
    <t xml:space="preserve"> 制造费用</t>
  </si>
  <si>
    <t>其  他</t>
  </si>
  <si>
    <t>捣固焦</t>
  </si>
  <si>
    <t>动   力</t>
  </si>
  <si>
    <t>蒸   汽</t>
  </si>
  <si>
    <t>维 修 费</t>
  </si>
  <si>
    <t>工    资</t>
  </si>
  <si>
    <t>五  险</t>
  </si>
  <si>
    <t>机物料消耗</t>
  </si>
  <si>
    <t>辅助材料</t>
  </si>
  <si>
    <t>制造费用</t>
  </si>
  <si>
    <t>其 他</t>
  </si>
  <si>
    <t>一期
焦油</t>
  </si>
  <si>
    <t>蒸  汽</t>
  </si>
  <si>
    <t>维修费</t>
  </si>
  <si>
    <t>工  资</t>
  </si>
  <si>
    <t>合  计</t>
  </si>
  <si>
    <t>二期
焦油</t>
  </si>
  <si>
    <t>一期
粗苯</t>
  </si>
  <si>
    <t>洗  油</t>
  </si>
  <si>
    <t>其他</t>
  </si>
  <si>
    <t>二期
粗苯</t>
  </si>
  <si>
    <t>一期
硫酸铵</t>
  </si>
  <si>
    <t>硫  酸</t>
  </si>
  <si>
    <t>二期
硫酸铵</t>
  </si>
  <si>
    <t>催 化 剂</t>
  </si>
  <si>
    <t>脱 硫 剂</t>
  </si>
  <si>
    <t>工   资</t>
  </si>
  <si>
    <t>五   险</t>
  </si>
  <si>
    <t>其   他</t>
  </si>
  <si>
    <t>合   计</t>
  </si>
  <si>
    <t>液氨</t>
  </si>
  <si>
    <t>动 力 费</t>
  </si>
  <si>
    <t>蒸汽成本</t>
  </si>
  <si>
    <t xml:space="preserve"> 电煤 </t>
  </si>
  <si>
    <t>2019年</t>
  </si>
  <si>
    <t>1-9月</t>
  </si>
  <si>
    <t>全年</t>
  </si>
  <si>
    <t>2020年电煤</t>
  </si>
  <si>
    <t>蒸汽成本增加</t>
  </si>
  <si>
    <t>产品</t>
  </si>
  <si>
    <t xml:space="preserve"> 全年 </t>
  </si>
  <si>
    <t>占比</t>
  </si>
  <si>
    <t>2019增加</t>
  </si>
  <si>
    <t>发电</t>
  </si>
  <si>
    <t>焦油1</t>
  </si>
  <si>
    <t>焦油2</t>
  </si>
  <si>
    <t>硫铵1</t>
  </si>
  <si>
    <t>硫铵2</t>
  </si>
  <si>
    <t>发电成本</t>
  </si>
  <si>
    <t>合成氨</t>
  </si>
  <si>
    <t>项  目</t>
  </si>
  <si>
    <t>1-9月累计数</t>
  </si>
  <si>
    <t>2019年10-12</t>
  </si>
  <si>
    <t>动  力</t>
  </si>
  <si>
    <t xml:space="preserve"> 机物料消耗</t>
  </si>
  <si>
    <t>产量</t>
  </si>
  <si>
    <t>产值</t>
  </si>
  <si>
    <t>分月</t>
  </si>
  <si>
    <t>干熄焦1</t>
  </si>
  <si>
    <t>干熄焦2</t>
  </si>
  <si>
    <t>焦  油1</t>
  </si>
  <si>
    <t>焦  油2</t>
  </si>
  <si>
    <t>粗  苯1</t>
  </si>
  <si>
    <t>粗  苯2</t>
  </si>
  <si>
    <t>硫酸铵1</t>
  </si>
  <si>
    <t>硫酸铵2</t>
  </si>
  <si>
    <t>销售单价</t>
  </si>
  <si>
    <t>销量/月份</t>
  </si>
  <si>
    <t>2020年产品成本支出明细</t>
  </si>
  <si>
    <t xml:space="preserve">  工资</t>
  </si>
  <si>
    <t xml:space="preserve">  社会保险/医疗</t>
  </si>
  <si>
    <t xml:space="preserve">  财产保险费</t>
  </si>
  <si>
    <t xml:space="preserve">  蒸汽</t>
  </si>
  <si>
    <t xml:space="preserve">  咨询技术服务费</t>
  </si>
  <si>
    <t xml:space="preserve">  其他</t>
  </si>
  <si>
    <t>蒸汽成本减少</t>
  </si>
  <si>
    <t>全年减少</t>
  </si>
  <si>
    <t>2021年减少</t>
  </si>
  <si>
    <t>2020年全年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</si>
</sst>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  <numFmt numFmtId="177" formatCode="#,##0.00_);[Red]\(#,##0.00\)"/>
    <numFmt numFmtId="178" formatCode="_(* #,##0.00_);_(* \(#,##0.00\);_(* &quot;-&quot;??_);_(@_)"/>
    <numFmt numFmtId="179" formatCode="_ * #,##0.00000000_ ;_ * \-#,##0.00000000_ ;_ * &quot;-&quot;??_ ;_ @_ "/>
    <numFmt numFmtId="180" formatCode="0.00_ "/>
    <numFmt numFmtId="181" formatCode="_ * #,##0.0000_ ;_ * \-#,##0.0000_ ;_ 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sz val="10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indexed="5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0" fillId="0" borderId="0"/>
    <xf numFmtId="9" fontId="3" fillId="0" borderId="0" applyFont="0" applyFill="0" applyBorder="0" applyAlignment="0" applyProtection="0"/>
    <xf numFmtId="0" fontId="1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21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13" borderId="18" applyNumberFormat="0" applyAlignment="0" applyProtection="0">
      <alignment vertical="center"/>
    </xf>
    <xf numFmtId="0" fontId="19" fillId="13" borderId="16" applyNumberFormat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" fillId="0" borderId="0"/>
    <xf numFmtId="0" fontId="0" fillId="0" borderId="0"/>
    <xf numFmtId="0" fontId="32" fillId="0" borderId="22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178" fontId="31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</cellStyleXfs>
  <cellXfs count="153">
    <xf numFmtId="0" fontId="0" fillId="0" borderId="0" xfId="0"/>
    <xf numFmtId="0" fontId="1" fillId="0" borderId="0" xfId="0" applyFont="1"/>
    <xf numFmtId="177" fontId="2" fillId="0" borderId="1" xfId="10" applyNumberFormat="1" applyFont="1" applyFill="1" applyBorder="1" applyAlignment="1">
      <alignment horizontal="center" vertical="center"/>
    </xf>
    <xf numFmtId="177" fontId="2" fillId="0" borderId="2" xfId="10" applyNumberFormat="1" applyFont="1" applyFill="1" applyBorder="1" applyAlignment="1">
      <alignment horizontal="center" vertical="center"/>
    </xf>
    <xf numFmtId="177" fontId="2" fillId="0" borderId="0" xfId="10" applyNumberFormat="1" applyFont="1" applyFill="1" applyBorder="1" applyAlignment="1">
      <alignment horizontal="center" vertical="center"/>
    </xf>
    <xf numFmtId="176" fontId="3" fillId="0" borderId="2" xfId="10" applyNumberFormat="1" applyFont="1" applyFill="1" applyBorder="1" applyAlignment="1">
      <alignment horizontal="right"/>
    </xf>
    <xf numFmtId="176" fontId="3" fillId="0" borderId="0" xfId="10" applyNumberFormat="1" applyFont="1" applyFill="1" applyBorder="1" applyAlignment="1">
      <alignment horizontal="right"/>
    </xf>
    <xf numFmtId="43" fontId="1" fillId="0" borderId="0" xfId="6" applyFont="1" applyAlignment="1"/>
    <xf numFmtId="177" fontId="3" fillId="0" borderId="1" xfId="10" applyNumberFormat="1" applyFont="1" applyFill="1" applyBorder="1" applyAlignment="1">
      <alignment horizontal="center" vertical="center"/>
    </xf>
    <xf numFmtId="177" fontId="4" fillId="0" borderId="1" xfId="10" applyNumberFormat="1" applyFont="1" applyFill="1" applyBorder="1" applyAlignment="1">
      <alignment horizontal="center" vertical="center"/>
    </xf>
    <xf numFmtId="177" fontId="4" fillId="0" borderId="2" xfId="10" applyNumberFormat="1" applyFont="1" applyFill="1" applyBorder="1" applyAlignment="1">
      <alignment horizontal="right"/>
    </xf>
    <xf numFmtId="177" fontId="4" fillId="0" borderId="0" xfId="1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43" fontId="1" fillId="0" borderId="0" xfId="0" applyNumberFormat="1" applyFont="1"/>
    <xf numFmtId="179" fontId="1" fillId="0" borderId="0" xfId="6" applyNumberFormat="1" applyFont="1" applyAlignment="1"/>
    <xf numFmtId="0" fontId="5" fillId="0" borderId="0" xfId="0" applyFont="1" applyAlignment="1">
      <alignment horizontal="center"/>
    </xf>
    <xf numFmtId="4" fontId="0" fillId="0" borderId="0" xfId="0" applyNumberFormat="1"/>
    <xf numFmtId="43" fontId="0" fillId="0" borderId="0" xfId="6" applyFont="1" applyAlignment="1"/>
    <xf numFmtId="176" fontId="0" fillId="0" borderId="0" xfId="0" applyNumberFormat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3" fillId="0" borderId="5" xfId="71" applyNumberFormat="1" applyBorder="1"/>
    <xf numFmtId="43" fontId="3" fillId="0" borderId="0" xfId="83" applyFont="1" applyBorder="1"/>
    <xf numFmtId="43" fontId="3" fillId="0" borderId="0" xfId="71" applyNumberFormat="1" applyBorder="1"/>
    <xf numFmtId="43" fontId="5" fillId="0" borderId="6" xfId="6" applyFont="1" applyBorder="1" applyAlignment="1"/>
    <xf numFmtId="43" fontId="5" fillId="0" borderId="7" xfId="6" applyFont="1" applyBorder="1" applyAlignment="1"/>
    <xf numFmtId="43" fontId="5" fillId="0" borderId="0" xfId="6" applyFont="1" applyBorder="1" applyAlignment="1"/>
    <xf numFmtId="43" fontId="1" fillId="0" borderId="4" xfId="6" applyFont="1" applyBorder="1" applyAlignment="1"/>
    <xf numFmtId="0" fontId="1" fillId="0" borderId="5" xfId="0" applyFont="1" applyBorder="1"/>
    <xf numFmtId="43" fontId="1" fillId="0" borderId="0" xfId="6" applyFont="1" applyBorder="1" applyAlignment="1"/>
    <xf numFmtId="43" fontId="1" fillId="0" borderId="0" xfId="0" applyNumberFormat="1" applyFont="1" applyBorder="1"/>
    <xf numFmtId="0" fontId="5" fillId="0" borderId="6" xfId="0" applyFont="1" applyBorder="1"/>
    <xf numFmtId="43" fontId="5" fillId="0" borderId="7" xfId="0" applyNumberFormat="1" applyFont="1" applyBorder="1"/>
    <xf numFmtId="4" fontId="1" fillId="0" borderId="0" xfId="0" applyNumberFormat="1" applyFont="1" applyBorder="1"/>
    <xf numFmtId="43" fontId="1" fillId="0" borderId="4" xfId="0" applyNumberFormat="1" applyFont="1" applyBorder="1"/>
    <xf numFmtId="0" fontId="5" fillId="0" borderId="0" xfId="0" applyFont="1" applyBorder="1"/>
    <xf numFmtId="0" fontId="6" fillId="0" borderId="8" xfId="0" applyFont="1" applyFill="1" applyBorder="1" applyAlignment="1">
      <alignment horizontal="center"/>
    </xf>
    <xf numFmtId="43" fontId="5" fillId="0" borderId="9" xfId="6" applyFont="1" applyFill="1" applyBorder="1" applyAlignment="1"/>
    <xf numFmtId="43" fontId="5" fillId="0" borderId="10" xfId="6" applyFont="1" applyFill="1" applyBorder="1" applyAlignment="1"/>
    <xf numFmtId="43" fontId="5" fillId="0" borderId="0" xfId="6" applyFont="1" applyFill="1" applyBorder="1" applyAlignment="1"/>
    <xf numFmtId="43" fontId="5" fillId="0" borderId="8" xfId="0" applyNumberFormat="1" applyFont="1" applyFill="1" applyBorder="1"/>
    <xf numFmtId="43" fontId="5" fillId="0" borderId="9" xfId="0" applyNumberFormat="1" applyFont="1" applyFill="1" applyBorder="1"/>
    <xf numFmtId="43" fontId="1" fillId="0" borderId="0" xfId="0" applyNumberFormat="1" applyFont="1" applyFill="1" applyBorder="1"/>
    <xf numFmtId="43" fontId="5" fillId="0" borderId="10" xfId="0" applyNumberFormat="1" applyFont="1" applyFill="1" applyBorder="1"/>
    <xf numFmtId="43" fontId="5" fillId="0" borderId="0" xfId="0" applyNumberFormat="1" applyFont="1" applyBorder="1"/>
    <xf numFmtId="0" fontId="7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77" fontId="2" fillId="0" borderId="2" xfId="65" applyNumberFormat="1" applyFont="1" applyFill="1" applyBorder="1" applyAlignment="1">
      <alignment horizontal="right"/>
    </xf>
    <xf numFmtId="0" fontId="1" fillId="0" borderId="12" xfId="0" applyFont="1" applyBorder="1" applyAlignment="1">
      <alignment horizontal="center" vertical="center"/>
    </xf>
    <xf numFmtId="43" fontId="2" fillId="3" borderId="2" xfId="90" applyFont="1" applyFill="1" applyBorder="1" applyAlignment="1">
      <alignment horizontal="center"/>
    </xf>
    <xf numFmtId="43" fontId="2" fillId="0" borderId="2" xfId="90" applyFont="1" applyFill="1" applyBorder="1" applyAlignment="1">
      <alignment horizontal="center"/>
    </xf>
    <xf numFmtId="43" fontId="2" fillId="4" borderId="2" xfId="9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43" fontId="8" fillId="0" borderId="2" xfId="90" applyFont="1" applyFill="1" applyBorder="1" applyAlignment="1">
      <alignment horizontal="center"/>
    </xf>
    <xf numFmtId="177" fontId="8" fillId="0" borderId="2" xfId="65" applyNumberFormat="1" applyFont="1" applyFill="1" applyBorder="1" applyAlignment="1">
      <alignment horizontal="right"/>
    </xf>
    <xf numFmtId="176" fontId="2" fillId="0" borderId="2" xfId="65" applyNumberFormat="1" applyFont="1" applyFill="1" applyBorder="1" applyAlignment="1">
      <alignment horizontal="right"/>
    </xf>
    <xf numFmtId="49" fontId="2" fillId="0" borderId="2" xfId="65" applyNumberFormat="1" applyFont="1" applyFill="1" applyBorder="1" applyAlignment="1">
      <alignment horizontal="center"/>
    </xf>
    <xf numFmtId="0" fontId="2" fillId="0" borderId="2" xfId="65" applyFont="1" applyFill="1" applyBorder="1" applyAlignment="1">
      <alignment horizontal="center"/>
    </xf>
    <xf numFmtId="0" fontId="8" fillId="0" borderId="2" xfId="65" applyFont="1" applyFill="1" applyBorder="1" applyAlignment="1">
      <alignment horizontal="center"/>
    </xf>
    <xf numFmtId="176" fontId="8" fillId="0" borderId="2" xfId="65" applyNumberFormat="1" applyFont="1" applyFill="1" applyBorder="1" applyAlignment="1">
      <alignment horizontal="right"/>
    </xf>
    <xf numFmtId="49" fontId="2" fillId="0" borderId="2" xfId="74" applyNumberFormat="1" applyFont="1" applyFill="1" applyBorder="1" applyAlignment="1">
      <alignment horizontal="center" vertical="center" wrapText="1"/>
    </xf>
    <xf numFmtId="176" fontId="2" fillId="3" borderId="2" xfId="74" applyNumberFormat="1" applyFont="1" applyFill="1" applyBorder="1" applyAlignment="1">
      <alignment horizontal="center"/>
    </xf>
    <xf numFmtId="176" fontId="2" fillId="0" borderId="2" xfId="74" applyNumberFormat="1" applyFont="1" applyFill="1" applyBorder="1" applyAlignment="1">
      <alignment horizontal="right"/>
    </xf>
    <xf numFmtId="49" fontId="2" fillId="0" borderId="2" xfId="74" applyNumberFormat="1" applyFont="1" applyFill="1" applyBorder="1" applyAlignment="1">
      <alignment horizontal="center" vertical="center"/>
    </xf>
    <xf numFmtId="176" fontId="2" fillId="0" borderId="2" xfId="74" applyNumberFormat="1" applyFont="1" applyFill="1" applyBorder="1" applyAlignment="1">
      <alignment horizontal="center"/>
    </xf>
    <xf numFmtId="176" fontId="2" fillId="4" borderId="2" xfId="74" applyNumberFormat="1" applyFont="1" applyFill="1" applyBorder="1" applyAlignment="1">
      <alignment horizontal="center"/>
    </xf>
    <xf numFmtId="176" fontId="8" fillId="0" borderId="2" xfId="74" applyNumberFormat="1" applyFont="1" applyFill="1" applyBorder="1" applyAlignment="1">
      <alignment horizontal="center"/>
    </xf>
    <xf numFmtId="176" fontId="8" fillId="0" borderId="2" xfId="74" applyNumberFormat="1" applyFont="1" applyFill="1" applyBorder="1" applyAlignment="1">
      <alignment horizontal="right"/>
    </xf>
    <xf numFmtId="49" fontId="2" fillId="0" borderId="2" xfId="65" applyNumberFormat="1" applyFont="1" applyFill="1" applyBorder="1" applyAlignment="1">
      <alignment horizontal="center" vertical="center" wrapText="1"/>
    </xf>
    <xf numFmtId="49" fontId="2" fillId="3" borderId="2" xfId="65" applyNumberFormat="1" applyFont="1" applyFill="1" applyBorder="1" applyAlignment="1">
      <alignment horizontal="center"/>
    </xf>
    <xf numFmtId="49" fontId="2" fillId="0" borderId="2" xfId="65" applyNumberFormat="1" applyFont="1" applyFill="1" applyBorder="1" applyAlignment="1">
      <alignment horizontal="center" vertical="center"/>
    </xf>
    <xf numFmtId="0" fontId="2" fillId="4" borderId="2" xfId="65" applyFont="1" applyFill="1" applyBorder="1" applyAlignment="1">
      <alignment horizontal="center"/>
    </xf>
    <xf numFmtId="49" fontId="8" fillId="0" borderId="2" xfId="65" applyNumberFormat="1" applyFont="1" applyFill="1" applyBorder="1" applyAlignment="1">
      <alignment horizontal="center"/>
    </xf>
    <xf numFmtId="49" fontId="2" fillId="2" borderId="2" xfId="74" applyNumberFormat="1" applyFont="1" applyFill="1" applyBorder="1" applyAlignment="1">
      <alignment horizontal="center"/>
    </xf>
    <xf numFmtId="49" fontId="2" fillId="3" borderId="2" xfId="74" applyNumberFormat="1" applyFont="1" applyFill="1" applyBorder="1" applyAlignment="1">
      <alignment horizontal="center"/>
    </xf>
    <xf numFmtId="49" fontId="2" fillId="0" borderId="2" xfId="74" applyNumberFormat="1" applyFont="1" applyFill="1" applyBorder="1" applyAlignment="1">
      <alignment horizontal="center"/>
    </xf>
    <xf numFmtId="0" fontId="2" fillId="0" borderId="2" xfId="74" applyFont="1" applyFill="1" applyBorder="1" applyAlignment="1">
      <alignment horizontal="center"/>
    </xf>
    <xf numFmtId="0" fontId="2" fillId="4" borderId="2" xfId="74" applyFont="1" applyFill="1" applyBorder="1" applyAlignment="1">
      <alignment horizontal="center"/>
    </xf>
    <xf numFmtId="49" fontId="8" fillId="0" borderId="2" xfId="74" applyNumberFormat="1" applyFont="1" applyFill="1" applyBorder="1" applyAlignment="1">
      <alignment horizontal="center"/>
    </xf>
    <xf numFmtId="49" fontId="2" fillId="2" borderId="2" xfId="65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5" fillId="2" borderId="2" xfId="0" applyNumberFormat="1" applyFont="1" applyFill="1" applyBorder="1" applyAlignment="1">
      <alignment horizontal="center"/>
    </xf>
    <xf numFmtId="43" fontId="5" fillId="0" borderId="2" xfId="0" applyNumberFormat="1" applyFont="1" applyBorder="1" applyAlignment="1">
      <alignment horizontal="center"/>
    </xf>
    <xf numFmtId="43" fontId="1" fillId="0" borderId="2" xfId="6" applyFont="1" applyBorder="1" applyAlignment="1">
      <alignment horizontal="center"/>
    </xf>
    <xf numFmtId="43" fontId="1" fillId="0" borderId="2" xfId="6" applyFont="1" applyBorder="1" applyAlignment="1"/>
    <xf numFmtId="43" fontId="1" fillId="0" borderId="0" xfId="6" applyFont="1" applyAlignment="1">
      <alignment horizontal="center"/>
    </xf>
    <xf numFmtId="43" fontId="1" fillId="0" borderId="0" xfId="0" applyNumberFormat="1" applyFont="1" applyAlignment="1">
      <alignment horizontal="center"/>
    </xf>
    <xf numFmtId="43" fontId="5" fillId="0" borderId="0" xfId="6" applyFont="1" applyAlignment="1">
      <alignment horizontal="center"/>
    </xf>
    <xf numFmtId="43" fontId="5" fillId="0" borderId="0" xfId="0" applyNumberFormat="1" applyFont="1" applyAlignment="1">
      <alignment horizontal="center"/>
    </xf>
    <xf numFmtId="43" fontId="0" fillId="0" borderId="0" xfId="0" applyNumberFormat="1"/>
    <xf numFmtId="43" fontId="7" fillId="0" borderId="0" xfId="6" applyFont="1" applyAlignment="1"/>
    <xf numFmtId="43" fontId="7" fillId="0" borderId="0" xfId="0" applyNumberFormat="1" applyFont="1"/>
    <xf numFmtId="180" fontId="2" fillId="0" borderId="2" xfId="74" applyNumberFormat="1" applyFont="1" applyFill="1" applyBorder="1" applyAlignment="1">
      <alignment horizontal="right"/>
    </xf>
    <xf numFmtId="177" fontId="5" fillId="0" borderId="2" xfId="0" applyNumberFormat="1" applyFont="1" applyBorder="1"/>
    <xf numFmtId="43" fontId="9" fillId="0" borderId="0" xfId="0" applyNumberFormat="1" applyFont="1"/>
    <xf numFmtId="177" fontId="0" fillId="0" borderId="0" xfId="0" applyNumberFormat="1"/>
    <xf numFmtId="0" fontId="5" fillId="0" borderId="0" xfId="0" applyFont="1"/>
    <xf numFmtId="0" fontId="6" fillId="0" borderId="0" xfId="0" applyFont="1"/>
    <xf numFmtId="2" fontId="5" fillId="0" borderId="0" xfId="0" applyNumberFormat="1" applyFont="1" applyAlignment="1">
      <alignment horizontal="center"/>
    </xf>
    <xf numFmtId="181" fontId="1" fillId="0" borderId="0" xfId="6" applyNumberFormat="1" applyFont="1" applyAlignment="1"/>
    <xf numFmtId="9" fontId="1" fillId="0" borderId="0" xfId="13" applyFont="1" applyAlignment="1"/>
    <xf numFmtId="9" fontId="5" fillId="0" borderId="0" xfId="13" applyFont="1" applyAlignment="1"/>
    <xf numFmtId="43" fontId="5" fillId="0" borderId="0" xfId="0" applyNumberFormat="1" applyFont="1"/>
    <xf numFmtId="0" fontId="5" fillId="0" borderId="0" xfId="0" applyFont="1" applyBorder="1" applyAlignment="1">
      <alignment horizontal="center" vertical="center"/>
    </xf>
    <xf numFmtId="43" fontId="5" fillId="0" borderId="0" xfId="6" applyFont="1" applyAlignment="1"/>
    <xf numFmtId="0" fontId="6" fillId="0" borderId="0" xfId="0" applyFont="1" applyAlignment="1">
      <alignment horizontal="center"/>
    </xf>
    <xf numFmtId="0" fontId="1" fillId="0" borderId="0" xfId="16" applyFont="1"/>
    <xf numFmtId="0" fontId="1" fillId="0" borderId="0" xfId="0" applyFont="1" applyAlignment="1">
      <alignment horizontal="center" vertical="center"/>
    </xf>
    <xf numFmtId="43" fontId="1" fillId="0" borderId="0" xfId="6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43" fontId="6" fillId="0" borderId="0" xfId="6" applyFont="1" applyAlignment="1"/>
    <xf numFmtId="180" fontId="1" fillId="0" borderId="0" xfId="0" applyNumberFormat="1" applyFont="1"/>
    <xf numFmtId="43" fontId="3" fillId="0" borderId="0" xfId="83" applyFont="1"/>
    <xf numFmtId="0" fontId="3" fillId="0" borderId="0" xfId="71"/>
    <xf numFmtId="43" fontId="3" fillId="0" borderId="2" xfId="78" applyNumberFormat="1" applyBorder="1"/>
    <xf numFmtId="43" fontId="3" fillId="0" borderId="0" xfId="71" applyNumberFormat="1"/>
    <xf numFmtId="43" fontId="6" fillId="0" borderId="0" xfId="0" applyNumberFormat="1" applyFont="1"/>
    <xf numFmtId="4" fontId="1" fillId="0" borderId="0" xfId="0" applyNumberFormat="1" applyFont="1"/>
    <xf numFmtId="43" fontId="0" fillId="0" borderId="0" xfId="6" applyFont="1" applyAlignment="1">
      <alignment horizontal="right"/>
    </xf>
    <xf numFmtId="43" fontId="1" fillId="0" borderId="0" xfId="6" applyFont="1" applyAlignment="1">
      <alignment horizontal="right"/>
    </xf>
    <xf numFmtId="4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43" fontId="5" fillId="0" borderId="0" xfId="6" applyFont="1" applyAlignment="1">
      <alignment horizontal="right"/>
    </xf>
    <xf numFmtId="43" fontId="7" fillId="0" borderId="0" xfId="6" applyFont="1" applyAlignment="1">
      <alignment horizontal="right"/>
    </xf>
    <xf numFmtId="43" fontId="1" fillId="0" borderId="2" xfId="0" applyNumberFormat="1" applyFont="1" applyBorder="1"/>
    <xf numFmtId="0" fontId="0" fillId="0" borderId="0" xfId="0" applyAlignment="1">
      <alignment horizontal="right"/>
    </xf>
    <xf numFmtId="176" fontId="2" fillId="0" borderId="3" xfId="65" applyNumberFormat="1" applyFont="1" applyFill="1" applyBorder="1" applyAlignment="1">
      <alignment horizontal="left"/>
    </xf>
    <xf numFmtId="176" fontId="2" fillId="0" borderId="4" xfId="65" applyNumberFormat="1" applyFont="1" applyFill="1" applyBorder="1" applyAlignment="1">
      <alignment horizontal="right"/>
    </xf>
    <xf numFmtId="43" fontId="5" fillId="0" borderId="8" xfId="6" applyFont="1" applyFill="1" applyBorder="1" applyAlignment="1"/>
    <xf numFmtId="0" fontId="1" fillId="0" borderId="0" xfId="0" applyFont="1" applyBorder="1" applyAlignment="1">
      <alignment horizontal="center"/>
    </xf>
    <xf numFmtId="176" fontId="2" fillId="0" borderId="5" xfId="65" applyNumberFormat="1" applyFont="1" applyFill="1" applyBorder="1" applyAlignment="1">
      <alignment horizontal="left"/>
    </xf>
    <xf numFmtId="176" fontId="2" fillId="0" borderId="0" xfId="65" applyNumberFormat="1" applyFont="1" applyFill="1" applyBorder="1" applyAlignment="1">
      <alignment horizontal="right"/>
    </xf>
    <xf numFmtId="176" fontId="2" fillId="0" borderId="0" xfId="65" applyNumberFormat="1" applyFont="1" applyFill="1" applyBorder="1" applyAlignment="1"/>
    <xf numFmtId="4" fontId="1" fillId="0" borderId="0" xfId="0" applyNumberFormat="1" applyFont="1" applyBorder="1" applyAlignment="1">
      <alignment horizontal="center" vertical="center"/>
    </xf>
    <xf numFmtId="43" fontId="5" fillId="0" borderId="10" xfId="0" applyNumberFormat="1" applyFont="1" applyBorder="1"/>
    <xf numFmtId="0" fontId="1" fillId="2" borderId="0" xfId="0" applyFont="1" applyFill="1"/>
    <xf numFmtId="0" fontId="5" fillId="2" borderId="0" xfId="0" applyFont="1" applyFill="1" applyAlignment="1">
      <alignment horizontal="center"/>
    </xf>
    <xf numFmtId="9" fontId="5" fillId="2" borderId="0" xfId="13" applyFont="1" applyFill="1" applyAlignment="1"/>
    <xf numFmtId="43" fontId="1" fillId="2" borderId="0" xfId="6" applyFont="1" applyFill="1" applyAlignment="1"/>
    <xf numFmtId="0" fontId="5" fillId="2" borderId="0" xfId="0" applyFont="1" applyFill="1"/>
    <xf numFmtId="0" fontId="10" fillId="0" borderId="0" xfId="0" applyFont="1" applyAlignment="1">
      <alignment horizontal="center" vertical="center"/>
    </xf>
    <xf numFmtId="0" fontId="5" fillId="0" borderId="2" xfId="0" applyFont="1" applyBorder="1"/>
    <xf numFmtId="43" fontId="5" fillId="0" borderId="2" xfId="6" applyFont="1" applyBorder="1" applyAlignment="1"/>
    <xf numFmtId="0" fontId="1" fillId="0" borderId="2" xfId="0" applyFont="1" applyBorder="1"/>
    <xf numFmtId="43" fontId="5" fillId="0" borderId="2" xfId="0" applyNumberFormat="1" applyFont="1" applyBorder="1"/>
    <xf numFmtId="0" fontId="5" fillId="0" borderId="0" xfId="0" applyFont="1" applyFill="1" applyBorder="1"/>
    <xf numFmtId="0" fontId="6" fillId="0" borderId="0" xfId="0" applyFont="1" applyFill="1" applyBorder="1"/>
    <xf numFmtId="43" fontId="5" fillId="2" borderId="2" xfId="0" applyNumberFormat="1" applyFont="1" applyFill="1" applyBorder="1"/>
    <xf numFmtId="0" fontId="3" fillId="0" borderId="5" xfId="71" applyNumberFormat="1" applyBorder="1" quotePrefix="1"/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千位分隔" xfId="6" builtinId="3"/>
    <cellStyle name="常规 7 3" xfId="7"/>
    <cellStyle name="40% - 强调文字颜色 3" xfId="8" builtinId="39"/>
    <cellStyle name="差" xfId="9" builtinId="27"/>
    <cellStyle name="常规 15 2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百分比 2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百分比 2 2" xfId="23"/>
    <cellStyle name="标题 1" xfId="24" builtinId="16"/>
    <cellStyle name="百分比 4" xfId="25"/>
    <cellStyle name="百分比 2 3" xfId="26"/>
    <cellStyle name="标题 2" xfId="27" builtinId="17"/>
    <cellStyle name="百分比 5" xfId="28"/>
    <cellStyle name="百分比 2 4" xfId="29"/>
    <cellStyle name="标题 3" xfId="30" builtinId="18"/>
    <cellStyle name="百分比 6" xfId="31"/>
    <cellStyle name="60% - 强调文字颜色 1" xfId="32" builtinId="32"/>
    <cellStyle name="60% - 强调文字颜色 4" xfId="33" builtinId="44"/>
    <cellStyle name="输出" xfId="34" builtinId="21"/>
    <cellStyle name="计算" xfId="35" builtinId="22"/>
    <cellStyle name="检查单元格" xfId="36" builtinId="23"/>
    <cellStyle name="20% - 强调文字颜色 6" xfId="37" builtinId="50"/>
    <cellStyle name="强调文字颜色 2" xfId="38" builtinId="33"/>
    <cellStyle name="链接单元格" xfId="39" builtinId="24"/>
    <cellStyle name="汇总" xfId="40" builtinId="25"/>
    <cellStyle name="好" xfId="41" builtinId="26"/>
    <cellStyle name="适中" xfId="42" builtinId="28"/>
    <cellStyle name="百分比 2 2 2" xfId="43"/>
    <cellStyle name="百分比 4 2" xfId="44"/>
    <cellStyle name="20% - 强调文字颜色 5" xfId="45" builtinId="46"/>
    <cellStyle name="强调文字颜色 1" xfId="46" builtinId="29"/>
    <cellStyle name="常规 2 2 2" xfId="47"/>
    <cellStyle name="20% - 强调文字颜色 1" xfId="48" builtinId="30"/>
    <cellStyle name="40% - 强调文字颜色 1" xfId="49" builtinId="31"/>
    <cellStyle name="20% - 强调文字颜色 2" xfId="50" builtinId="34"/>
    <cellStyle name="百分比 3 2" xfId="51"/>
    <cellStyle name="40% - 强调文字颜色 2" xfId="52" builtinId="35"/>
    <cellStyle name="强调文字颜色 3" xfId="53" builtinId="37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常规 2 2" xfId="58"/>
    <cellStyle name="40% - 强调文字颜色 5" xfId="59" builtinId="47"/>
    <cellStyle name="60% - 强调文字颜色 5" xfId="60" builtinId="48"/>
    <cellStyle name="强调文字颜色 6" xfId="61" builtinId="49"/>
    <cellStyle name="40% - 强调文字颜色 6" xfId="62" builtinId="51"/>
    <cellStyle name="60% - 强调文字颜色 6" xfId="63" builtinId="52"/>
    <cellStyle name="百分比 3" xfId="64"/>
    <cellStyle name="常规 15" xfId="65"/>
    <cellStyle name="常规 2" xfId="66"/>
    <cellStyle name="常规 2 3" xfId="67"/>
    <cellStyle name="常规 2 3 2" xfId="68"/>
    <cellStyle name="常规 2 4" xfId="69"/>
    <cellStyle name="常规 3" xfId="70"/>
    <cellStyle name="常规 3 2" xfId="71"/>
    <cellStyle name="常规 4" xfId="72"/>
    <cellStyle name="常规 4 2" xfId="73"/>
    <cellStyle name="常规 5" xfId="74"/>
    <cellStyle name="常规 7" xfId="75"/>
    <cellStyle name="常规 7 2" xfId="76"/>
    <cellStyle name="常规 7 2 2" xfId="77"/>
    <cellStyle name="常规 8" xfId="78"/>
    <cellStyle name="常规 9" xfId="79"/>
    <cellStyle name="链接单元格 2 3" xfId="80"/>
    <cellStyle name="链接单元格 2 3 2" xfId="81"/>
    <cellStyle name="千位分隔 10" xfId="82"/>
    <cellStyle name="千位分隔 3 2" xfId="83"/>
    <cellStyle name="千位分隔 10 2" xfId="84"/>
    <cellStyle name="千位分隔 2" xfId="85"/>
    <cellStyle name="千位分隔 2 2" xfId="86"/>
    <cellStyle name="千位分隔 2 2 2" xfId="87"/>
    <cellStyle name="千位分隔 2 3" xfId="88"/>
    <cellStyle name="千位分隔 3" xfId="89"/>
    <cellStyle name="千位分隔 4" xfId="90"/>
    <cellStyle name="千位分隔 4 2" xfId="91"/>
    <cellStyle name="千位分隔 5" xfId="92"/>
    <cellStyle name="千位分隔 5 2" xfId="93"/>
    <cellStyle name="千位分隔 6" xfId="94"/>
    <cellStyle name="千位分隔 7" xfId="9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44;&#27979;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44;&#27979;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44;&#27979;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44;&#27979;20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2021回款及耗煤量"/>
      <sheetName val="成本2021年"/>
      <sheetName val="费用税金2021年"/>
      <sheetName val="蒸汽动力2021"/>
      <sheetName val="制造费用2021"/>
    </sheetNames>
    <sheetDataSet>
      <sheetData sheetId="0">
        <row r="3">
          <cell r="B3">
            <v>302606105.266452</v>
          </cell>
          <cell r="C3">
            <v>275035076.196659</v>
          </cell>
          <cell r="D3">
            <v>343908706.473311</v>
          </cell>
          <cell r="E3">
            <v>400813575.023279</v>
          </cell>
          <cell r="F3">
            <v>431750217.585846</v>
          </cell>
          <cell r="G3">
            <v>451006402.56615</v>
          </cell>
          <cell r="H3">
            <v>482231301.594343</v>
          </cell>
          <cell r="I3">
            <v>474260273.426253</v>
          </cell>
          <cell r="J3">
            <v>453068581.086876</v>
          </cell>
          <cell r="K3">
            <v>461308282.878644</v>
          </cell>
          <cell r="L3">
            <v>377502154.092521</v>
          </cell>
          <cell r="M3">
            <v>312914698.875306</v>
          </cell>
        </row>
        <row r="4">
          <cell r="B4">
            <v>268493105.095284</v>
          </cell>
          <cell r="C4">
            <v>243292585.743367</v>
          </cell>
          <cell r="D4">
            <v>298659778.500392</v>
          </cell>
          <cell r="E4">
            <v>317627356.111231</v>
          </cell>
          <cell r="F4">
            <v>335511579.093783</v>
          </cell>
          <cell r="G4">
            <v>317637985.837481</v>
          </cell>
          <cell r="H4">
            <v>331727992.684496</v>
          </cell>
          <cell r="I4">
            <v>335272883.658046</v>
          </cell>
          <cell r="J4">
            <v>331680130.45192</v>
          </cell>
          <cell r="K4">
            <v>348996019.442815</v>
          </cell>
          <cell r="L4">
            <v>307878204.835156</v>
          </cell>
          <cell r="M4">
            <v>284281605.449045</v>
          </cell>
        </row>
        <row r="5">
          <cell r="B5">
            <v>17241573.0260043</v>
          </cell>
          <cell r="C5">
            <v>13527663.5760703</v>
          </cell>
          <cell r="D5">
            <v>12881448.7295331</v>
          </cell>
          <cell r="E5">
            <v>18172698.8558709</v>
          </cell>
          <cell r="F5">
            <v>91668190.4136669</v>
          </cell>
          <cell r="G5">
            <v>20803337.532799</v>
          </cell>
          <cell r="H5">
            <v>23337229.9066413</v>
          </cell>
          <cell r="I5">
            <v>21460120.3439829</v>
          </cell>
          <cell r="J5">
            <v>21685527.6289591</v>
          </cell>
          <cell r="K5">
            <v>23432993.4532237</v>
          </cell>
          <cell r="L5">
            <v>20542753.5932358</v>
          </cell>
          <cell r="M5">
            <v>18405085.7912939</v>
          </cell>
        </row>
        <row r="6">
          <cell r="B6">
            <v>9779205.59801813</v>
          </cell>
          <cell r="C6">
            <v>6381921.36801813</v>
          </cell>
          <cell r="D6">
            <v>6403633.60801813</v>
          </cell>
          <cell r="E6">
            <v>6861465.93801813</v>
          </cell>
          <cell r="F6">
            <v>7735632.39801813</v>
          </cell>
          <cell r="G6">
            <v>7776508.52801813</v>
          </cell>
          <cell r="H6">
            <v>10244719.9980181</v>
          </cell>
          <cell r="I6">
            <v>6745418.94801813</v>
          </cell>
          <cell r="J6">
            <v>9979204.99801813</v>
          </cell>
          <cell r="K6">
            <v>9224660.22801813</v>
          </cell>
          <cell r="L6">
            <v>11516511.6180181</v>
          </cell>
          <cell r="M6">
            <v>12327996.9580181</v>
          </cell>
        </row>
        <row r="7">
          <cell r="B7">
            <v>1344091.08983369</v>
          </cell>
          <cell r="C7">
            <v>1060720.98146268</v>
          </cell>
          <cell r="D7">
            <v>1153161.13006289</v>
          </cell>
          <cell r="E7">
            <v>1259263.94619325</v>
          </cell>
          <cell r="F7">
            <v>1337864.01664042</v>
          </cell>
          <cell r="G7">
            <v>1236607.05619325</v>
          </cell>
          <cell r="H7">
            <v>1253259.96839969</v>
          </cell>
          <cell r="I7">
            <v>1197012.25839969</v>
          </cell>
          <cell r="J7">
            <v>1366241.13619325</v>
          </cell>
          <cell r="K7">
            <v>1243125.37839969</v>
          </cell>
          <cell r="L7">
            <v>1157428.84495163</v>
          </cell>
          <cell r="M7">
            <v>1230427.44983369</v>
          </cell>
        </row>
        <row r="9">
          <cell r="F9">
            <v>6688000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2022回款及耗煤量"/>
      <sheetName val="成本2022年"/>
      <sheetName val="蒸汽动力2022"/>
      <sheetName val="费用税金2022年"/>
      <sheetName val="制造费用2022"/>
    </sheetNames>
    <sheetDataSet>
      <sheetData sheetId="0">
        <row r="3">
          <cell r="B3">
            <v>331449681.80132</v>
          </cell>
          <cell r="C3">
            <v>292633785.854851</v>
          </cell>
          <cell r="D3">
            <v>356681620.340742</v>
          </cell>
          <cell r="E3">
            <v>397231448.608595</v>
          </cell>
          <cell r="F3">
            <v>420315376.944976</v>
          </cell>
          <cell r="G3">
            <v>398615698.498017</v>
          </cell>
          <cell r="H3">
            <v>402655533.729249</v>
          </cell>
          <cell r="I3">
            <v>388376367.201192</v>
          </cell>
          <cell r="J3">
            <v>369688292.119164</v>
          </cell>
          <cell r="K3">
            <v>400547193.8929</v>
          </cell>
          <cell r="L3">
            <v>332915600.728384</v>
          </cell>
          <cell r="M3">
            <v>285206093.151827</v>
          </cell>
        </row>
        <row r="4">
          <cell r="B4">
            <v>243815484.020802</v>
          </cell>
          <cell r="C4">
            <v>225043954.342561</v>
          </cell>
          <cell r="D4">
            <v>279976625.639154</v>
          </cell>
          <cell r="E4">
            <v>302274738.575027</v>
          </cell>
          <cell r="F4">
            <v>316198069.423202</v>
          </cell>
          <cell r="G4">
            <v>309831680.20635</v>
          </cell>
          <cell r="H4">
            <v>316923963.258687</v>
          </cell>
          <cell r="I4">
            <v>315570165.673282</v>
          </cell>
          <cell r="J4">
            <v>312837745.434525</v>
          </cell>
          <cell r="K4">
            <v>327486938.435607</v>
          </cell>
          <cell r="L4">
            <v>286921222.969488</v>
          </cell>
          <cell r="M4">
            <v>263252221.637926</v>
          </cell>
        </row>
        <row r="5">
          <cell r="B5">
            <v>17000355.789942</v>
          </cell>
          <cell r="C5">
            <v>14792279.0264884</v>
          </cell>
          <cell r="D5">
            <v>13652209.4826111</v>
          </cell>
          <cell r="E5">
            <v>18730689.5711672</v>
          </cell>
          <cell r="F5">
            <v>141506308.819935</v>
          </cell>
          <cell r="G5">
            <v>20293731.1671535</v>
          </cell>
          <cell r="H5">
            <v>21003470.9059477</v>
          </cell>
          <cell r="I5">
            <v>17949284.1399052</v>
          </cell>
          <cell r="J5">
            <v>17895386.2063911</v>
          </cell>
          <cell r="K5">
            <v>19753399.0046783</v>
          </cell>
          <cell r="L5">
            <v>17859274.0338362</v>
          </cell>
          <cell r="M5">
            <v>16434568.1895717</v>
          </cell>
        </row>
        <row r="6">
          <cell r="B6">
            <v>9880204.24900673</v>
          </cell>
          <cell r="C6">
            <v>6482920.01900673</v>
          </cell>
          <cell r="D6">
            <v>6504632.25900673</v>
          </cell>
          <cell r="E6">
            <v>6962464.58900673</v>
          </cell>
          <cell r="F6">
            <v>7836631.04900673</v>
          </cell>
          <cell r="G6">
            <v>7877507.17900673</v>
          </cell>
          <cell r="H6">
            <v>10345718.6490067</v>
          </cell>
          <cell r="I6">
            <v>6846417.59900673</v>
          </cell>
          <cell r="J6">
            <v>10080203.6490067</v>
          </cell>
          <cell r="K6">
            <v>9325658.87900673</v>
          </cell>
          <cell r="L6">
            <v>11617510.2690067</v>
          </cell>
          <cell r="M6">
            <v>12428995.6090067</v>
          </cell>
        </row>
        <row r="7">
          <cell r="B7">
            <v>1344091.08983369</v>
          </cell>
          <cell r="C7">
            <v>1060720.98146268</v>
          </cell>
          <cell r="D7">
            <v>1153161.13018361</v>
          </cell>
          <cell r="E7">
            <v>1259263.9464196</v>
          </cell>
          <cell r="F7">
            <v>1331078.62863359</v>
          </cell>
          <cell r="G7">
            <v>1236607.0564196</v>
          </cell>
          <cell r="H7">
            <v>1253259.96863359</v>
          </cell>
          <cell r="I7">
            <v>1197012.25863359</v>
          </cell>
          <cell r="J7">
            <v>1366241.1364196</v>
          </cell>
          <cell r="K7">
            <v>1243125.37863359</v>
          </cell>
          <cell r="L7">
            <v>1157428.84506481</v>
          </cell>
          <cell r="M7">
            <v>1230427.44983369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2023回款及耗煤量"/>
      <sheetName val="成本2023年"/>
      <sheetName val="蒸汽动力2023"/>
      <sheetName val="费用税金2023年"/>
      <sheetName val="制造费用2023"/>
    </sheetNames>
    <sheetDataSet>
      <sheetData sheetId="0">
        <row r="3">
          <cell r="B3">
            <v>302854242.906333</v>
          </cell>
          <cell r="C3">
            <v>266272326.011956</v>
          </cell>
          <cell r="D3">
            <v>329872278.304239</v>
          </cell>
          <cell r="E3">
            <v>369902266.410042</v>
          </cell>
          <cell r="F3">
            <v>403846715.034288</v>
          </cell>
          <cell r="G3">
            <v>393385114.831394</v>
          </cell>
          <cell r="H3">
            <v>397602337.460444</v>
          </cell>
          <cell r="I3">
            <v>386973699.977637</v>
          </cell>
          <cell r="J3">
            <v>369191431.89999</v>
          </cell>
          <cell r="K3">
            <v>380014583.443506</v>
          </cell>
          <cell r="L3">
            <v>319564995.622133</v>
          </cell>
          <cell r="M3">
            <v>282834740.347189</v>
          </cell>
        </row>
        <row r="4">
          <cell r="B4">
            <v>252939168.234235</v>
          </cell>
          <cell r="C4">
            <v>228228973.525283</v>
          </cell>
          <cell r="D4">
            <v>278376070.41066</v>
          </cell>
          <cell r="E4">
            <v>301485747.487286</v>
          </cell>
          <cell r="F4">
            <v>310149290.702183</v>
          </cell>
          <cell r="G4">
            <v>303028974.615671</v>
          </cell>
          <cell r="H4">
            <v>309076308.823641</v>
          </cell>
          <cell r="I4">
            <v>305509928.340348</v>
          </cell>
          <cell r="J4">
            <v>292432195.40869</v>
          </cell>
          <cell r="K4">
            <v>299177784.433641</v>
          </cell>
          <cell r="L4">
            <v>259339549.186376</v>
          </cell>
          <cell r="M4">
            <v>235589744.672676</v>
          </cell>
        </row>
        <row r="5">
          <cell r="B5">
            <v>15773640.0864079</v>
          </cell>
          <cell r="C5">
            <v>13534455.6035785</v>
          </cell>
          <cell r="D5">
            <v>12491266.0869538</v>
          </cell>
          <cell r="E5">
            <v>17549515.6893847</v>
          </cell>
          <cell r="F5">
            <v>105301677.302187</v>
          </cell>
          <cell r="G5">
            <v>19566424.9371781</v>
          </cell>
          <cell r="H5">
            <v>20807089.4502626</v>
          </cell>
          <cell r="I5">
            <v>17724516.2831481</v>
          </cell>
          <cell r="J5">
            <v>17830894.2773173</v>
          </cell>
          <cell r="K5">
            <v>19726962.3354364</v>
          </cell>
          <cell r="L5">
            <v>16946881.6240908</v>
          </cell>
          <cell r="M5">
            <v>15838881.1046463</v>
          </cell>
        </row>
        <row r="6">
          <cell r="B6">
            <v>9822669.04514325</v>
          </cell>
          <cell r="C6">
            <v>6425384.81514325</v>
          </cell>
          <cell r="D6">
            <v>6447097.05514325</v>
          </cell>
          <cell r="E6">
            <v>6904929.38514325</v>
          </cell>
          <cell r="F6">
            <v>7779095.84514325</v>
          </cell>
          <cell r="G6">
            <v>7819971.97514325</v>
          </cell>
          <cell r="H6">
            <v>10288183.4451432</v>
          </cell>
          <cell r="I6">
            <v>6788882.39514325</v>
          </cell>
          <cell r="J6">
            <v>10022668.4451432</v>
          </cell>
          <cell r="K6">
            <v>9268123.67514325</v>
          </cell>
          <cell r="L6">
            <v>11559975.0651432</v>
          </cell>
          <cell r="M6">
            <v>12371460.4051432</v>
          </cell>
        </row>
        <row r="7">
          <cell r="B7">
            <v>1344168.82894984</v>
          </cell>
          <cell r="C7">
            <v>1060791.20347397</v>
          </cell>
          <cell r="D7">
            <v>1153243.18813955</v>
          </cell>
          <cell r="E7">
            <v>1259347.54405208</v>
          </cell>
          <cell r="F7">
            <v>1341586.01878032</v>
          </cell>
          <cell r="G7">
            <v>1236690.65405208</v>
          </cell>
          <cell r="H7">
            <v>1253346.34542932</v>
          </cell>
          <cell r="I7">
            <v>1197098.63542932</v>
          </cell>
          <cell r="J7">
            <v>1366324.73405208</v>
          </cell>
          <cell r="K7">
            <v>1243211.75542932</v>
          </cell>
          <cell r="L7">
            <v>1157508.26281567</v>
          </cell>
          <cell r="M7">
            <v>1230505.18894984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2024回款及耗煤量"/>
      <sheetName val="成本2024年"/>
      <sheetName val="蒸汽动力2024"/>
      <sheetName val="费用税金2024年"/>
      <sheetName val="制造费用2024"/>
    </sheetNames>
    <sheetDataSet>
      <sheetData sheetId="0">
        <row r="3">
          <cell r="B3">
            <v>272171847.801664</v>
          </cell>
          <cell r="C3">
            <v>251444413.742095</v>
          </cell>
          <cell r="D3">
            <v>311650255.222822</v>
          </cell>
          <cell r="E3">
            <v>361107950.295674</v>
          </cell>
          <cell r="F3">
            <v>393719524.329107</v>
          </cell>
          <cell r="G3">
            <v>350681920.610708</v>
          </cell>
          <cell r="H3">
            <v>374828540.074499</v>
          </cell>
          <cell r="I3">
            <v>359249093.19989</v>
          </cell>
          <cell r="J3">
            <v>349837959.591261</v>
          </cell>
          <cell r="K3">
            <v>371393090.719912</v>
          </cell>
          <cell r="L3">
            <v>317253374.376121</v>
          </cell>
          <cell r="M3">
            <v>278487695.376807</v>
          </cell>
        </row>
        <row r="4">
          <cell r="B4">
            <v>240982811.512859</v>
          </cell>
          <cell r="C4">
            <v>227466459.211784</v>
          </cell>
          <cell r="D4">
            <v>274851275.7648</v>
          </cell>
          <cell r="E4">
            <v>298817103.313564</v>
          </cell>
          <cell r="F4">
            <v>312276669.604526</v>
          </cell>
          <cell r="G4">
            <v>302631535.501503</v>
          </cell>
          <cell r="H4">
            <v>309351472.008324</v>
          </cell>
          <cell r="I4">
            <v>303537616.692266</v>
          </cell>
          <cell r="J4">
            <v>294103852.968467</v>
          </cell>
          <cell r="K4">
            <v>306148862.199615</v>
          </cell>
          <cell r="L4">
            <v>268564813.487237</v>
          </cell>
          <cell r="M4">
            <v>244603411.663565</v>
          </cell>
        </row>
        <row r="5">
          <cell r="B5">
            <v>15662613.9117469</v>
          </cell>
          <cell r="C5">
            <v>12179040.37948</v>
          </cell>
          <cell r="D5">
            <v>11837602.7832544</v>
          </cell>
          <cell r="E5">
            <v>16763403.4402936</v>
          </cell>
          <cell r="F5">
            <v>44913362.2444125</v>
          </cell>
          <cell r="G5">
            <v>19120972.6088504</v>
          </cell>
          <cell r="H5">
            <v>18912030.0690537</v>
          </cell>
          <cell r="I5">
            <v>16720895.3058201</v>
          </cell>
          <cell r="J5">
            <v>16608490.5122357</v>
          </cell>
          <cell r="K5">
            <v>18873583.1147572</v>
          </cell>
          <cell r="L5">
            <v>16568739.4766264</v>
          </cell>
          <cell r="M5">
            <v>15739413.4993535</v>
          </cell>
        </row>
        <row r="6">
          <cell r="B6">
            <v>9797005.03915179</v>
          </cell>
          <cell r="C6">
            <v>6399720.80915179</v>
          </cell>
          <cell r="D6">
            <v>6421433.04915179</v>
          </cell>
          <cell r="E6">
            <v>6879265.37915179</v>
          </cell>
          <cell r="F6">
            <v>7753431.83915179</v>
          </cell>
          <cell r="G6">
            <v>7794307.96915179</v>
          </cell>
          <cell r="H6">
            <v>10262519.4391518</v>
          </cell>
          <cell r="I6">
            <v>6763218.38915179</v>
          </cell>
          <cell r="J6">
            <v>9997004.43915179</v>
          </cell>
          <cell r="K6">
            <v>9242459.66915179</v>
          </cell>
          <cell r="L6">
            <v>11534311.0591518</v>
          </cell>
          <cell r="M6">
            <v>12345796.3991518</v>
          </cell>
        </row>
        <row r="7">
          <cell r="B7">
            <v>1344090.83435854</v>
          </cell>
          <cell r="C7">
            <v>1066274.07859348</v>
          </cell>
          <cell r="D7">
            <v>1153160.86042479</v>
          </cell>
          <cell r="E7">
            <v>1259263.67154471</v>
          </cell>
          <cell r="F7">
            <v>1337863.73264829</v>
          </cell>
          <cell r="G7">
            <v>1236606.78154471</v>
          </cell>
          <cell r="H7">
            <v>1253259.6845962</v>
          </cell>
          <cell r="I7">
            <v>1197011.9745962</v>
          </cell>
          <cell r="J7">
            <v>1366240.86154471</v>
          </cell>
          <cell r="K7">
            <v>1243125.0945962</v>
          </cell>
          <cell r="L7">
            <v>1157428.58401036</v>
          </cell>
          <cell r="M7">
            <v>1230427.19435854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topLeftCell="A13" workbookViewId="0">
      <selection activeCell="C19" sqref="C19"/>
    </sheetView>
  </sheetViews>
  <sheetFormatPr defaultColWidth="9" defaultRowHeight="18.75" customHeight="1"/>
  <cols>
    <col min="1" max="1" width="13.5" customWidth="1"/>
    <col min="2" max="2" width="17.25" customWidth="1"/>
    <col min="3" max="4" width="16.125" customWidth="1"/>
    <col min="5" max="5" width="18" customWidth="1"/>
    <col min="6" max="13" width="16.125" customWidth="1"/>
    <col min="14" max="14" width="18" customWidth="1"/>
    <col min="15" max="15" width="3.625" customWidth="1"/>
    <col min="16" max="16" width="11.25" customWidth="1"/>
    <col min="17" max="19" width="12.25" customWidth="1"/>
    <col min="20" max="20" width="16.125" customWidth="1"/>
  </cols>
  <sheetData>
    <row r="1" hidden="1" customHeight="1" spans="1:5">
      <c r="A1" s="145" t="s">
        <v>0</v>
      </c>
      <c r="B1" s="145"/>
      <c r="C1" s="145"/>
      <c r="D1" s="145"/>
      <c r="E1" s="145"/>
    </row>
    <row r="2" hidden="1" customHeight="1" spans="1:5">
      <c r="A2" s="145"/>
      <c r="B2" s="145"/>
      <c r="C2" s="145"/>
      <c r="D2" s="145"/>
      <c r="E2" s="145"/>
    </row>
    <row r="3" s="1" customFormat="1" hidden="1" customHeight="1" spans="1:5">
      <c r="A3" s="48" t="s">
        <v>1</v>
      </c>
      <c r="B3" s="48" t="s">
        <v>2</v>
      </c>
      <c r="C3" s="48" t="s">
        <v>3</v>
      </c>
      <c r="D3" s="48" t="s">
        <v>4</v>
      </c>
      <c r="E3" s="84" t="s">
        <v>5</v>
      </c>
    </row>
    <row r="4" s="1" customFormat="1" hidden="1" customHeight="1" spans="1:5">
      <c r="A4" s="146" t="s">
        <v>6</v>
      </c>
      <c r="B4" s="147">
        <f>'2019回款及耗煤量'!K10</f>
        <v>366956938.89</v>
      </c>
      <c r="C4" s="147">
        <f>'2019回款及耗煤量'!L10</f>
        <v>336906335.19</v>
      </c>
      <c r="D4" s="147">
        <f>'2019回款及耗煤量'!M10</f>
        <v>316474594.52</v>
      </c>
      <c r="E4" s="147">
        <f>SUM(B4:D4)</f>
        <v>1020337868.6</v>
      </c>
    </row>
    <row r="5" s="1" customFormat="1" hidden="1" customHeight="1" spans="1:5">
      <c r="A5" s="148" t="s">
        <v>7</v>
      </c>
      <c r="B5" s="88">
        <f>'2019成本'!D106</f>
        <v>312882925.359555</v>
      </c>
      <c r="C5" s="88">
        <f>'2019成本'!E106</f>
        <v>281101601.626774</v>
      </c>
      <c r="D5" s="88">
        <f>'2019成本'!F106</f>
        <v>266307274.142911</v>
      </c>
      <c r="E5" s="147">
        <f>SUM(B5:D5)</f>
        <v>860291801.129241</v>
      </c>
    </row>
    <row r="6" s="1" customFormat="1" hidden="1" customHeight="1" spans="1:13">
      <c r="A6" s="148" t="s">
        <v>8</v>
      </c>
      <c r="B6" s="88">
        <f>'2019年费用税金'!B49</f>
        <v>4523271.5125</v>
      </c>
      <c r="C6" s="88">
        <f>'2019年费用税金'!C49</f>
        <v>16374439.4538142</v>
      </c>
      <c r="D6" s="88">
        <f>'2019年费用税金'!D49</f>
        <v>16607931.9280035</v>
      </c>
      <c r="E6" s="147">
        <f t="shared" ref="E6:E11" si="0">SUM(B6:D6)</f>
        <v>37505642.8943177</v>
      </c>
      <c r="K6" s="13">
        <f>B6/10000</f>
        <v>452.32715125</v>
      </c>
      <c r="L6" s="13">
        <f>C6/10000</f>
        <v>1637.44394538142</v>
      </c>
      <c r="M6" s="13">
        <f>D6/10000</f>
        <v>1660.79319280035</v>
      </c>
    </row>
    <row r="7" s="1" customFormat="1" hidden="1" customHeight="1" spans="1:13">
      <c r="A7" s="148" t="s">
        <v>9</v>
      </c>
      <c r="B7" s="88">
        <f>'2019年费用税金'!B25</f>
        <v>9314088.7</v>
      </c>
      <c r="C7" s="88">
        <f>'2019年费用税金'!C25</f>
        <v>11605940.13</v>
      </c>
      <c r="D7" s="88">
        <f>'2019年费用税金'!D25</f>
        <v>12416242.09</v>
      </c>
      <c r="E7" s="147">
        <f t="shared" si="0"/>
        <v>33336270.92</v>
      </c>
      <c r="K7" s="13">
        <f>B7/10000</f>
        <v>931.40887</v>
      </c>
      <c r="L7" s="13">
        <f t="shared" ref="L7:M8" si="1">C7/10000</f>
        <v>1160.594013</v>
      </c>
      <c r="M7" s="13">
        <f t="shared" si="1"/>
        <v>1241.624209</v>
      </c>
    </row>
    <row r="8" s="1" customFormat="1" hidden="1" customHeight="1" spans="1:13">
      <c r="A8" s="148" t="s">
        <v>10</v>
      </c>
      <c r="B8" s="88">
        <f>'2019年费用税金'!B34</f>
        <v>1236435.11853244</v>
      </c>
      <c r="C8" s="88">
        <f>'2019年费用税金'!C34</f>
        <v>1176397.27417244</v>
      </c>
      <c r="D8" s="88">
        <f>'2019年费用税金'!D34</f>
        <v>1256033.76524844</v>
      </c>
      <c r="E8" s="147">
        <f t="shared" si="0"/>
        <v>3668866.15795333</v>
      </c>
      <c r="K8" s="13">
        <f>B8/10000</f>
        <v>123.643511853244</v>
      </c>
      <c r="L8" s="13">
        <f t="shared" si="1"/>
        <v>117.639727417244</v>
      </c>
      <c r="M8" s="13">
        <f t="shared" si="1"/>
        <v>125.603376524844</v>
      </c>
    </row>
    <row r="9" s="1" customFormat="1" hidden="1" customHeight="1" spans="1:5">
      <c r="A9" s="146" t="s">
        <v>11</v>
      </c>
      <c r="B9" s="147">
        <f>SUM(B5:B8)</f>
        <v>327956720.690588</v>
      </c>
      <c r="C9" s="147">
        <f t="shared" ref="C9:D9" si="2">SUM(C5:C8)</f>
        <v>310258378.484761</v>
      </c>
      <c r="D9" s="147">
        <f t="shared" si="2"/>
        <v>296587481.926163</v>
      </c>
      <c r="E9" s="147">
        <f t="shared" si="0"/>
        <v>934802581.101512</v>
      </c>
    </row>
    <row r="10" s="1" customFormat="1" hidden="1" customHeight="1" spans="1:5">
      <c r="A10" s="148" t="s">
        <v>12</v>
      </c>
      <c r="B10" s="88">
        <v>14560000</v>
      </c>
      <c r="C10" s="88">
        <v>25221200</v>
      </c>
      <c r="D10" s="88">
        <v>16553100</v>
      </c>
      <c r="E10" s="147">
        <f t="shared" si="0"/>
        <v>56334300</v>
      </c>
    </row>
    <row r="11" s="1" customFormat="1" hidden="1" customHeight="1" spans="1:5">
      <c r="A11" s="146" t="s">
        <v>13</v>
      </c>
      <c r="B11" s="147">
        <f>B9+B10</f>
        <v>342516720.690588</v>
      </c>
      <c r="C11" s="147">
        <f t="shared" ref="C11:D11" si="3">C9+C10</f>
        <v>335479578.484761</v>
      </c>
      <c r="D11" s="147">
        <f t="shared" si="3"/>
        <v>313140581.926163</v>
      </c>
      <c r="E11" s="147">
        <f t="shared" si="0"/>
        <v>991136881.101512</v>
      </c>
    </row>
    <row r="12" s="1" customFormat="1" hidden="1" customHeight="1" spans="1:5">
      <c r="A12" s="146" t="s">
        <v>14</v>
      </c>
      <c r="B12" s="149">
        <f>B4-B11</f>
        <v>24440218.1994124</v>
      </c>
      <c r="C12" s="149">
        <f t="shared" ref="C12:E12" si="4">C4-C11</f>
        <v>1426756.70523906</v>
      </c>
      <c r="D12" s="149">
        <f t="shared" si="4"/>
        <v>3334012.59383672</v>
      </c>
      <c r="E12" s="149">
        <f t="shared" si="4"/>
        <v>29200987.4984883</v>
      </c>
    </row>
    <row r="13" customHeight="1" spans="1:4">
      <c r="A13" s="150" t="s">
        <v>15</v>
      </c>
      <c r="B13" s="93"/>
      <c r="C13" s="93"/>
      <c r="D13" s="93"/>
    </row>
    <row r="14" s="1" customFormat="1" customHeight="1" spans="1:19">
      <c r="A14" s="48" t="s">
        <v>1</v>
      </c>
      <c r="B14" s="48" t="s">
        <v>16</v>
      </c>
      <c r="C14" s="48" t="s">
        <v>17</v>
      </c>
      <c r="D14" s="48" t="s">
        <v>18</v>
      </c>
      <c r="E14" s="48" t="s">
        <v>19</v>
      </c>
      <c r="F14" s="48" t="s">
        <v>20</v>
      </c>
      <c r="G14" s="48" t="s">
        <v>21</v>
      </c>
      <c r="H14" s="48" t="s">
        <v>22</v>
      </c>
      <c r="I14" s="48" t="s">
        <v>23</v>
      </c>
      <c r="J14" s="48" t="s">
        <v>24</v>
      </c>
      <c r="K14" s="48" t="s">
        <v>2</v>
      </c>
      <c r="L14" s="48" t="s">
        <v>3</v>
      </c>
      <c r="M14" s="48" t="s">
        <v>4</v>
      </c>
      <c r="N14" s="84" t="s">
        <v>5</v>
      </c>
      <c r="P14" s="1" t="s">
        <v>25</v>
      </c>
      <c r="Q14" s="1" t="s">
        <v>26</v>
      </c>
      <c r="R14" s="1" t="s">
        <v>27</v>
      </c>
      <c r="S14" s="1" t="s">
        <v>28</v>
      </c>
    </row>
    <row r="15" s="1" customFormat="1" customHeight="1" spans="1:20">
      <c r="A15" s="146" t="s">
        <v>6</v>
      </c>
      <c r="B15" s="147">
        <f>'2020回款及耗煤量'!AB10</f>
        <v>5630</v>
      </c>
      <c r="C15" s="147">
        <f>'2020回款及耗煤量'!AC10</f>
        <v>5630</v>
      </c>
      <c r="D15" s="147">
        <f>'2020回款及耗煤量'!AD10</f>
        <v>5630</v>
      </c>
      <c r="E15" s="147">
        <f>'2020回款及耗煤量'!AE10</f>
        <v>5630</v>
      </c>
      <c r="F15" s="147">
        <f>'2020回款及耗煤量'!AF10</f>
        <v>5630</v>
      </c>
      <c r="G15" s="147">
        <f>'2020回款及耗煤量'!AG10</f>
        <v>5630</v>
      </c>
      <c r="H15" s="147">
        <f>'2020回款及耗煤量'!AH10</f>
        <v>5630</v>
      </c>
      <c r="I15" s="147">
        <f>'2020回款及耗煤量'!AI10</f>
        <v>5630</v>
      </c>
      <c r="J15" s="147">
        <f>'2020回款及耗煤量'!AJ10</f>
        <v>5630</v>
      </c>
      <c r="K15" s="147">
        <f>'2020回款及耗煤量'!AK10</f>
        <v>5630</v>
      </c>
      <c r="L15" s="147">
        <f>'2020回款及耗煤量'!AL10</f>
        <v>5630</v>
      </c>
      <c r="M15" s="147">
        <f>'2020回款及耗煤量'!AM10</f>
        <v>5630</v>
      </c>
      <c r="N15" s="149">
        <f>SUM(B15:M15)</f>
        <v>67560</v>
      </c>
      <c r="P15" s="7">
        <f>(B15+C15+D15)/10000</f>
        <v>1.689</v>
      </c>
      <c r="Q15" s="7">
        <f>(F15+G15+E15)/10000</f>
        <v>1.689</v>
      </c>
      <c r="R15" s="7">
        <f>(H15+I15+J15)/10000</f>
        <v>1.689</v>
      </c>
      <c r="S15" s="7">
        <f>(K15+L15+M15)/10000</f>
        <v>1.689</v>
      </c>
      <c r="T15" s="7">
        <f>SUM(P15:S15)</f>
        <v>6.756</v>
      </c>
    </row>
    <row r="16" s="1" customFormat="1" customHeight="1" spans="1:20">
      <c r="A16" s="148" t="s">
        <v>7</v>
      </c>
      <c r="B16" s="88">
        <f>成本2020年!D106</f>
        <v>23054.13357352</v>
      </c>
      <c r="C16" s="88">
        <f>成本2020年!E106</f>
        <v>23054.13357352</v>
      </c>
      <c r="D16" s="88">
        <f>成本2020年!F106</f>
        <v>23054.13357352</v>
      </c>
      <c r="E16" s="88">
        <f>成本2020年!G106</f>
        <v>23054.13357352</v>
      </c>
      <c r="F16" s="88">
        <f>成本2020年!H106</f>
        <v>23054.13357352</v>
      </c>
      <c r="G16" s="88">
        <f>成本2020年!I106</f>
        <v>23054.13357352</v>
      </c>
      <c r="H16" s="88">
        <f>成本2020年!J106</f>
        <v>23054.13357352</v>
      </c>
      <c r="I16" s="88">
        <f>成本2020年!K106</f>
        <v>23054.13357352</v>
      </c>
      <c r="J16" s="88">
        <f>成本2020年!L106</f>
        <v>23054.13357352</v>
      </c>
      <c r="K16" s="88">
        <f>成本2020年!M106</f>
        <v>23054.13357352</v>
      </c>
      <c r="L16" s="88">
        <f>成本2020年!N106</f>
        <v>23054.13357352</v>
      </c>
      <c r="M16" s="88">
        <f>成本2020年!O106</f>
        <v>23054.13357352</v>
      </c>
      <c r="N16" s="149">
        <f>SUM(B16:M16)</f>
        <v>276649.60288224</v>
      </c>
      <c r="P16" s="7">
        <f t="shared" ref="P16:P19" si="5">(B16+C16+D16)/10000</f>
        <v>6.91624007205599</v>
      </c>
      <c r="Q16" s="7">
        <f t="shared" ref="Q16:Q19" si="6">(F16+G16+E16)/10000</f>
        <v>6.91624007205599</v>
      </c>
      <c r="R16" s="7">
        <f t="shared" ref="R16:R19" si="7">(H16+I16+J16)/10000</f>
        <v>6.91624007205599</v>
      </c>
      <c r="S16" s="7">
        <f t="shared" ref="S16:S19" si="8">(K16+L16+M16)/10000</f>
        <v>6.91624007205599</v>
      </c>
      <c r="T16" s="7">
        <f t="shared" ref="T16:T19" si="9">SUM(P16:S16)</f>
        <v>27.664960288224</v>
      </c>
    </row>
    <row r="17" s="1" customFormat="1" customHeight="1" spans="1:20">
      <c r="A17" s="148" t="s">
        <v>8</v>
      </c>
      <c r="B17" s="88">
        <f>费用税金2020年!B49</f>
        <v>38371170.053546</v>
      </c>
      <c r="C17" s="88">
        <f>费用税金2020年!C49</f>
        <v>125253.389108549</v>
      </c>
      <c r="D17" s="88">
        <f>费用税金2020年!D49</f>
        <v>700990.728577576</v>
      </c>
      <c r="E17" s="88">
        <f>费用税金2020年!E49</f>
        <v>1175703.38751563</v>
      </c>
      <c r="F17" s="88">
        <f>费用税金2020年!F49</f>
        <v>39125253.3853917</v>
      </c>
      <c r="G17" s="88">
        <f>费用税金2020年!G49</f>
        <v>1691628.15592271</v>
      </c>
      <c r="H17" s="88">
        <f>费用税金2020年!H49</f>
        <v>1175703.38539174</v>
      </c>
      <c r="I17" s="88">
        <f>费用税金2020年!I49</f>
        <v>125253.385391735</v>
      </c>
      <c r="J17" s="88">
        <f>费用税金2020年!J49</f>
        <v>700990.725391735</v>
      </c>
      <c r="K17" s="88">
        <f>费用税金2020年!K49</f>
        <v>1175703.38539174</v>
      </c>
      <c r="L17" s="88">
        <f>费用税金2020年!L49</f>
        <v>125253.386453682</v>
      </c>
      <c r="M17" s="88">
        <f>费用税金2020年!M49</f>
        <v>1691628.15857758</v>
      </c>
      <c r="N17" s="149">
        <f t="shared" ref="N17:N20" si="10">SUM(B17:M17)</f>
        <v>86184531.5266604</v>
      </c>
      <c r="P17" s="7">
        <f t="shared" si="5"/>
        <v>3919.74141712321</v>
      </c>
      <c r="Q17" s="7">
        <f t="shared" si="6"/>
        <v>4199.25849288301</v>
      </c>
      <c r="R17" s="7">
        <f t="shared" si="7"/>
        <v>200.194749617521</v>
      </c>
      <c r="S17" s="7">
        <f t="shared" si="8"/>
        <v>299.258493042299</v>
      </c>
      <c r="T17" s="7">
        <f t="shared" si="9"/>
        <v>8618.45315266604</v>
      </c>
    </row>
    <row r="18" s="1" customFormat="1" customHeight="1" spans="1:20">
      <c r="A18" s="148" t="s">
        <v>9</v>
      </c>
      <c r="B18" s="88">
        <f>费用税金2020年!B25</f>
        <v>1017007.37525462</v>
      </c>
      <c r="C18" s="88">
        <f>费用税金2020年!C25</f>
        <v>1016677.37525462</v>
      </c>
      <c r="D18" s="88">
        <f>费用税金2020年!D25</f>
        <v>1016675.47525462</v>
      </c>
      <c r="E18" s="88">
        <f>费用税金2020年!E25</f>
        <v>1016686.67525462</v>
      </c>
      <c r="F18" s="88">
        <f>费用税金2020年!F25</f>
        <v>1016783.87525462</v>
      </c>
      <c r="G18" s="88">
        <f>费用税金2020年!G25</f>
        <v>1016827.47525462</v>
      </c>
      <c r="H18" s="88">
        <f>费用税金2020年!H25</f>
        <v>1016906.37525462</v>
      </c>
      <c r="I18" s="88">
        <f>费用税金2020年!I25</f>
        <v>1016656.97525462</v>
      </c>
      <c r="J18" s="88">
        <f>费用税金2020年!J25</f>
        <v>1016971.47525462</v>
      </c>
      <c r="K18" s="88">
        <f>费用税金2020年!K25</f>
        <v>1016847.07525462</v>
      </c>
      <c r="L18" s="88">
        <f>费用税金2020年!L25</f>
        <v>1017066.37525462</v>
      </c>
      <c r="M18" s="88">
        <f>费用税金2020年!M25</f>
        <v>1017217.37525462</v>
      </c>
      <c r="N18" s="149">
        <f t="shared" si="10"/>
        <v>12202323.9030554</v>
      </c>
      <c r="P18" s="7">
        <f t="shared" si="5"/>
        <v>305.036022576385</v>
      </c>
      <c r="Q18" s="7">
        <f t="shared" si="6"/>
        <v>305.029802576385</v>
      </c>
      <c r="R18" s="7">
        <f t="shared" si="7"/>
        <v>305.053482576385</v>
      </c>
      <c r="S18" s="7">
        <f t="shared" si="8"/>
        <v>305.113082576385</v>
      </c>
      <c r="T18" s="7">
        <f t="shared" si="9"/>
        <v>1220.23239030554</v>
      </c>
    </row>
    <row r="19" s="1" customFormat="1" customHeight="1" spans="1:20">
      <c r="A19" s="148" t="s">
        <v>10</v>
      </c>
      <c r="B19" s="88">
        <f>费用税金2020年!B34</f>
        <v>665092.647</v>
      </c>
      <c r="C19" s="88">
        <f>费用税金2020年!C34</f>
        <v>665068.747</v>
      </c>
      <c r="D19" s="88">
        <f>费用税金2020年!D34</f>
        <v>665073.647</v>
      </c>
      <c r="E19" s="88">
        <f>费用税金2020年!E34</f>
        <v>697579.847</v>
      </c>
      <c r="F19" s="88">
        <f>费用税金2020年!F34</f>
        <v>697585.547</v>
      </c>
      <c r="G19" s="88">
        <f>费用税金2020年!G34</f>
        <v>697576.947</v>
      </c>
      <c r="H19" s="88">
        <f>费用税金2020年!H34</f>
        <v>697574.747</v>
      </c>
      <c r="I19" s="88">
        <f>费用税金2020年!I34</f>
        <v>697574.847</v>
      </c>
      <c r="J19" s="88">
        <f>费用税金2020年!J34</f>
        <v>697589.847</v>
      </c>
      <c r="K19" s="88">
        <f>费用税金2020年!K34</f>
        <v>697574.947</v>
      </c>
      <c r="L19" s="88">
        <f>费用税金2020年!L34</f>
        <v>665074.547</v>
      </c>
      <c r="M19" s="88">
        <f>费用税金2020年!M34</f>
        <v>665083.047</v>
      </c>
      <c r="N19" s="149">
        <f t="shared" si="10"/>
        <v>8208449.364</v>
      </c>
      <c r="P19" s="7">
        <f t="shared" si="5"/>
        <v>199.5235041</v>
      </c>
      <c r="Q19" s="7">
        <f t="shared" si="6"/>
        <v>209.2742341</v>
      </c>
      <c r="R19" s="7">
        <f t="shared" si="7"/>
        <v>209.2739441</v>
      </c>
      <c r="S19" s="7">
        <f t="shared" si="8"/>
        <v>202.7732541</v>
      </c>
      <c r="T19" s="7">
        <f t="shared" si="9"/>
        <v>820.8449364</v>
      </c>
    </row>
    <row r="20" s="1" customFormat="1" customHeight="1" spans="1:19">
      <c r="A20" s="146" t="s">
        <v>11</v>
      </c>
      <c r="B20" s="147">
        <f>SUM(B16:B19)</f>
        <v>40076324.2093741</v>
      </c>
      <c r="C20" s="147">
        <f t="shared" ref="C20:D20" si="11">SUM(C16:C19)</f>
        <v>1830053.64493669</v>
      </c>
      <c r="D20" s="147">
        <f t="shared" si="11"/>
        <v>2405793.98440571</v>
      </c>
      <c r="E20" s="147">
        <f t="shared" ref="E20:M20" si="12">SUM(E16:E19)</f>
        <v>2913024.04334377</v>
      </c>
      <c r="F20" s="147">
        <f t="shared" si="12"/>
        <v>40862676.9412199</v>
      </c>
      <c r="G20" s="147">
        <f t="shared" si="12"/>
        <v>3429086.71175085</v>
      </c>
      <c r="H20" s="147">
        <f t="shared" si="12"/>
        <v>2913238.64121987</v>
      </c>
      <c r="I20" s="147">
        <f t="shared" si="12"/>
        <v>1862539.34121987</v>
      </c>
      <c r="J20" s="147">
        <f t="shared" si="12"/>
        <v>2438606.18121987</v>
      </c>
      <c r="K20" s="147">
        <f t="shared" si="12"/>
        <v>2913179.54121987</v>
      </c>
      <c r="L20" s="147">
        <f t="shared" si="12"/>
        <v>1830448.44228182</v>
      </c>
      <c r="M20" s="147">
        <f t="shared" si="12"/>
        <v>3396982.71440571</v>
      </c>
      <c r="N20" s="149">
        <f t="shared" si="10"/>
        <v>106871954.396598</v>
      </c>
      <c r="P20" s="13">
        <f>P17+P18+P19</f>
        <v>4424.3009437996</v>
      </c>
      <c r="Q20" s="13">
        <f t="shared" ref="Q20:S20" si="13">Q17+Q18+Q19</f>
        <v>4713.56252955939</v>
      </c>
      <c r="R20" s="13">
        <f t="shared" si="13"/>
        <v>714.522176293906</v>
      </c>
      <c r="S20" s="13">
        <f t="shared" si="13"/>
        <v>807.144829718684</v>
      </c>
    </row>
    <row r="21" s="1" customFormat="1" customHeight="1" spans="1:14">
      <c r="A21" s="148" t="s">
        <v>12</v>
      </c>
      <c r="B21" s="88"/>
      <c r="C21" s="88">
        <v>5146500</v>
      </c>
      <c r="D21" s="88"/>
      <c r="E21" s="88">
        <v>5360400</v>
      </c>
      <c r="F21" s="148"/>
      <c r="G21" s="148"/>
      <c r="H21" s="148"/>
      <c r="I21" s="148"/>
      <c r="J21" s="148"/>
      <c r="K21" s="148"/>
      <c r="L21" s="148"/>
      <c r="M21" s="88">
        <v>14871700</v>
      </c>
      <c r="N21" s="149">
        <f t="shared" ref="N21:N23" si="14">SUM(B21:M21)</f>
        <v>25378600</v>
      </c>
    </row>
    <row r="22" s="1" customFormat="1" customHeight="1" spans="1:19">
      <c r="A22" s="146" t="s">
        <v>13</v>
      </c>
      <c r="B22" s="147">
        <f>B20+B21</f>
        <v>40076324.2093741</v>
      </c>
      <c r="C22" s="147">
        <f t="shared" ref="C22:M22" si="15">C20+C21</f>
        <v>6976553.64493669</v>
      </c>
      <c r="D22" s="147">
        <f t="shared" si="15"/>
        <v>2405793.98440571</v>
      </c>
      <c r="E22" s="147">
        <f t="shared" si="15"/>
        <v>8273424.04334377</v>
      </c>
      <c r="F22" s="147">
        <f t="shared" si="15"/>
        <v>40862676.9412199</v>
      </c>
      <c r="G22" s="147">
        <f t="shared" si="15"/>
        <v>3429086.71175085</v>
      </c>
      <c r="H22" s="147">
        <f t="shared" si="15"/>
        <v>2913238.64121987</v>
      </c>
      <c r="I22" s="147">
        <f t="shared" si="15"/>
        <v>1862539.34121987</v>
      </c>
      <c r="J22" s="147">
        <f t="shared" si="15"/>
        <v>2438606.18121987</v>
      </c>
      <c r="K22" s="147">
        <f t="shared" si="15"/>
        <v>2913179.54121987</v>
      </c>
      <c r="L22" s="147">
        <f t="shared" si="15"/>
        <v>1830448.44228182</v>
      </c>
      <c r="M22" s="147">
        <f t="shared" si="15"/>
        <v>18268682.7144057</v>
      </c>
      <c r="N22" s="149">
        <f t="shared" si="14"/>
        <v>132250554.396598</v>
      </c>
      <c r="P22" s="1" t="s">
        <v>29</v>
      </c>
      <c r="Q22" s="1" t="s">
        <v>30</v>
      </c>
      <c r="R22" s="1" t="s">
        <v>31</v>
      </c>
      <c r="S22" s="1" t="s">
        <v>32</v>
      </c>
    </row>
    <row r="23" s="1" customFormat="1" customHeight="1" spans="1:20">
      <c r="A23" s="146" t="s">
        <v>14</v>
      </c>
      <c r="B23" s="149">
        <f>B15-B22</f>
        <v>-40070694.2093741</v>
      </c>
      <c r="C23" s="149">
        <f t="shared" ref="C23:M23" si="16">C15-C22</f>
        <v>-6970923.64493669</v>
      </c>
      <c r="D23" s="149">
        <f t="shared" si="16"/>
        <v>-2400163.98440571</v>
      </c>
      <c r="E23" s="149">
        <f t="shared" si="16"/>
        <v>-8267794.04334377</v>
      </c>
      <c r="F23" s="149">
        <f t="shared" si="16"/>
        <v>-40857046.9412199</v>
      </c>
      <c r="G23" s="149">
        <f t="shared" si="16"/>
        <v>-3423456.71175085</v>
      </c>
      <c r="H23" s="149">
        <f t="shared" si="16"/>
        <v>-2907608.64121987</v>
      </c>
      <c r="I23" s="149">
        <f t="shared" si="16"/>
        <v>-1856909.34121987</v>
      </c>
      <c r="J23" s="149">
        <f t="shared" si="16"/>
        <v>-2432976.18121987</v>
      </c>
      <c r="K23" s="149">
        <f t="shared" si="16"/>
        <v>-2907549.54121987</v>
      </c>
      <c r="L23" s="149">
        <f t="shared" si="16"/>
        <v>-1824818.44228182</v>
      </c>
      <c r="M23" s="149">
        <f t="shared" si="16"/>
        <v>-18263052.7144057</v>
      </c>
      <c r="N23" s="152">
        <f t="shared" si="14"/>
        <v>-132182994.396598</v>
      </c>
      <c r="P23" s="1">
        <v>186335782.9</v>
      </c>
      <c r="Q23" s="1">
        <v>1873169</v>
      </c>
      <c r="R23" s="1">
        <v>7492679</v>
      </c>
      <c r="S23" s="1">
        <v>1513095</v>
      </c>
      <c r="T23" s="13">
        <f>N23-P23-Q23-R23-S23</f>
        <v>-329397720.296598</v>
      </c>
    </row>
    <row r="24" customFormat="1" customHeight="1" spans="1:4">
      <c r="A24" s="151" t="s">
        <v>33</v>
      </c>
      <c r="B24" s="93"/>
      <c r="C24" s="93"/>
      <c r="D24" s="93"/>
    </row>
    <row r="25" s="1" customFormat="1" customHeight="1" spans="1:19">
      <c r="A25" s="48" t="s">
        <v>1</v>
      </c>
      <c r="B25" s="48" t="s">
        <v>16</v>
      </c>
      <c r="C25" s="48" t="s">
        <v>17</v>
      </c>
      <c r="D25" s="48" t="s">
        <v>18</v>
      </c>
      <c r="E25" s="48" t="s">
        <v>19</v>
      </c>
      <c r="F25" s="48" t="s">
        <v>20</v>
      </c>
      <c r="G25" s="48" t="s">
        <v>21</v>
      </c>
      <c r="H25" s="48" t="s">
        <v>22</v>
      </c>
      <c r="I25" s="48" t="s">
        <v>23</v>
      </c>
      <c r="J25" s="48" t="s">
        <v>24</v>
      </c>
      <c r="K25" s="48" t="s">
        <v>2</v>
      </c>
      <c r="L25" s="48" t="s">
        <v>3</v>
      </c>
      <c r="M25" s="48" t="s">
        <v>4</v>
      </c>
      <c r="N25" s="84" t="s">
        <v>5</v>
      </c>
      <c r="P25" s="1" t="s">
        <v>25</v>
      </c>
      <c r="Q25" s="1" t="s">
        <v>26</v>
      </c>
      <c r="R25" s="1" t="s">
        <v>27</v>
      </c>
      <c r="S25" s="1" t="s">
        <v>28</v>
      </c>
    </row>
    <row r="26" s="1" customFormat="1" customHeight="1" spans="1:20">
      <c r="A26" s="146" t="s">
        <v>6</v>
      </c>
      <c r="B26" s="147">
        <f>[1]汇总表!B3</f>
        <v>302606105.266452</v>
      </c>
      <c r="C26" s="147">
        <f>[1]汇总表!C3</f>
        <v>275035076.196659</v>
      </c>
      <c r="D26" s="147">
        <f>[1]汇总表!D3</f>
        <v>343908706.473311</v>
      </c>
      <c r="E26" s="147">
        <f>[1]汇总表!E3</f>
        <v>400813575.023279</v>
      </c>
      <c r="F26" s="147">
        <f>[1]汇总表!F3</f>
        <v>431750217.585846</v>
      </c>
      <c r="G26" s="147">
        <f>[1]汇总表!G3</f>
        <v>451006402.56615</v>
      </c>
      <c r="H26" s="147">
        <f>[1]汇总表!H3</f>
        <v>482231301.594343</v>
      </c>
      <c r="I26" s="147">
        <f>[1]汇总表!I3</f>
        <v>474260273.426253</v>
      </c>
      <c r="J26" s="147">
        <f>[1]汇总表!J3</f>
        <v>453068581.086876</v>
      </c>
      <c r="K26" s="147">
        <f>[1]汇总表!K3</f>
        <v>461308282.878644</v>
      </c>
      <c r="L26" s="147">
        <f>[1]汇总表!L3</f>
        <v>377502154.092521</v>
      </c>
      <c r="M26" s="147">
        <f>[1]汇总表!M3</f>
        <v>312914698.875306</v>
      </c>
      <c r="N26" s="149">
        <f>SUM(B26:M26)</f>
        <v>4766405375.06564</v>
      </c>
      <c r="P26" s="7">
        <f>(B26+C26+D26)/10000</f>
        <v>92154.9887936422</v>
      </c>
      <c r="Q26" s="7">
        <f>(F26+G26+E26)/10000</f>
        <v>128357.019517528</v>
      </c>
      <c r="R26" s="7">
        <f>(H26+I26+J26)/10000</f>
        <v>140956.015610747</v>
      </c>
      <c r="S26" s="7">
        <f>(K26+L26+M26)/10000</f>
        <v>115172.513584647</v>
      </c>
      <c r="T26" s="7">
        <f>SUM(P26:S26)</f>
        <v>476640.537506564</v>
      </c>
    </row>
    <row r="27" s="1" customFormat="1" customHeight="1" spans="1:20">
      <c r="A27" s="148" t="s">
        <v>7</v>
      </c>
      <c r="B27" s="88">
        <f>[1]汇总表!B4</f>
        <v>268493105.095284</v>
      </c>
      <c r="C27" s="88">
        <f>[1]汇总表!C4</f>
        <v>243292585.743367</v>
      </c>
      <c r="D27" s="88">
        <f>[1]汇总表!D4</f>
        <v>298659778.500392</v>
      </c>
      <c r="E27" s="88">
        <f>[1]汇总表!E4</f>
        <v>317627356.111231</v>
      </c>
      <c r="F27" s="88">
        <f>[1]汇总表!F4</f>
        <v>335511579.093783</v>
      </c>
      <c r="G27" s="88">
        <f>[1]汇总表!G4</f>
        <v>317637985.837481</v>
      </c>
      <c r="H27" s="88">
        <f>[1]汇总表!H4</f>
        <v>331727992.684496</v>
      </c>
      <c r="I27" s="88">
        <f>[1]汇总表!I4</f>
        <v>335272883.658046</v>
      </c>
      <c r="J27" s="88">
        <f>[1]汇总表!J4</f>
        <v>331680130.45192</v>
      </c>
      <c r="K27" s="88">
        <f>[1]汇总表!K4</f>
        <v>348996019.442815</v>
      </c>
      <c r="L27" s="88">
        <f>[1]汇总表!L4</f>
        <v>307878204.835156</v>
      </c>
      <c r="M27" s="88">
        <f>[1]汇总表!M4</f>
        <v>284281605.449045</v>
      </c>
      <c r="N27" s="149">
        <f>SUM(B27:M27)</f>
        <v>3721059226.90302</v>
      </c>
      <c r="P27" s="7">
        <f t="shared" ref="P27:P30" si="17">(B27+C27+D27)/10000</f>
        <v>81044.5469339043</v>
      </c>
      <c r="Q27" s="7">
        <f t="shared" ref="Q27:Q30" si="18">(F27+G27+E27)/10000</f>
        <v>97077.6921042495</v>
      </c>
      <c r="R27" s="7">
        <f t="shared" ref="R27:R30" si="19">(H27+I27+J27)/10000</f>
        <v>99868.1006794462</v>
      </c>
      <c r="S27" s="7">
        <f t="shared" ref="S27:S30" si="20">(K27+L27+M27)/10000</f>
        <v>94115.5829727016</v>
      </c>
      <c r="T27" s="7">
        <f t="shared" ref="T27:T30" si="21">SUM(P27:S27)</f>
        <v>372105.922690302</v>
      </c>
    </row>
    <row r="28" s="1" customFormat="1" customHeight="1" spans="1:20">
      <c r="A28" s="148" t="s">
        <v>8</v>
      </c>
      <c r="B28" s="88">
        <f>[1]汇总表!B5</f>
        <v>17241573.0260043</v>
      </c>
      <c r="C28" s="88">
        <f>[1]汇总表!C5</f>
        <v>13527663.5760703</v>
      </c>
      <c r="D28" s="88">
        <f>[1]汇总表!D5</f>
        <v>12881448.7295331</v>
      </c>
      <c r="E28" s="88">
        <f>[1]汇总表!E5</f>
        <v>18172698.8558709</v>
      </c>
      <c r="F28" s="88">
        <f>[1]汇总表!F5</f>
        <v>91668190.4136669</v>
      </c>
      <c r="G28" s="88">
        <f>[1]汇总表!G5</f>
        <v>20803337.532799</v>
      </c>
      <c r="H28" s="88">
        <f>[1]汇总表!H5</f>
        <v>23337229.9066413</v>
      </c>
      <c r="I28" s="88">
        <f>[1]汇总表!I5</f>
        <v>21460120.3439829</v>
      </c>
      <c r="J28" s="88">
        <f>[1]汇总表!J5</f>
        <v>21685527.6289591</v>
      </c>
      <c r="K28" s="88">
        <f>[1]汇总表!K5</f>
        <v>23432993.4532237</v>
      </c>
      <c r="L28" s="88">
        <f>[1]汇总表!L5</f>
        <v>20542753.5932358</v>
      </c>
      <c r="M28" s="88">
        <f>[1]汇总表!M5</f>
        <v>18405085.7912939</v>
      </c>
      <c r="N28" s="149">
        <f t="shared" ref="N28:N31" si="22">SUM(B28:M28)</f>
        <v>303158622.851281</v>
      </c>
      <c r="P28" s="7">
        <f t="shared" si="17"/>
        <v>4365.06853316077</v>
      </c>
      <c r="Q28" s="7">
        <f t="shared" si="18"/>
        <v>13064.4226802337</v>
      </c>
      <c r="R28" s="7">
        <f t="shared" si="19"/>
        <v>6648.28778795833</v>
      </c>
      <c r="S28" s="7">
        <f t="shared" si="20"/>
        <v>6238.08328377534</v>
      </c>
      <c r="T28" s="7">
        <f t="shared" si="21"/>
        <v>30315.8622851281</v>
      </c>
    </row>
    <row r="29" s="1" customFormat="1" customHeight="1" spans="1:20">
      <c r="A29" s="148" t="s">
        <v>9</v>
      </c>
      <c r="B29" s="88">
        <f>[1]汇总表!B6</f>
        <v>9779205.59801813</v>
      </c>
      <c r="C29" s="88">
        <f>[1]汇总表!C6</f>
        <v>6381921.36801813</v>
      </c>
      <c r="D29" s="88">
        <f>[1]汇总表!D6</f>
        <v>6403633.60801813</v>
      </c>
      <c r="E29" s="88">
        <f>[1]汇总表!E6</f>
        <v>6861465.93801813</v>
      </c>
      <c r="F29" s="88">
        <f>[1]汇总表!F6</f>
        <v>7735632.39801813</v>
      </c>
      <c r="G29" s="88">
        <f>[1]汇总表!G6</f>
        <v>7776508.52801813</v>
      </c>
      <c r="H29" s="88">
        <f>[1]汇总表!H6</f>
        <v>10244719.9980181</v>
      </c>
      <c r="I29" s="88">
        <f>[1]汇总表!I6</f>
        <v>6745418.94801813</v>
      </c>
      <c r="J29" s="88">
        <f>[1]汇总表!J6</f>
        <v>9979204.99801813</v>
      </c>
      <c r="K29" s="88">
        <f>[1]汇总表!K6</f>
        <v>9224660.22801813</v>
      </c>
      <c r="L29" s="88">
        <f>[1]汇总表!L6</f>
        <v>11516511.6180181</v>
      </c>
      <c r="M29" s="88">
        <f>[1]汇总表!M6</f>
        <v>12327996.9580181</v>
      </c>
      <c r="N29" s="149">
        <f t="shared" si="22"/>
        <v>104976880.186218</v>
      </c>
      <c r="P29" s="7">
        <f t="shared" si="17"/>
        <v>2256.47605740544</v>
      </c>
      <c r="Q29" s="7">
        <f t="shared" si="18"/>
        <v>2237.36068640544</v>
      </c>
      <c r="R29" s="7">
        <f t="shared" si="19"/>
        <v>2696.93439440544</v>
      </c>
      <c r="S29" s="7">
        <f t="shared" si="20"/>
        <v>3306.91688040544</v>
      </c>
      <c r="T29" s="7">
        <f t="shared" si="21"/>
        <v>10497.6880186218</v>
      </c>
    </row>
    <row r="30" s="1" customFormat="1" customHeight="1" spans="1:20">
      <c r="A30" s="148" t="s">
        <v>10</v>
      </c>
      <c r="B30" s="88">
        <f>[1]汇总表!B7</f>
        <v>1344091.08983369</v>
      </c>
      <c r="C30" s="88">
        <f>[1]汇总表!C7</f>
        <v>1060720.98146268</v>
      </c>
      <c r="D30" s="88">
        <f>[1]汇总表!D7</f>
        <v>1153161.13006289</v>
      </c>
      <c r="E30" s="88">
        <f>[1]汇总表!E7</f>
        <v>1259263.94619325</v>
      </c>
      <c r="F30" s="88">
        <f>[1]汇总表!F7</f>
        <v>1337864.01664042</v>
      </c>
      <c r="G30" s="88">
        <f>[1]汇总表!G7</f>
        <v>1236607.05619325</v>
      </c>
      <c r="H30" s="88">
        <f>[1]汇总表!H7</f>
        <v>1253259.96839969</v>
      </c>
      <c r="I30" s="88">
        <f>[1]汇总表!I7</f>
        <v>1197012.25839969</v>
      </c>
      <c r="J30" s="88">
        <f>[1]汇总表!J7</f>
        <v>1366241.13619325</v>
      </c>
      <c r="K30" s="88">
        <f>[1]汇总表!K7</f>
        <v>1243125.37839969</v>
      </c>
      <c r="L30" s="88">
        <f>[1]汇总表!L7</f>
        <v>1157428.84495163</v>
      </c>
      <c r="M30" s="88">
        <f>[1]汇总表!M7</f>
        <v>1230427.44983369</v>
      </c>
      <c r="N30" s="149">
        <f t="shared" si="22"/>
        <v>14839203.2565638</v>
      </c>
      <c r="P30" s="7">
        <f t="shared" si="17"/>
        <v>355.797320135926</v>
      </c>
      <c r="Q30" s="7">
        <f t="shared" si="18"/>
        <v>383.373501902692</v>
      </c>
      <c r="R30" s="7">
        <f t="shared" si="19"/>
        <v>381.651336299263</v>
      </c>
      <c r="S30" s="7">
        <f t="shared" si="20"/>
        <v>363.098167318501</v>
      </c>
      <c r="T30" s="7">
        <f t="shared" si="21"/>
        <v>1483.92032565638</v>
      </c>
    </row>
    <row r="31" s="1" customFormat="1" customHeight="1" spans="1:19">
      <c r="A31" s="146" t="s">
        <v>11</v>
      </c>
      <c r="B31" s="147">
        <f>SUM(B27:B30)</f>
        <v>296857974.80914</v>
      </c>
      <c r="C31" s="147">
        <f t="shared" ref="C31:D31" si="23">SUM(C27:C30)</f>
        <v>264262891.668918</v>
      </c>
      <c r="D31" s="147">
        <f t="shared" si="23"/>
        <v>319098021.968006</v>
      </c>
      <c r="E31" s="147">
        <f t="shared" ref="E31:M31" si="24">SUM(E27:E30)</f>
        <v>343920784.851313</v>
      </c>
      <c r="F31" s="147">
        <f t="shared" si="24"/>
        <v>436253265.922108</v>
      </c>
      <c r="G31" s="147">
        <f t="shared" si="24"/>
        <v>347454438.954491</v>
      </c>
      <c r="H31" s="147">
        <f t="shared" si="24"/>
        <v>366563202.557555</v>
      </c>
      <c r="I31" s="147">
        <f t="shared" si="24"/>
        <v>364675435.208447</v>
      </c>
      <c r="J31" s="147">
        <f t="shared" si="24"/>
        <v>364711104.215091</v>
      </c>
      <c r="K31" s="147">
        <f t="shared" si="24"/>
        <v>382896798.502456</v>
      </c>
      <c r="L31" s="147">
        <f t="shared" si="24"/>
        <v>341094898.891362</v>
      </c>
      <c r="M31" s="147">
        <f t="shared" si="24"/>
        <v>316245115.648191</v>
      </c>
      <c r="N31" s="149">
        <f t="shared" si="22"/>
        <v>4144033933.19708</v>
      </c>
      <c r="P31" s="13">
        <f>P28+P29+P30</f>
        <v>6977.34191070214</v>
      </c>
      <c r="Q31" s="13">
        <f t="shared" ref="Q31" si="25">Q28+Q29+Q30</f>
        <v>15685.1568685418</v>
      </c>
      <c r="R31" s="13">
        <f t="shared" ref="R31:S31" si="26">R28+R29+R30</f>
        <v>9726.87351866303</v>
      </c>
      <c r="S31" s="13">
        <f t="shared" si="26"/>
        <v>9908.09833149928</v>
      </c>
    </row>
    <row r="32" s="1" customFormat="1" customHeight="1" spans="1:14">
      <c r="A32" s="148" t="s">
        <v>12</v>
      </c>
      <c r="B32" s="88">
        <f>[1]汇总表!B9</f>
        <v>0</v>
      </c>
      <c r="C32" s="88">
        <f>[1]汇总表!C9</f>
        <v>0</v>
      </c>
      <c r="D32" s="88">
        <f>[1]汇总表!D9</f>
        <v>0</v>
      </c>
      <c r="E32" s="88">
        <f>[1]汇总表!E9</f>
        <v>0</v>
      </c>
      <c r="F32" s="88">
        <f>[1]汇总表!F9</f>
        <v>6688000</v>
      </c>
      <c r="G32" s="88">
        <f>[1]汇总表!G9</f>
        <v>0</v>
      </c>
      <c r="H32" s="88">
        <f>[1]汇总表!H9</f>
        <v>0</v>
      </c>
      <c r="I32" s="88">
        <f>[1]汇总表!I9</f>
        <v>0</v>
      </c>
      <c r="J32" s="88">
        <f>[1]汇总表!J9</f>
        <v>0</v>
      </c>
      <c r="K32" s="88">
        <f>[1]汇总表!K9</f>
        <v>0</v>
      </c>
      <c r="L32" s="88">
        <f>[1]汇总表!L9</f>
        <v>0</v>
      </c>
      <c r="M32" s="88">
        <f>[1]汇总表!M9</f>
        <v>0</v>
      </c>
      <c r="N32" s="149">
        <f t="shared" ref="N32:N34" si="27">SUM(B32:M32)</f>
        <v>6688000</v>
      </c>
    </row>
    <row r="33" s="1" customFormat="1" customHeight="1" spans="1:14">
      <c r="A33" s="146" t="s">
        <v>13</v>
      </c>
      <c r="B33" s="147">
        <f>B31+B32</f>
        <v>296857974.80914</v>
      </c>
      <c r="C33" s="147">
        <f t="shared" ref="C33:E33" si="28">C31+C32</f>
        <v>264262891.668918</v>
      </c>
      <c r="D33" s="147">
        <f t="shared" si="28"/>
        <v>319098021.968006</v>
      </c>
      <c r="E33" s="147">
        <f t="shared" si="28"/>
        <v>343920784.851313</v>
      </c>
      <c r="F33" s="147">
        <f t="shared" ref="F33:M33" si="29">F31+F32</f>
        <v>442941265.922108</v>
      </c>
      <c r="G33" s="147">
        <f t="shared" si="29"/>
        <v>347454438.954491</v>
      </c>
      <c r="H33" s="147">
        <f t="shared" si="29"/>
        <v>366563202.557555</v>
      </c>
      <c r="I33" s="147">
        <f t="shared" si="29"/>
        <v>364675435.208447</v>
      </c>
      <c r="J33" s="147">
        <f t="shared" si="29"/>
        <v>364711104.215091</v>
      </c>
      <c r="K33" s="147">
        <f t="shared" si="29"/>
        <v>382896798.502456</v>
      </c>
      <c r="L33" s="147">
        <f t="shared" si="29"/>
        <v>341094898.891362</v>
      </c>
      <c r="M33" s="147">
        <f t="shared" si="29"/>
        <v>316245115.648191</v>
      </c>
      <c r="N33" s="149">
        <f t="shared" si="27"/>
        <v>4150721933.19708</v>
      </c>
    </row>
    <row r="34" s="1" customFormat="1" customHeight="1" spans="1:14">
      <c r="A34" s="146" t="s">
        <v>14</v>
      </c>
      <c r="B34" s="149">
        <f>B26-B33</f>
        <v>5748130.45731193</v>
      </c>
      <c r="C34" s="149">
        <f t="shared" ref="C34:M34" si="30">C26-C33</f>
        <v>10772184.5277409</v>
      </c>
      <c r="D34" s="149">
        <f t="shared" si="30"/>
        <v>24810684.5053049</v>
      </c>
      <c r="E34" s="149">
        <f t="shared" si="30"/>
        <v>56892790.1719657</v>
      </c>
      <c r="F34" s="149">
        <f t="shared" si="30"/>
        <v>-11191048.3362625</v>
      </c>
      <c r="G34" s="149">
        <f t="shared" si="30"/>
        <v>103551963.611659</v>
      </c>
      <c r="H34" s="149">
        <f t="shared" si="30"/>
        <v>115668099.036788</v>
      </c>
      <c r="I34" s="149">
        <f t="shared" si="30"/>
        <v>109584838.217806</v>
      </c>
      <c r="J34" s="149">
        <f t="shared" si="30"/>
        <v>88357476.8717855</v>
      </c>
      <c r="K34" s="149">
        <f t="shared" si="30"/>
        <v>78411484.3761875</v>
      </c>
      <c r="L34" s="149">
        <f t="shared" si="30"/>
        <v>36407255.2011594</v>
      </c>
      <c r="M34" s="149">
        <f t="shared" si="30"/>
        <v>-3330416.77288473</v>
      </c>
      <c r="N34" s="152">
        <f t="shared" si="27"/>
        <v>615683441.868561</v>
      </c>
    </row>
    <row r="35" customHeight="1" spans="1:1">
      <c r="A35" s="151" t="s">
        <v>34</v>
      </c>
    </row>
    <row r="36" s="1" customFormat="1" customHeight="1" spans="1:19">
      <c r="A36" s="48" t="s">
        <v>1</v>
      </c>
      <c r="B36" s="48" t="s">
        <v>16</v>
      </c>
      <c r="C36" s="48" t="s">
        <v>17</v>
      </c>
      <c r="D36" s="48" t="s">
        <v>18</v>
      </c>
      <c r="E36" s="48" t="s">
        <v>19</v>
      </c>
      <c r="F36" s="48" t="s">
        <v>20</v>
      </c>
      <c r="G36" s="48" t="s">
        <v>21</v>
      </c>
      <c r="H36" s="48" t="s">
        <v>22</v>
      </c>
      <c r="I36" s="48" t="s">
        <v>23</v>
      </c>
      <c r="J36" s="48" t="s">
        <v>24</v>
      </c>
      <c r="K36" s="48" t="s">
        <v>2</v>
      </c>
      <c r="L36" s="48" t="s">
        <v>3</v>
      </c>
      <c r="M36" s="48" t="s">
        <v>4</v>
      </c>
      <c r="N36" s="84" t="s">
        <v>5</v>
      </c>
      <c r="P36" s="1" t="s">
        <v>25</v>
      </c>
      <c r="Q36" s="1" t="s">
        <v>26</v>
      </c>
      <c r="R36" s="1" t="s">
        <v>27</v>
      </c>
      <c r="S36" s="1" t="s">
        <v>28</v>
      </c>
    </row>
    <row r="37" s="1" customFormat="1" customHeight="1" spans="1:20">
      <c r="A37" s="146" t="s">
        <v>6</v>
      </c>
      <c r="B37" s="147">
        <f>[2]汇总表!B3</f>
        <v>331449681.80132</v>
      </c>
      <c r="C37" s="147">
        <f>[2]汇总表!C3</f>
        <v>292633785.854851</v>
      </c>
      <c r="D37" s="147">
        <f>[2]汇总表!D3</f>
        <v>356681620.340742</v>
      </c>
      <c r="E37" s="147">
        <f>[2]汇总表!E3</f>
        <v>397231448.608595</v>
      </c>
      <c r="F37" s="147">
        <f>[2]汇总表!F3</f>
        <v>420315376.944976</v>
      </c>
      <c r="G37" s="147">
        <f>[2]汇总表!G3</f>
        <v>398615698.498017</v>
      </c>
      <c r="H37" s="147">
        <f>[2]汇总表!H3</f>
        <v>402655533.729249</v>
      </c>
      <c r="I37" s="147">
        <f>[2]汇总表!I3</f>
        <v>388376367.201192</v>
      </c>
      <c r="J37" s="147">
        <f>[2]汇总表!J3</f>
        <v>369688292.119164</v>
      </c>
      <c r="K37" s="147">
        <f>[2]汇总表!K3</f>
        <v>400547193.8929</v>
      </c>
      <c r="L37" s="147">
        <f>[2]汇总表!L3</f>
        <v>332915600.728384</v>
      </c>
      <c r="M37" s="147">
        <f>[2]汇总表!M3</f>
        <v>285206093.151827</v>
      </c>
      <c r="N37" s="149">
        <f>SUM(B37:M37)</f>
        <v>4376316692.87122</v>
      </c>
      <c r="P37" s="7">
        <f>(B37+C37+D37)/10000</f>
        <v>98076.5087996913</v>
      </c>
      <c r="Q37" s="7">
        <f>(F37+G37+E37)/10000</f>
        <v>121616.252405159</v>
      </c>
      <c r="R37" s="7">
        <f>(H37+I37+J37)/10000</f>
        <v>116072.019304961</v>
      </c>
      <c r="S37" s="7">
        <f>(K37+L37+M37)/10000</f>
        <v>101866.888777311</v>
      </c>
      <c r="T37" s="7">
        <f>SUM(P37:S37)</f>
        <v>437631.669287122</v>
      </c>
    </row>
    <row r="38" s="1" customFormat="1" customHeight="1" spans="1:20">
      <c r="A38" s="148" t="s">
        <v>7</v>
      </c>
      <c r="B38" s="88">
        <f>[2]汇总表!B4</f>
        <v>243815484.020802</v>
      </c>
      <c r="C38" s="88">
        <f>[2]汇总表!C4</f>
        <v>225043954.342561</v>
      </c>
      <c r="D38" s="88">
        <f>[2]汇总表!D4</f>
        <v>279976625.639154</v>
      </c>
      <c r="E38" s="88">
        <f>[2]汇总表!E4</f>
        <v>302274738.575027</v>
      </c>
      <c r="F38" s="88">
        <f>[2]汇总表!F4</f>
        <v>316198069.423202</v>
      </c>
      <c r="G38" s="88">
        <f>[2]汇总表!G4</f>
        <v>309831680.20635</v>
      </c>
      <c r="H38" s="88">
        <f>[2]汇总表!H4</f>
        <v>316923963.258687</v>
      </c>
      <c r="I38" s="88">
        <f>[2]汇总表!I4</f>
        <v>315570165.673282</v>
      </c>
      <c r="J38" s="88">
        <f>[2]汇总表!J4</f>
        <v>312837745.434525</v>
      </c>
      <c r="K38" s="88">
        <f>[2]汇总表!K4</f>
        <v>327486938.435607</v>
      </c>
      <c r="L38" s="88">
        <f>[2]汇总表!L4</f>
        <v>286921222.969488</v>
      </c>
      <c r="M38" s="88">
        <f>[2]汇总表!M4</f>
        <v>263252221.637926</v>
      </c>
      <c r="N38" s="149">
        <f>SUM(B38:M38)</f>
        <v>3500132809.61661</v>
      </c>
      <c r="P38" s="7">
        <f>(B38+C38+D38)/10000</f>
        <v>74883.6064002518</v>
      </c>
      <c r="Q38" s="7">
        <f t="shared" ref="Q38:Q41" si="31">(F38+G38+E38)/10000</f>
        <v>92830.4488204579</v>
      </c>
      <c r="R38" s="7">
        <f t="shared" ref="R38:R41" si="32">(H38+I38+J38)/10000</f>
        <v>94533.1874366493</v>
      </c>
      <c r="S38" s="7">
        <f t="shared" ref="S38:S41" si="33">(K38+L38+M38)/10000</f>
        <v>87766.0383043021</v>
      </c>
      <c r="T38" s="7">
        <f t="shared" ref="T38:T41" si="34">SUM(P38:S38)</f>
        <v>350013.280961661</v>
      </c>
    </row>
    <row r="39" s="1" customFormat="1" customHeight="1" spans="1:20">
      <c r="A39" s="148" t="s">
        <v>8</v>
      </c>
      <c r="B39" s="88">
        <f>[2]汇总表!B5</f>
        <v>17000355.789942</v>
      </c>
      <c r="C39" s="88">
        <f>[2]汇总表!C5</f>
        <v>14792279.0264884</v>
      </c>
      <c r="D39" s="88">
        <f>[2]汇总表!D5</f>
        <v>13652209.4826111</v>
      </c>
      <c r="E39" s="88">
        <f>[2]汇总表!E5</f>
        <v>18730689.5711672</v>
      </c>
      <c r="F39" s="88">
        <f>[2]汇总表!F5</f>
        <v>141506308.819935</v>
      </c>
      <c r="G39" s="88">
        <f>[2]汇总表!G5</f>
        <v>20293731.1671535</v>
      </c>
      <c r="H39" s="88">
        <f>[2]汇总表!H5</f>
        <v>21003470.9059477</v>
      </c>
      <c r="I39" s="88">
        <f>[2]汇总表!I5</f>
        <v>17949284.1399052</v>
      </c>
      <c r="J39" s="88">
        <f>[2]汇总表!J5</f>
        <v>17895386.2063911</v>
      </c>
      <c r="K39" s="88">
        <f>[2]汇总表!K5</f>
        <v>19753399.0046783</v>
      </c>
      <c r="L39" s="88">
        <f>[2]汇总表!L5</f>
        <v>17859274.0338362</v>
      </c>
      <c r="M39" s="88">
        <f>[2]汇总表!M5</f>
        <v>16434568.1895717</v>
      </c>
      <c r="N39" s="149">
        <f t="shared" ref="N39:N42" si="35">SUM(B39:M39)</f>
        <v>336870956.337627</v>
      </c>
      <c r="P39" s="7">
        <f t="shared" ref="P39:P41" si="36">(B39+C39+D39)/10000</f>
        <v>4544.48442990415</v>
      </c>
      <c r="Q39" s="7">
        <f t="shared" si="31"/>
        <v>18053.0729558256</v>
      </c>
      <c r="R39" s="7">
        <f t="shared" si="32"/>
        <v>5684.8141252244</v>
      </c>
      <c r="S39" s="7">
        <f t="shared" si="33"/>
        <v>5404.72412280862</v>
      </c>
      <c r="T39" s="7">
        <f t="shared" si="34"/>
        <v>33687.0956337627</v>
      </c>
    </row>
    <row r="40" s="1" customFormat="1" customHeight="1" spans="1:20">
      <c r="A40" s="148" t="s">
        <v>9</v>
      </c>
      <c r="B40" s="88">
        <f>[2]汇总表!B6</f>
        <v>9880204.24900673</v>
      </c>
      <c r="C40" s="88">
        <f>[2]汇总表!C6</f>
        <v>6482920.01900673</v>
      </c>
      <c r="D40" s="88">
        <f>[2]汇总表!D6</f>
        <v>6504632.25900673</v>
      </c>
      <c r="E40" s="88">
        <f>[2]汇总表!E6</f>
        <v>6962464.58900673</v>
      </c>
      <c r="F40" s="88">
        <f>[2]汇总表!F6</f>
        <v>7836631.04900673</v>
      </c>
      <c r="G40" s="88">
        <f>[2]汇总表!G6</f>
        <v>7877507.17900673</v>
      </c>
      <c r="H40" s="88">
        <f>[2]汇总表!H6</f>
        <v>10345718.6490067</v>
      </c>
      <c r="I40" s="88">
        <f>[2]汇总表!I6</f>
        <v>6846417.59900673</v>
      </c>
      <c r="J40" s="88">
        <f>[2]汇总表!J6</f>
        <v>10080203.6490067</v>
      </c>
      <c r="K40" s="88">
        <f>[2]汇总表!K6</f>
        <v>9325658.87900673</v>
      </c>
      <c r="L40" s="88">
        <f>[2]汇总表!L6</f>
        <v>11617510.2690067</v>
      </c>
      <c r="M40" s="88">
        <f>[2]汇总表!M6</f>
        <v>12428995.6090067</v>
      </c>
      <c r="N40" s="149">
        <f t="shared" si="35"/>
        <v>106188863.998081</v>
      </c>
      <c r="P40" s="7">
        <f t="shared" si="36"/>
        <v>2286.77565270202</v>
      </c>
      <c r="Q40" s="7">
        <f t="shared" si="31"/>
        <v>2267.66028170202</v>
      </c>
      <c r="R40" s="7">
        <f t="shared" si="32"/>
        <v>2727.23398970202</v>
      </c>
      <c r="S40" s="7">
        <f t="shared" si="33"/>
        <v>3337.21647570202</v>
      </c>
      <c r="T40" s="7">
        <f t="shared" si="34"/>
        <v>10618.8863998081</v>
      </c>
    </row>
    <row r="41" s="1" customFormat="1" customHeight="1" spans="1:20">
      <c r="A41" s="148" t="s">
        <v>10</v>
      </c>
      <c r="B41" s="88">
        <f>[2]汇总表!B7</f>
        <v>1344091.08983369</v>
      </c>
      <c r="C41" s="88">
        <f>[2]汇总表!C7</f>
        <v>1060720.98146268</v>
      </c>
      <c r="D41" s="88">
        <f>[2]汇总表!D7</f>
        <v>1153161.13018361</v>
      </c>
      <c r="E41" s="88">
        <f>[2]汇总表!E7</f>
        <v>1259263.9464196</v>
      </c>
      <c r="F41" s="88">
        <f>[2]汇总表!F7</f>
        <v>1331078.62863359</v>
      </c>
      <c r="G41" s="88">
        <f>[2]汇总表!G7</f>
        <v>1236607.0564196</v>
      </c>
      <c r="H41" s="88">
        <f>[2]汇总表!H7</f>
        <v>1253259.96863359</v>
      </c>
      <c r="I41" s="88">
        <f>[2]汇总表!I7</f>
        <v>1197012.25863359</v>
      </c>
      <c r="J41" s="88">
        <f>[2]汇总表!J7</f>
        <v>1366241.1364196</v>
      </c>
      <c r="K41" s="88">
        <f>[2]汇总表!K7</f>
        <v>1243125.37863359</v>
      </c>
      <c r="L41" s="88">
        <f>[2]汇总表!L7</f>
        <v>1157428.84506481</v>
      </c>
      <c r="M41" s="88">
        <f>[2]汇总表!M7</f>
        <v>1230427.44983369</v>
      </c>
      <c r="N41" s="149">
        <f t="shared" si="35"/>
        <v>14832417.8701717</v>
      </c>
      <c r="P41" s="7">
        <f t="shared" si="36"/>
        <v>355.797320147998</v>
      </c>
      <c r="Q41" s="7">
        <f t="shared" si="31"/>
        <v>382.69496314728</v>
      </c>
      <c r="R41" s="7">
        <f t="shared" si="32"/>
        <v>381.651336368679</v>
      </c>
      <c r="S41" s="7">
        <f t="shared" si="33"/>
        <v>363.098167353209</v>
      </c>
      <c r="T41" s="7">
        <f t="shared" si="34"/>
        <v>1483.24178701717</v>
      </c>
    </row>
    <row r="42" s="1" customFormat="1" customHeight="1" spans="1:19">
      <c r="A42" s="146" t="s">
        <v>11</v>
      </c>
      <c r="B42" s="147">
        <f>SUM(B38:B41)</f>
        <v>272040135.149584</v>
      </c>
      <c r="C42" s="147">
        <f t="shared" ref="C42:D42" si="37">SUM(C38:C41)</f>
        <v>247379874.369519</v>
      </c>
      <c r="D42" s="147">
        <f t="shared" si="37"/>
        <v>301286628.510956</v>
      </c>
      <c r="E42" s="147">
        <f t="shared" ref="E42:M42" si="38">SUM(E38:E41)</f>
        <v>329227156.681621</v>
      </c>
      <c r="F42" s="147">
        <f t="shared" si="38"/>
        <v>466872087.920778</v>
      </c>
      <c r="G42" s="147">
        <f t="shared" si="38"/>
        <v>339239525.608929</v>
      </c>
      <c r="H42" s="147">
        <f t="shared" si="38"/>
        <v>349526412.782275</v>
      </c>
      <c r="I42" s="147">
        <f t="shared" si="38"/>
        <v>341562879.670827</v>
      </c>
      <c r="J42" s="147">
        <f t="shared" si="38"/>
        <v>342179576.426342</v>
      </c>
      <c r="K42" s="147">
        <f t="shared" si="38"/>
        <v>357809121.697926</v>
      </c>
      <c r="L42" s="147">
        <f t="shared" si="38"/>
        <v>317555436.117396</v>
      </c>
      <c r="M42" s="147">
        <f t="shared" si="38"/>
        <v>293346212.886339</v>
      </c>
      <c r="N42" s="149">
        <f t="shared" si="35"/>
        <v>3958025047.82249</v>
      </c>
      <c r="P42" s="13">
        <f>P39+P40+P41</f>
        <v>7187.05740275416</v>
      </c>
      <c r="Q42" s="13">
        <f t="shared" ref="Q42" si="39">Q39+Q40+Q41</f>
        <v>20703.4282006749</v>
      </c>
      <c r="R42" s="13">
        <f t="shared" ref="R42:S42" si="40">R39+R40+R41</f>
        <v>8793.6994512951</v>
      </c>
      <c r="S42" s="13">
        <f t="shared" si="40"/>
        <v>9105.03876586385</v>
      </c>
    </row>
    <row r="43" s="1" customFormat="1" customHeight="1" spans="1:14">
      <c r="A43" s="148" t="s">
        <v>12</v>
      </c>
      <c r="B43" s="88">
        <f>[2]汇总表!B9</f>
        <v>0</v>
      </c>
      <c r="C43" s="88">
        <f>[2]汇总表!C9</f>
        <v>0</v>
      </c>
      <c r="D43" s="88">
        <f>[2]汇总表!D9</f>
        <v>0</v>
      </c>
      <c r="E43" s="88">
        <f>[2]汇总表!E9</f>
        <v>0</v>
      </c>
      <c r="F43" s="88">
        <f>[2]汇总表!F9</f>
        <v>0</v>
      </c>
      <c r="G43" s="88">
        <f>[2]汇总表!G9</f>
        <v>0</v>
      </c>
      <c r="H43" s="88">
        <f>[2]汇总表!H9</f>
        <v>0</v>
      </c>
      <c r="I43" s="88">
        <f>[2]汇总表!I9</f>
        <v>0</v>
      </c>
      <c r="J43" s="88">
        <f>[2]汇总表!J9</f>
        <v>0</v>
      </c>
      <c r="K43" s="88">
        <f>[2]汇总表!K9</f>
        <v>0</v>
      </c>
      <c r="L43" s="88">
        <f>[2]汇总表!L9</f>
        <v>0</v>
      </c>
      <c r="M43" s="88">
        <f>[2]汇总表!M9</f>
        <v>0</v>
      </c>
      <c r="N43" s="149">
        <f t="shared" ref="N43:N45" si="41">SUM(B43:M43)</f>
        <v>0</v>
      </c>
    </row>
    <row r="44" s="1" customFormat="1" customHeight="1" spans="1:14">
      <c r="A44" s="146" t="s">
        <v>13</v>
      </c>
      <c r="B44" s="147">
        <f>B42+B43</f>
        <v>272040135.149584</v>
      </c>
      <c r="C44" s="147">
        <f t="shared" ref="C44:E44" si="42">C42+C43</f>
        <v>247379874.369519</v>
      </c>
      <c r="D44" s="147">
        <f t="shared" si="42"/>
        <v>301286628.510956</v>
      </c>
      <c r="E44" s="147">
        <f t="shared" si="42"/>
        <v>329227156.681621</v>
      </c>
      <c r="F44" s="147">
        <f t="shared" ref="F44:M44" si="43">F42+F43</f>
        <v>466872087.920778</v>
      </c>
      <c r="G44" s="147">
        <f t="shared" si="43"/>
        <v>339239525.608929</v>
      </c>
      <c r="H44" s="147">
        <f t="shared" si="43"/>
        <v>349526412.782275</v>
      </c>
      <c r="I44" s="147">
        <f t="shared" si="43"/>
        <v>341562879.670827</v>
      </c>
      <c r="J44" s="147">
        <f t="shared" si="43"/>
        <v>342179576.426342</v>
      </c>
      <c r="K44" s="147">
        <f t="shared" si="43"/>
        <v>357809121.697926</v>
      </c>
      <c r="L44" s="147">
        <f t="shared" si="43"/>
        <v>317555436.117396</v>
      </c>
      <c r="M44" s="147">
        <f t="shared" si="43"/>
        <v>293346212.886339</v>
      </c>
      <c r="N44" s="149">
        <f t="shared" si="41"/>
        <v>3958025047.82249</v>
      </c>
    </row>
    <row r="45" s="1" customFormat="1" customHeight="1" spans="1:14">
      <c r="A45" s="146" t="s">
        <v>14</v>
      </c>
      <c r="B45" s="149">
        <f>B37-B44</f>
        <v>59409546.6517358</v>
      </c>
      <c r="C45" s="149">
        <f t="shared" ref="C45:M45" si="44">C37-C44</f>
        <v>45253911.4853315</v>
      </c>
      <c r="D45" s="149">
        <f t="shared" si="44"/>
        <v>55394991.8297862</v>
      </c>
      <c r="E45" s="149">
        <f t="shared" si="44"/>
        <v>68004291.9269742</v>
      </c>
      <c r="F45" s="149">
        <f t="shared" si="44"/>
        <v>-46556710.9758022</v>
      </c>
      <c r="G45" s="149">
        <f t="shared" si="44"/>
        <v>59376172.8890879</v>
      </c>
      <c r="H45" s="149">
        <f t="shared" si="44"/>
        <v>53129120.9469746</v>
      </c>
      <c r="I45" s="149">
        <f t="shared" si="44"/>
        <v>46813487.5303646</v>
      </c>
      <c r="J45" s="149">
        <f t="shared" si="44"/>
        <v>27508715.6928225</v>
      </c>
      <c r="K45" s="149">
        <f t="shared" si="44"/>
        <v>42738072.1949747</v>
      </c>
      <c r="L45" s="149">
        <f t="shared" si="44"/>
        <v>15360164.6109879</v>
      </c>
      <c r="M45" s="149">
        <f t="shared" si="44"/>
        <v>-8140119.7345112</v>
      </c>
      <c r="N45" s="152">
        <f t="shared" si="41"/>
        <v>418291645.048726</v>
      </c>
    </row>
    <row r="46" customFormat="1" customHeight="1" spans="1:1">
      <c r="A46" s="151" t="s">
        <v>35</v>
      </c>
    </row>
    <row r="47" s="1" customFormat="1" customHeight="1" spans="1:19">
      <c r="A47" s="48" t="s">
        <v>1</v>
      </c>
      <c r="B47" s="48" t="s">
        <v>16</v>
      </c>
      <c r="C47" s="48" t="s">
        <v>17</v>
      </c>
      <c r="D47" s="48" t="s">
        <v>18</v>
      </c>
      <c r="E47" s="48" t="s">
        <v>19</v>
      </c>
      <c r="F47" s="48" t="s">
        <v>20</v>
      </c>
      <c r="G47" s="48" t="s">
        <v>21</v>
      </c>
      <c r="H47" s="48" t="s">
        <v>22</v>
      </c>
      <c r="I47" s="48" t="s">
        <v>23</v>
      </c>
      <c r="J47" s="48" t="s">
        <v>24</v>
      </c>
      <c r="K47" s="48" t="s">
        <v>2</v>
      </c>
      <c r="L47" s="48" t="s">
        <v>3</v>
      </c>
      <c r="M47" s="48" t="s">
        <v>4</v>
      </c>
      <c r="N47" s="84" t="s">
        <v>5</v>
      </c>
      <c r="P47" s="1" t="s">
        <v>25</v>
      </c>
      <c r="Q47" s="1" t="s">
        <v>26</v>
      </c>
      <c r="R47" s="1" t="s">
        <v>27</v>
      </c>
      <c r="S47" s="1" t="s">
        <v>28</v>
      </c>
    </row>
    <row r="48" s="1" customFormat="1" customHeight="1" spans="1:20">
      <c r="A48" s="146" t="s">
        <v>6</v>
      </c>
      <c r="B48" s="147">
        <f>[3]汇总表!B3</f>
        <v>302854242.906333</v>
      </c>
      <c r="C48" s="147">
        <f>[3]汇总表!C3</f>
        <v>266272326.011956</v>
      </c>
      <c r="D48" s="147">
        <f>[3]汇总表!D3</f>
        <v>329872278.304239</v>
      </c>
      <c r="E48" s="147">
        <f>[3]汇总表!E3</f>
        <v>369902266.410042</v>
      </c>
      <c r="F48" s="147">
        <f>[3]汇总表!F3</f>
        <v>403846715.034288</v>
      </c>
      <c r="G48" s="147">
        <f>[3]汇总表!G3</f>
        <v>393385114.831394</v>
      </c>
      <c r="H48" s="147">
        <f>[3]汇总表!H3</f>
        <v>397602337.460444</v>
      </c>
      <c r="I48" s="147">
        <f>[3]汇总表!I3</f>
        <v>386973699.977637</v>
      </c>
      <c r="J48" s="147">
        <f>[3]汇总表!J3</f>
        <v>369191431.89999</v>
      </c>
      <c r="K48" s="147">
        <f>[3]汇总表!K3</f>
        <v>380014583.443506</v>
      </c>
      <c r="L48" s="147">
        <f>[3]汇总表!L3</f>
        <v>319564995.622133</v>
      </c>
      <c r="M48" s="147">
        <f>[3]汇总表!M3</f>
        <v>282834740.347189</v>
      </c>
      <c r="N48" s="149">
        <f>SUM(B48:M48)</f>
        <v>4202314732.24915</v>
      </c>
      <c r="P48" s="7">
        <f>(B48+C48+D48)/10000</f>
        <v>89899.8847222528</v>
      </c>
      <c r="Q48" s="7">
        <f>(F48+G48+E48)/10000</f>
        <v>116713.409627572</v>
      </c>
      <c r="R48" s="7">
        <f>(H48+I48+J48)/10000</f>
        <v>115376.746933807</v>
      </c>
      <c r="S48" s="7">
        <f>(K48+L48+M48)/10000</f>
        <v>98241.4319412828</v>
      </c>
      <c r="T48" s="7">
        <f>SUM(P48:S48)</f>
        <v>420231.473224915</v>
      </c>
    </row>
    <row r="49" s="1" customFormat="1" customHeight="1" spans="1:20">
      <c r="A49" s="148" t="s">
        <v>7</v>
      </c>
      <c r="B49" s="88">
        <f>[3]汇总表!B4</f>
        <v>252939168.234235</v>
      </c>
      <c r="C49" s="88">
        <f>[3]汇总表!C4</f>
        <v>228228973.525283</v>
      </c>
      <c r="D49" s="88">
        <f>[3]汇总表!D4</f>
        <v>278376070.41066</v>
      </c>
      <c r="E49" s="88">
        <f>[3]汇总表!E4</f>
        <v>301485747.487286</v>
      </c>
      <c r="F49" s="88">
        <f>[3]汇总表!F4</f>
        <v>310149290.702183</v>
      </c>
      <c r="G49" s="88">
        <f>[3]汇总表!G4</f>
        <v>303028974.615671</v>
      </c>
      <c r="H49" s="88">
        <f>[3]汇总表!H4</f>
        <v>309076308.823641</v>
      </c>
      <c r="I49" s="88">
        <f>[3]汇总表!I4</f>
        <v>305509928.340348</v>
      </c>
      <c r="J49" s="88">
        <f>[3]汇总表!J4</f>
        <v>292432195.40869</v>
      </c>
      <c r="K49" s="88">
        <f>[3]汇总表!K4</f>
        <v>299177784.433641</v>
      </c>
      <c r="L49" s="88">
        <f>[3]汇总表!L4</f>
        <v>259339549.186376</v>
      </c>
      <c r="M49" s="88">
        <f>[3]汇总表!M4</f>
        <v>235589744.672676</v>
      </c>
      <c r="N49" s="149">
        <f>SUM(B49:M49)</f>
        <v>3375333735.84069</v>
      </c>
      <c r="P49" s="7">
        <f t="shared" ref="P49:P52" si="45">(B49+C49+D49)/10000</f>
        <v>75954.4212170178</v>
      </c>
      <c r="Q49" s="7">
        <f t="shared" ref="Q49:Q52" si="46">(F49+G49+E49)/10000</f>
        <v>91466.4012805139</v>
      </c>
      <c r="R49" s="7">
        <f t="shared" ref="R49:R52" si="47">(H49+I49+J49)/10000</f>
        <v>90701.8432572679</v>
      </c>
      <c r="S49" s="7">
        <f t="shared" ref="S49:S52" si="48">(K49+L49+M49)/10000</f>
        <v>79410.7078292693</v>
      </c>
      <c r="T49" s="7">
        <f t="shared" ref="T49:T52" si="49">SUM(P49:S49)</f>
        <v>337533.373584069</v>
      </c>
    </row>
    <row r="50" s="1" customFormat="1" customHeight="1" spans="1:20">
      <c r="A50" s="148" t="s">
        <v>8</v>
      </c>
      <c r="B50" s="88">
        <f>[3]汇总表!B5</f>
        <v>15773640.0864079</v>
      </c>
      <c r="C50" s="88">
        <f>[3]汇总表!C5</f>
        <v>13534455.6035785</v>
      </c>
      <c r="D50" s="88">
        <f>[3]汇总表!D5</f>
        <v>12491266.0869538</v>
      </c>
      <c r="E50" s="88">
        <f>[3]汇总表!E5</f>
        <v>17549515.6893847</v>
      </c>
      <c r="F50" s="88">
        <f>[3]汇总表!F5</f>
        <v>105301677.302187</v>
      </c>
      <c r="G50" s="88">
        <f>[3]汇总表!G5</f>
        <v>19566424.9371781</v>
      </c>
      <c r="H50" s="88">
        <f>[3]汇总表!H5</f>
        <v>20807089.4502626</v>
      </c>
      <c r="I50" s="88">
        <f>[3]汇总表!I5</f>
        <v>17724516.2831481</v>
      </c>
      <c r="J50" s="88">
        <f>[3]汇总表!J5</f>
        <v>17830894.2773173</v>
      </c>
      <c r="K50" s="88">
        <f>[3]汇总表!K5</f>
        <v>19726962.3354364</v>
      </c>
      <c r="L50" s="88">
        <f>[3]汇总表!L5</f>
        <v>16946881.6240908</v>
      </c>
      <c r="M50" s="88">
        <f>[3]汇总表!M5</f>
        <v>15838881.1046463</v>
      </c>
      <c r="N50" s="149">
        <f t="shared" ref="N50:N53" si="50">SUM(B50:M50)</f>
        <v>293092204.780592</v>
      </c>
      <c r="P50" s="7">
        <f t="shared" si="45"/>
        <v>4179.93617769401</v>
      </c>
      <c r="Q50" s="7">
        <f t="shared" si="46"/>
        <v>14241.761792875</v>
      </c>
      <c r="R50" s="7">
        <f t="shared" si="47"/>
        <v>5636.2500010728</v>
      </c>
      <c r="S50" s="7">
        <f t="shared" si="48"/>
        <v>5251.27250641735</v>
      </c>
      <c r="T50" s="7">
        <f t="shared" si="49"/>
        <v>29309.2204780591</v>
      </c>
    </row>
    <row r="51" s="1" customFormat="1" customHeight="1" spans="1:20">
      <c r="A51" s="148" t="s">
        <v>9</v>
      </c>
      <c r="B51" s="88">
        <f>[3]汇总表!B6</f>
        <v>9822669.04514325</v>
      </c>
      <c r="C51" s="88">
        <f>[3]汇总表!C6</f>
        <v>6425384.81514325</v>
      </c>
      <c r="D51" s="88">
        <f>[3]汇总表!D6</f>
        <v>6447097.05514325</v>
      </c>
      <c r="E51" s="88">
        <f>[3]汇总表!E6</f>
        <v>6904929.38514325</v>
      </c>
      <c r="F51" s="88">
        <f>[3]汇总表!F6</f>
        <v>7779095.84514325</v>
      </c>
      <c r="G51" s="88">
        <f>[3]汇总表!G6</f>
        <v>7819971.97514325</v>
      </c>
      <c r="H51" s="88">
        <f>[3]汇总表!H6</f>
        <v>10288183.4451432</v>
      </c>
      <c r="I51" s="88">
        <f>[3]汇总表!I6</f>
        <v>6788882.39514325</v>
      </c>
      <c r="J51" s="88">
        <f>[3]汇总表!J6</f>
        <v>10022668.4451432</v>
      </c>
      <c r="K51" s="88">
        <f>[3]汇总表!K6</f>
        <v>9268123.67514325</v>
      </c>
      <c r="L51" s="88">
        <f>[3]汇总表!L6</f>
        <v>11559975.0651432</v>
      </c>
      <c r="M51" s="88">
        <f>[3]汇总表!M6</f>
        <v>12371460.4051432</v>
      </c>
      <c r="N51" s="149">
        <f t="shared" si="50"/>
        <v>105498441.551719</v>
      </c>
      <c r="P51" s="7">
        <f t="shared" si="45"/>
        <v>2269.51509154297</v>
      </c>
      <c r="Q51" s="7">
        <f t="shared" si="46"/>
        <v>2250.39972054297</v>
      </c>
      <c r="R51" s="7">
        <f t="shared" si="47"/>
        <v>2709.97342854297</v>
      </c>
      <c r="S51" s="7">
        <f t="shared" si="48"/>
        <v>3319.95591454297</v>
      </c>
      <c r="T51" s="7">
        <f t="shared" si="49"/>
        <v>10549.8441551719</v>
      </c>
    </row>
    <row r="52" s="1" customFormat="1" customHeight="1" spans="1:20">
      <c r="A52" s="148" t="s">
        <v>10</v>
      </c>
      <c r="B52" s="88">
        <f>[3]汇总表!B7</f>
        <v>1344168.82894984</v>
      </c>
      <c r="C52" s="88">
        <f>[3]汇总表!C7</f>
        <v>1060791.20347397</v>
      </c>
      <c r="D52" s="88">
        <f>[3]汇总表!D7</f>
        <v>1153243.18813955</v>
      </c>
      <c r="E52" s="88">
        <f>[3]汇总表!E7</f>
        <v>1259347.54405208</v>
      </c>
      <c r="F52" s="88">
        <f>[3]汇总表!F7</f>
        <v>1341586.01878032</v>
      </c>
      <c r="G52" s="88">
        <f>[3]汇总表!G7</f>
        <v>1236690.65405208</v>
      </c>
      <c r="H52" s="88">
        <f>[3]汇总表!H7</f>
        <v>1253346.34542932</v>
      </c>
      <c r="I52" s="88">
        <f>[3]汇总表!I7</f>
        <v>1197098.63542932</v>
      </c>
      <c r="J52" s="88">
        <f>[3]汇总表!J7</f>
        <v>1366324.73405208</v>
      </c>
      <c r="K52" s="88">
        <f>[3]汇总表!K7</f>
        <v>1243211.75542932</v>
      </c>
      <c r="L52" s="88">
        <f>[3]汇总表!L7</f>
        <v>1157508.26281567</v>
      </c>
      <c r="M52" s="88">
        <f>[3]汇总表!M7</f>
        <v>1230505.18894984</v>
      </c>
      <c r="N52" s="149">
        <f t="shared" si="50"/>
        <v>14843822.3595534</v>
      </c>
      <c r="P52" s="7">
        <f t="shared" si="45"/>
        <v>355.820322056336</v>
      </c>
      <c r="Q52" s="7">
        <f t="shared" si="46"/>
        <v>383.762421688449</v>
      </c>
      <c r="R52" s="7">
        <f t="shared" si="47"/>
        <v>381.676971491072</v>
      </c>
      <c r="S52" s="7">
        <f t="shared" si="48"/>
        <v>363.122520719483</v>
      </c>
      <c r="T52" s="7">
        <f t="shared" si="49"/>
        <v>1484.38223595534</v>
      </c>
    </row>
    <row r="53" s="1" customFormat="1" customHeight="1" spans="1:19">
      <c r="A53" s="146" t="s">
        <v>11</v>
      </c>
      <c r="B53" s="147">
        <f>SUM(B49:B52)</f>
        <v>279879646.194736</v>
      </c>
      <c r="C53" s="147">
        <f t="shared" ref="C53:D53" si="51">SUM(C49:C52)</f>
        <v>249249605.147479</v>
      </c>
      <c r="D53" s="147">
        <f t="shared" si="51"/>
        <v>298467676.740896</v>
      </c>
      <c r="E53" s="147">
        <f t="shared" ref="E53:M53" si="52">SUM(E49:E52)</f>
        <v>327199540.105866</v>
      </c>
      <c r="F53" s="147">
        <f t="shared" si="52"/>
        <v>424571649.868293</v>
      </c>
      <c r="G53" s="147">
        <f t="shared" si="52"/>
        <v>331652062.182044</v>
      </c>
      <c r="H53" s="147">
        <f t="shared" si="52"/>
        <v>341424928.064476</v>
      </c>
      <c r="I53" s="147">
        <f t="shared" si="52"/>
        <v>331220425.654069</v>
      </c>
      <c r="J53" s="147">
        <f t="shared" si="52"/>
        <v>321652082.865203</v>
      </c>
      <c r="K53" s="147">
        <f t="shared" si="52"/>
        <v>329416082.19965</v>
      </c>
      <c r="L53" s="147">
        <f t="shared" si="52"/>
        <v>289003914.138425</v>
      </c>
      <c r="M53" s="147">
        <f t="shared" si="52"/>
        <v>265030591.371416</v>
      </c>
      <c r="N53" s="149">
        <f t="shared" si="50"/>
        <v>3788768204.53255</v>
      </c>
      <c r="P53" s="13">
        <f>SUM(P50:P52)</f>
        <v>6805.27159129332</v>
      </c>
      <c r="Q53" s="13">
        <f t="shared" ref="Q53:S53" si="53">SUM(Q50:Q52)</f>
        <v>16875.9239351064</v>
      </c>
      <c r="R53" s="13">
        <f t="shared" si="53"/>
        <v>8727.90040110685</v>
      </c>
      <c r="S53" s="13">
        <f t="shared" si="53"/>
        <v>8934.3509416798</v>
      </c>
    </row>
    <row r="54" s="1" customFormat="1" customHeight="1" spans="1:14">
      <c r="A54" s="148" t="s">
        <v>12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149">
        <f t="shared" ref="N54:N56" si="54">SUM(B54:M54)</f>
        <v>0</v>
      </c>
    </row>
    <row r="55" s="1" customFormat="1" customHeight="1" spans="1:14">
      <c r="A55" s="146" t="s">
        <v>13</v>
      </c>
      <c r="B55" s="147">
        <f>B53+B54</f>
        <v>279879646.194736</v>
      </c>
      <c r="C55" s="147">
        <f t="shared" ref="C55:E55" si="55">C53+C54</f>
        <v>249249605.147479</v>
      </c>
      <c r="D55" s="147">
        <f t="shared" si="55"/>
        <v>298467676.740896</v>
      </c>
      <c r="E55" s="147">
        <f t="shared" si="55"/>
        <v>327199540.105866</v>
      </c>
      <c r="F55" s="147">
        <f t="shared" ref="F55:M55" si="56">F53+F54</f>
        <v>424571649.868293</v>
      </c>
      <c r="G55" s="147">
        <f t="shared" si="56"/>
        <v>331652062.182044</v>
      </c>
      <c r="H55" s="147">
        <f t="shared" si="56"/>
        <v>341424928.064476</v>
      </c>
      <c r="I55" s="147">
        <f t="shared" si="56"/>
        <v>331220425.654069</v>
      </c>
      <c r="J55" s="147">
        <f t="shared" si="56"/>
        <v>321652082.865203</v>
      </c>
      <c r="K55" s="147">
        <f t="shared" si="56"/>
        <v>329416082.19965</v>
      </c>
      <c r="L55" s="147">
        <f t="shared" si="56"/>
        <v>289003914.138425</v>
      </c>
      <c r="M55" s="147">
        <f t="shared" si="56"/>
        <v>265030591.371416</v>
      </c>
      <c r="N55" s="149">
        <f t="shared" si="54"/>
        <v>3788768204.53255</v>
      </c>
    </row>
    <row r="56" s="1" customFormat="1" customHeight="1" spans="1:14">
      <c r="A56" s="146" t="s">
        <v>14</v>
      </c>
      <c r="B56" s="149">
        <f>B48-B55</f>
        <v>22974596.7115969</v>
      </c>
      <c r="C56" s="149">
        <f t="shared" ref="C56:M56" si="57">C48-C55</f>
        <v>17022720.8644764</v>
      </c>
      <c r="D56" s="149">
        <f t="shared" si="57"/>
        <v>31404601.563343</v>
      </c>
      <c r="E56" s="149">
        <f t="shared" si="57"/>
        <v>42702726.3041762</v>
      </c>
      <c r="F56" s="149">
        <f t="shared" si="57"/>
        <v>-20724934.8340048</v>
      </c>
      <c r="G56" s="149">
        <f t="shared" si="57"/>
        <v>61733052.6493501</v>
      </c>
      <c r="H56" s="149">
        <f t="shared" si="57"/>
        <v>56177409.3959678</v>
      </c>
      <c r="I56" s="149">
        <f t="shared" si="57"/>
        <v>55753274.3235674</v>
      </c>
      <c r="J56" s="149">
        <f t="shared" si="57"/>
        <v>47539349.0347877</v>
      </c>
      <c r="K56" s="149">
        <f t="shared" si="57"/>
        <v>50598501.243856</v>
      </c>
      <c r="L56" s="149">
        <f t="shared" si="57"/>
        <v>30561081.4837077</v>
      </c>
      <c r="M56" s="149">
        <f t="shared" si="57"/>
        <v>17804148.975773</v>
      </c>
      <c r="N56" s="152">
        <f t="shared" si="54"/>
        <v>413546527.716597</v>
      </c>
    </row>
    <row r="57" customFormat="1" customHeight="1" spans="1:1">
      <c r="A57" s="151" t="s">
        <v>36</v>
      </c>
    </row>
    <row r="58" s="1" customFormat="1" customHeight="1" spans="1:19">
      <c r="A58" s="48" t="s">
        <v>1</v>
      </c>
      <c r="B58" s="48" t="s">
        <v>16</v>
      </c>
      <c r="C58" s="48" t="s">
        <v>17</v>
      </c>
      <c r="D58" s="48" t="s">
        <v>18</v>
      </c>
      <c r="E58" s="48" t="s">
        <v>19</v>
      </c>
      <c r="F58" s="48" t="s">
        <v>20</v>
      </c>
      <c r="G58" s="48" t="s">
        <v>21</v>
      </c>
      <c r="H58" s="48" t="s">
        <v>22</v>
      </c>
      <c r="I58" s="48" t="s">
        <v>23</v>
      </c>
      <c r="J58" s="48" t="s">
        <v>24</v>
      </c>
      <c r="K58" s="48" t="s">
        <v>2</v>
      </c>
      <c r="L58" s="48" t="s">
        <v>3</v>
      </c>
      <c r="M58" s="48" t="s">
        <v>4</v>
      </c>
      <c r="N58" s="84" t="s">
        <v>5</v>
      </c>
      <c r="P58" s="1" t="s">
        <v>25</v>
      </c>
      <c r="Q58" s="1" t="s">
        <v>26</v>
      </c>
      <c r="R58" s="1" t="s">
        <v>27</v>
      </c>
      <c r="S58" s="1" t="s">
        <v>28</v>
      </c>
    </row>
    <row r="59" s="1" customFormat="1" customHeight="1" spans="1:20">
      <c r="A59" s="146" t="s">
        <v>6</v>
      </c>
      <c r="B59" s="147">
        <f>[4]汇总表!B3</f>
        <v>272171847.801664</v>
      </c>
      <c r="C59" s="147">
        <f>[4]汇总表!C3</f>
        <v>251444413.742095</v>
      </c>
      <c r="D59" s="147">
        <f>[4]汇总表!D3</f>
        <v>311650255.222822</v>
      </c>
      <c r="E59" s="147">
        <f>[4]汇总表!E3</f>
        <v>361107950.295674</v>
      </c>
      <c r="F59" s="147">
        <f>[4]汇总表!F3</f>
        <v>393719524.329107</v>
      </c>
      <c r="G59" s="147">
        <f>[4]汇总表!G3</f>
        <v>350681920.610708</v>
      </c>
      <c r="H59" s="147">
        <f>[4]汇总表!H3</f>
        <v>374828540.074499</v>
      </c>
      <c r="I59" s="147">
        <f>[4]汇总表!I3</f>
        <v>359249093.19989</v>
      </c>
      <c r="J59" s="147">
        <f>[4]汇总表!J3</f>
        <v>349837959.591261</v>
      </c>
      <c r="K59" s="147">
        <f>[4]汇总表!K3</f>
        <v>371393090.719912</v>
      </c>
      <c r="L59" s="147">
        <f>[4]汇总表!L3</f>
        <v>317253374.376121</v>
      </c>
      <c r="M59" s="147">
        <f>[4]汇总表!M3</f>
        <v>278487695.376807</v>
      </c>
      <c r="N59" s="149">
        <f>SUM(B59:M59)</f>
        <v>3991825665.34056</v>
      </c>
      <c r="P59" s="7">
        <f>(B59+C59+D59)/10000</f>
        <v>83526.6516766581</v>
      </c>
      <c r="Q59" s="7">
        <f>(F59+G59+E59)/10000</f>
        <v>110550.939523549</v>
      </c>
      <c r="R59" s="7">
        <f>(H59+I59+J59)/10000</f>
        <v>108391.559286565</v>
      </c>
      <c r="S59" s="7">
        <f>(K59+L59+M59)/10000</f>
        <v>96713.416047284</v>
      </c>
      <c r="T59" s="7">
        <f>SUM(P59:S59)</f>
        <v>399182.566534056</v>
      </c>
    </row>
    <row r="60" s="1" customFormat="1" customHeight="1" spans="1:20">
      <c r="A60" s="148" t="s">
        <v>7</v>
      </c>
      <c r="B60" s="88">
        <f>[4]汇总表!B4</f>
        <v>240982811.512859</v>
      </c>
      <c r="C60" s="88">
        <f>[4]汇总表!C4</f>
        <v>227466459.211784</v>
      </c>
      <c r="D60" s="88">
        <f>[4]汇总表!D4</f>
        <v>274851275.7648</v>
      </c>
      <c r="E60" s="88">
        <f>[4]汇总表!E4</f>
        <v>298817103.313564</v>
      </c>
      <c r="F60" s="88">
        <f>[4]汇总表!F4</f>
        <v>312276669.604526</v>
      </c>
      <c r="G60" s="88">
        <f>[4]汇总表!G4</f>
        <v>302631535.501503</v>
      </c>
      <c r="H60" s="88">
        <f>[4]汇总表!H4</f>
        <v>309351472.008324</v>
      </c>
      <c r="I60" s="88">
        <f>[4]汇总表!I4</f>
        <v>303537616.692266</v>
      </c>
      <c r="J60" s="88">
        <f>[4]汇总表!J4</f>
        <v>294103852.968467</v>
      </c>
      <c r="K60" s="88">
        <f>[4]汇总表!K4</f>
        <v>306148862.199615</v>
      </c>
      <c r="L60" s="88">
        <f>[4]汇总表!L4</f>
        <v>268564813.487237</v>
      </c>
      <c r="M60" s="88">
        <f>[4]汇总表!M4</f>
        <v>244603411.663565</v>
      </c>
      <c r="N60" s="149">
        <f>SUM(B60:M60)</f>
        <v>3383335883.92851</v>
      </c>
      <c r="P60" s="7">
        <f t="shared" ref="P60:P63" si="58">(B60+C60+D60)/10000</f>
        <v>74330.0546489443</v>
      </c>
      <c r="Q60" s="7">
        <f t="shared" ref="Q60:Q63" si="59">(F60+G60+E60)/10000</f>
        <v>91372.5308419593</v>
      </c>
      <c r="R60" s="7">
        <f t="shared" ref="R60:R63" si="60">(H60+I60+J60)/10000</f>
        <v>90699.2941669057</v>
      </c>
      <c r="S60" s="7">
        <f t="shared" ref="S60:S63" si="61">(K60+L60+M60)/10000</f>
        <v>81931.7087350417</v>
      </c>
      <c r="T60" s="7">
        <f t="shared" ref="T60:T63" si="62">SUM(P60:S60)</f>
        <v>338333.588392851</v>
      </c>
    </row>
    <row r="61" s="1" customFormat="1" customHeight="1" spans="1:20">
      <c r="A61" s="148" t="s">
        <v>8</v>
      </c>
      <c r="B61" s="88">
        <f>[4]汇总表!B5</f>
        <v>15662613.9117469</v>
      </c>
      <c r="C61" s="88">
        <f>[4]汇总表!C5</f>
        <v>12179040.37948</v>
      </c>
      <c r="D61" s="88">
        <f>[4]汇总表!D5</f>
        <v>11837602.7832544</v>
      </c>
      <c r="E61" s="88">
        <f>[4]汇总表!E5</f>
        <v>16763403.4402936</v>
      </c>
      <c r="F61" s="88">
        <f>[4]汇总表!F5</f>
        <v>44913362.2444125</v>
      </c>
      <c r="G61" s="88">
        <f>[4]汇总表!G5</f>
        <v>19120972.6088504</v>
      </c>
      <c r="H61" s="88">
        <f>[4]汇总表!H5</f>
        <v>18912030.0690537</v>
      </c>
      <c r="I61" s="88">
        <f>[4]汇总表!I5</f>
        <v>16720895.3058201</v>
      </c>
      <c r="J61" s="88">
        <f>[4]汇总表!J5</f>
        <v>16608490.5122357</v>
      </c>
      <c r="K61" s="88">
        <f>[4]汇总表!K5</f>
        <v>18873583.1147572</v>
      </c>
      <c r="L61" s="88">
        <f>[4]汇总表!L5</f>
        <v>16568739.4766264</v>
      </c>
      <c r="M61" s="88">
        <f>[4]汇总表!M5</f>
        <v>15739413.4993535</v>
      </c>
      <c r="N61" s="149">
        <f t="shared" ref="N61:N64" si="63">SUM(B61:M61)</f>
        <v>223900147.345884</v>
      </c>
      <c r="P61" s="7">
        <f t="shared" si="58"/>
        <v>3967.92570744813</v>
      </c>
      <c r="Q61" s="7">
        <f t="shared" si="59"/>
        <v>8079.77382935565</v>
      </c>
      <c r="R61" s="7">
        <f t="shared" si="60"/>
        <v>5224.14158871094</v>
      </c>
      <c r="S61" s="7">
        <f t="shared" si="61"/>
        <v>5118.17360907371</v>
      </c>
      <c r="T61" s="7">
        <f t="shared" si="62"/>
        <v>22390.0147345884</v>
      </c>
    </row>
    <row r="62" s="1" customFormat="1" customHeight="1" spans="1:20">
      <c r="A62" s="148" t="s">
        <v>9</v>
      </c>
      <c r="B62" s="88">
        <f>[4]汇总表!B6</f>
        <v>9797005.03915179</v>
      </c>
      <c r="C62" s="88">
        <f>[4]汇总表!C6</f>
        <v>6399720.80915179</v>
      </c>
      <c r="D62" s="88">
        <f>[4]汇总表!D6</f>
        <v>6421433.04915179</v>
      </c>
      <c r="E62" s="88">
        <f>[4]汇总表!E6</f>
        <v>6879265.37915179</v>
      </c>
      <c r="F62" s="88">
        <f>[4]汇总表!F6</f>
        <v>7753431.83915179</v>
      </c>
      <c r="G62" s="88">
        <f>[4]汇总表!G6</f>
        <v>7794307.96915179</v>
      </c>
      <c r="H62" s="88">
        <f>[4]汇总表!H6</f>
        <v>10262519.4391518</v>
      </c>
      <c r="I62" s="88">
        <f>[4]汇总表!I6</f>
        <v>6763218.38915179</v>
      </c>
      <c r="J62" s="88">
        <f>[4]汇总表!J6</f>
        <v>9997004.43915179</v>
      </c>
      <c r="K62" s="88">
        <f>[4]汇总表!K6</f>
        <v>9242459.66915179</v>
      </c>
      <c r="L62" s="88">
        <f>[4]汇总表!L6</f>
        <v>11534311.0591518</v>
      </c>
      <c r="M62" s="88">
        <f>[4]汇总表!M6</f>
        <v>12345796.3991518</v>
      </c>
      <c r="N62" s="149">
        <f t="shared" si="63"/>
        <v>105190473.479822</v>
      </c>
      <c r="P62" s="7">
        <f t="shared" si="58"/>
        <v>2261.81588974554</v>
      </c>
      <c r="Q62" s="7">
        <f t="shared" si="59"/>
        <v>2242.70051874554</v>
      </c>
      <c r="R62" s="7">
        <f t="shared" si="60"/>
        <v>2702.27422674554</v>
      </c>
      <c r="S62" s="7">
        <f t="shared" si="61"/>
        <v>3312.25671274554</v>
      </c>
      <c r="T62" s="7">
        <f t="shared" si="62"/>
        <v>10519.0473479822</v>
      </c>
    </row>
    <row r="63" s="1" customFormat="1" customHeight="1" spans="1:20">
      <c r="A63" s="148" t="s">
        <v>10</v>
      </c>
      <c r="B63" s="88">
        <f>[4]汇总表!B7</f>
        <v>1344090.83435854</v>
      </c>
      <c r="C63" s="88">
        <f>[4]汇总表!C7</f>
        <v>1066274.07859348</v>
      </c>
      <c r="D63" s="88">
        <f>[4]汇总表!D7</f>
        <v>1153160.86042479</v>
      </c>
      <c r="E63" s="88">
        <f>[4]汇总表!E7</f>
        <v>1259263.67154471</v>
      </c>
      <c r="F63" s="88">
        <f>[4]汇总表!F7</f>
        <v>1337863.73264829</v>
      </c>
      <c r="G63" s="88">
        <f>[4]汇总表!G7</f>
        <v>1236606.78154471</v>
      </c>
      <c r="H63" s="88">
        <f>[4]汇总表!H7</f>
        <v>1253259.6845962</v>
      </c>
      <c r="I63" s="88">
        <f>[4]汇总表!I7</f>
        <v>1197011.9745962</v>
      </c>
      <c r="J63" s="88">
        <f>[4]汇总表!J7</f>
        <v>1366240.86154471</v>
      </c>
      <c r="K63" s="88">
        <f>[4]汇总表!K7</f>
        <v>1243125.0945962</v>
      </c>
      <c r="L63" s="88">
        <f>[4]汇总表!L7</f>
        <v>1157428.58401036</v>
      </c>
      <c r="M63" s="88">
        <f>[4]汇总表!M7</f>
        <v>1230427.19435854</v>
      </c>
      <c r="N63" s="149">
        <f t="shared" si="63"/>
        <v>14844753.3528167</v>
      </c>
      <c r="P63" s="7">
        <f t="shared" si="58"/>
        <v>356.35257733768</v>
      </c>
      <c r="Q63" s="7">
        <f t="shared" si="59"/>
        <v>383.373418573771</v>
      </c>
      <c r="R63" s="7">
        <f t="shared" si="60"/>
        <v>381.65125207371</v>
      </c>
      <c r="S63" s="7">
        <f t="shared" si="61"/>
        <v>363.09808729651</v>
      </c>
      <c r="T63" s="7">
        <f t="shared" si="62"/>
        <v>1484.47533528167</v>
      </c>
    </row>
    <row r="64" s="1" customFormat="1" customHeight="1" spans="1:19">
      <c r="A64" s="146" t="s">
        <v>11</v>
      </c>
      <c r="B64" s="147">
        <f>SUM(B60:B63)</f>
        <v>267786521.298117</v>
      </c>
      <c r="C64" s="147">
        <f t="shared" ref="C64:D64" si="64">SUM(C60:C63)</f>
        <v>247111494.479009</v>
      </c>
      <c r="D64" s="147">
        <f t="shared" si="64"/>
        <v>294263472.457631</v>
      </c>
      <c r="E64" s="147">
        <f t="shared" ref="E64:M64" si="65">SUM(E60:E63)</f>
        <v>323719035.804554</v>
      </c>
      <c r="F64" s="147">
        <f t="shared" si="65"/>
        <v>366281327.420739</v>
      </c>
      <c r="G64" s="147">
        <f t="shared" si="65"/>
        <v>330783422.86105</v>
      </c>
      <c r="H64" s="147">
        <f t="shared" si="65"/>
        <v>339779281.201125</v>
      </c>
      <c r="I64" s="147">
        <f t="shared" si="65"/>
        <v>328218742.361835</v>
      </c>
      <c r="J64" s="147">
        <f t="shared" si="65"/>
        <v>322075588.781399</v>
      </c>
      <c r="K64" s="147">
        <f t="shared" si="65"/>
        <v>335508030.078121</v>
      </c>
      <c r="L64" s="147">
        <f t="shared" si="65"/>
        <v>297825292.607025</v>
      </c>
      <c r="M64" s="147">
        <f t="shared" si="65"/>
        <v>273919048.756429</v>
      </c>
      <c r="N64" s="149">
        <f t="shared" si="63"/>
        <v>3727271258.10703</v>
      </c>
      <c r="P64" s="13">
        <f>SUM(P61:P63)</f>
        <v>6586.09417453134</v>
      </c>
      <c r="Q64" s="13">
        <f t="shared" ref="Q64:S64" si="66">SUM(Q61:Q63)</f>
        <v>10705.847766675</v>
      </c>
      <c r="R64" s="13">
        <f t="shared" si="66"/>
        <v>8308.06706753019</v>
      </c>
      <c r="S64" s="13">
        <f t="shared" si="66"/>
        <v>8793.52840911576</v>
      </c>
    </row>
    <row r="65" s="1" customFormat="1" customHeight="1" spans="1:14">
      <c r="A65" s="148" t="s">
        <v>12</v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149">
        <f t="shared" ref="N65:N67" si="67">SUM(B65:M65)</f>
        <v>0</v>
      </c>
    </row>
    <row r="66" s="1" customFormat="1" customHeight="1" spans="1:14">
      <c r="A66" s="146" t="s">
        <v>13</v>
      </c>
      <c r="B66" s="147">
        <f>B64+B65</f>
        <v>267786521.298117</v>
      </c>
      <c r="C66" s="147">
        <f t="shared" ref="C66:E66" si="68">C64+C65</f>
        <v>247111494.479009</v>
      </c>
      <c r="D66" s="147">
        <f t="shared" si="68"/>
        <v>294263472.457631</v>
      </c>
      <c r="E66" s="147">
        <f t="shared" si="68"/>
        <v>323719035.804554</v>
      </c>
      <c r="F66" s="147">
        <f t="shared" ref="F66:M66" si="69">F64+F65</f>
        <v>366281327.420739</v>
      </c>
      <c r="G66" s="147">
        <f t="shared" si="69"/>
        <v>330783422.86105</v>
      </c>
      <c r="H66" s="147">
        <f t="shared" si="69"/>
        <v>339779281.201125</v>
      </c>
      <c r="I66" s="147">
        <f t="shared" si="69"/>
        <v>328218742.361835</v>
      </c>
      <c r="J66" s="147">
        <f t="shared" si="69"/>
        <v>322075588.781399</v>
      </c>
      <c r="K66" s="147">
        <f t="shared" si="69"/>
        <v>335508030.078121</v>
      </c>
      <c r="L66" s="147">
        <f t="shared" si="69"/>
        <v>297825292.607025</v>
      </c>
      <c r="M66" s="147">
        <f t="shared" si="69"/>
        <v>273919048.756429</v>
      </c>
      <c r="N66" s="149">
        <f t="shared" si="67"/>
        <v>3727271258.10703</v>
      </c>
    </row>
    <row r="67" s="1" customFormat="1" customHeight="1" spans="1:14">
      <c r="A67" s="146" t="s">
        <v>14</v>
      </c>
      <c r="B67" s="149">
        <f>B59-B66</f>
        <v>4385326.50354746</v>
      </c>
      <c r="C67" s="149">
        <f t="shared" ref="C67:M67" si="70">C59-C66</f>
        <v>4332919.26308611</v>
      </c>
      <c r="D67" s="149">
        <f t="shared" si="70"/>
        <v>17386782.7651912</v>
      </c>
      <c r="E67" s="149">
        <f t="shared" si="70"/>
        <v>37388914.4911203</v>
      </c>
      <c r="F67" s="149">
        <f t="shared" si="70"/>
        <v>27438196.9083686</v>
      </c>
      <c r="G67" s="149">
        <f t="shared" si="70"/>
        <v>19898497.7496578</v>
      </c>
      <c r="H67" s="149">
        <f t="shared" si="70"/>
        <v>35049258.8733739</v>
      </c>
      <c r="I67" s="149">
        <f t="shared" si="70"/>
        <v>31030350.8380551</v>
      </c>
      <c r="J67" s="149">
        <f t="shared" si="70"/>
        <v>27762370.8098626</v>
      </c>
      <c r="K67" s="149">
        <f t="shared" si="70"/>
        <v>35885060.6417916</v>
      </c>
      <c r="L67" s="149">
        <f t="shared" si="70"/>
        <v>19428081.7690956</v>
      </c>
      <c r="M67" s="149">
        <f t="shared" si="70"/>
        <v>4568646.62037802</v>
      </c>
      <c r="N67" s="152">
        <f t="shared" si="67"/>
        <v>264554407.233528</v>
      </c>
    </row>
  </sheetData>
  <mergeCells count="1">
    <mergeCell ref="A1:E2"/>
  </mergeCells>
  <pageMargins left="0.7" right="0.7" top="0.75" bottom="0.75" header="0.3" footer="0.3"/>
  <pageSetup paperSize="9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F27" sqref="F27"/>
    </sheetView>
  </sheetViews>
  <sheetFormatPr defaultColWidth="9" defaultRowHeight="13.5" outlineLevelCol="5"/>
  <cols>
    <col min="1" max="1" width="13" customWidth="1"/>
    <col min="2" max="3" width="16.125" customWidth="1"/>
    <col min="4" max="4" width="17.25" customWidth="1"/>
    <col min="5" max="5" width="15" customWidth="1"/>
    <col min="6" max="6" width="13.875" customWidth="1"/>
  </cols>
  <sheetData>
    <row r="1" spans="1:5">
      <c r="A1" t="s">
        <v>165</v>
      </c>
      <c r="C1" t="s">
        <v>166</v>
      </c>
      <c r="D1" t="s">
        <v>152</v>
      </c>
      <c r="E1" t="s">
        <v>5</v>
      </c>
    </row>
    <row r="2" spans="1:5">
      <c r="A2" t="s">
        <v>167</v>
      </c>
      <c r="B2" t="s">
        <v>168</v>
      </c>
      <c r="C2" s="16">
        <v>500</v>
      </c>
      <c r="D2" s="17">
        <v>100</v>
      </c>
      <c r="E2" s="16">
        <f>SUM(C2:D2)</f>
        <v>600</v>
      </c>
    </row>
    <row r="3" spans="1:6">
      <c r="A3" t="s">
        <v>167</v>
      </c>
      <c r="B3" t="s">
        <v>169</v>
      </c>
      <c r="C3" s="16">
        <f>C2/9*12</f>
        <v>666.666666666667</v>
      </c>
      <c r="D3" s="17">
        <f>D2/9*12</f>
        <v>133.333333333333</v>
      </c>
      <c r="E3" s="16">
        <f>SUM(C3:D3)</f>
        <v>800</v>
      </c>
      <c r="F3" s="18">
        <f>C2/9*12</f>
        <v>666.666666666667</v>
      </c>
    </row>
    <row r="4" spans="1:5">
      <c r="A4" t="s">
        <v>170</v>
      </c>
      <c r="B4" t="s">
        <v>169</v>
      </c>
      <c r="C4" s="16">
        <f>'2020回款及耗煤量'!AN20</f>
        <v>378</v>
      </c>
      <c r="D4" s="17">
        <v>299</v>
      </c>
      <c r="E4" s="16">
        <f>SUM(C4:D4)</f>
        <v>677</v>
      </c>
    </row>
    <row r="5" spans="1:5">
      <c r="A5" t="s">
        <v>208</v>
      </c>
      <c r="C5" s="16">
        <f>C3-C4</f>
        <v>288.666666666667</v>
      </c>
      <c r="D5">
        <v>0</v>
      </c>
      <c r="E5" s="16">
        <f>E3-E4</f>
        <v>123</v>
      </c>
    </row>
    <row r="6" spans="1:5">
      <c r="A6" t="s">
        <v>172</v>
      </c>
      <c r="B6" t="s">
        <v>168</v>
      </c>
      <c r="C6" t="s">
        <v>173</v>
      </c>
      <c r="D6" t="s">
        <v>174</v>
      </c>
      <c r="E6" t="s">
        <v>209</v>
      </c>
    </row>
    <row r="7" spans="1:6">
      <c r="A7" t="s">
        <v>124</v>
      </c>
      <c r="B7" s="16">
        <v>20</v>
      </c>
      <c r="C7" s="16">
        <f>B7/9*12</f>
        <v>26.6666666666667</v>
      </c>
      <c r="D7">
        <f>C7/C17</f>
        <v>0.0239520958083832</v>
      </c>
      <c r="E7" s="16">
        <f>C5*D7</f>
        <v>6.91417165668663</v>
      </c>
      <c r="F7" s="17">
        <f>E7/12</f>
        <v>0.576180971390552</v>
      </c>
    </row>
    <row r="8" spans="1:6">
      <c r="A8" t="s">
        <v>134</v>
      </c>
      <c r="B8" s="16">
        <v>22</v>
      </c>
      <c r="C8" s="16">
        <f t="shared" ref="C8:C16" si="0">B8/9*12</f>
        <v>29.3333333333333</v>
      </c>
      <c r="D8">
        <f>C8/C17</f>
        <v>0.0263473053892216</v>
      </c>
      <c r="E8" s="16">
        <f>C5*D8</f>
        <v>7.60558882235529</v>
      </c>
      <c r="F8" s="17">
        <f t="shared" ref="F8:F17" si="1">E8/12</f>
        <v>0.633799068529608</v>
      </c>
    </row>
    <row r="9" spans="1:6">
      <c r="A9" t="s">
        <v>69</v>
      </c>
      <c r="B9" s="16">
        <v>220</v>
      </c>
      <c r="C9" s="16">
        <f t="shared" si="0"/>
        <v>293.333333333333</v>
      </c>
      <c r="D9">
        <f>C9/C17</f>
        <v>0.263473053892216</v>
      </c>
      <c r="E9" s="16">
        <f>C5*D9</f>
        <v>76.0558882235529</v>
      </c>
      <c r="F9" s="17">
        <f t="shared" si="1"/>
        <v>6.33799068529608</v>
      </c>
    </row>
    <row r="10" spans="1:6">
      <c r="A10" t="s">
        <v>176</v>
      </c>
      <c r="B10" s="16">
        <v>290</v>
      </c>
      <c r="C10" s="16">
        <f t="shared" si="0"/>
        <v>386.666666666667</v>
      </c>
      <c r="D10">
        <f>C10/C17</f>
        <v>0.347305389221557</v>
      </c>
      <c r="E10" s="16">
        <f>C5*D10</f>
        <v>100.255489021956</v>
      </c>
      <c r="F10" s="17">
        <f t="shared" si="1"/>
        <v>8.35462408516301</v>
      </c>
    </row>
    <row r="11" spans="1:6">
      <c r="A11" t="s">
        <v>177</v>
      </c>
      <c r="B11" s="16">
        <v>28</v>
      </c>
      <c r="C11" s="16">
        <f t="shared" si="0"/>
        <v>37.3333333333333</v>
      </c>
      <c r="D11">
        <f>C11/C17</f>
        <v>0.0335329341317365</v>
      </c>
      <c r="E11" s="16">
        <f>C5*D11</f>
        <v>9.67984031936128</v>
      </c>
      <c r="F11" s="17">
        <f t="shared" si="1"/>
        <v>0.806653359946773</v>
      </c>
    </row>
    <row r="12" spans="1:6">
      <c r="A12" t="s">
        <v>178</v>
      </c>
      <c r="B12" s="16">
        <v>35</v>
      </c>
      <c r="C12" s="16">
        <f t="shared" si="0"/>
        <v>46.6666666666667</v>
      </c>
      <c r="D12">
        <f>C12/C17</f>
        <v>0.0419161676646707</v>
      </c>
      <c r="E12" s="16">
        <f>C5*D12</f>
        <v>12.0998003992016</v>
      </c>
      <c r="F12" s="17">
        <f t="shared" si="1"/>
        <v>1.00831669993347</v>
      </c>
    </row>
    <row r="13" spans="1:6">
      <c r="A13" t="s">
        <v>63</v>
      </c>
      <c r="B13" s="16">
        <v>70</v>
      </c>
      <c r="C13" s="16">
        <f t="shared" si="0"/>
        <v>93.3333333333333</v>
      </c>
      <c r="D13">
        <f>C13/C17</f>
        <v>0.0838323353293413</v>
      </c>
      <c r="E13" s="16">
        <f>C5*D13</f>
        <v>24.1996007984032</v>
      </c>
      <c r="F13" s="17">
        <f t="shared" si="1"/>
        <v>2.01663339986693</v>
      </c>
    </row>
    <row r="14" spans="1:6">
      <c r="A14" t="s">
        <v>65</v>
      </c>
      <c r="B14" s="16">
        <v>80</v>
      </c>
      <c r="C14" s="16">
        <f t="shared" si="0"/>
        <v>106.666666666667</v>
      </c>
      <c r="D14">
        <f>C14/C17</f>
        <v>0.0958083832335329</v>
      </c>
      <c r="E14" s="16">
        <f>C5*D14</f>
        <v>27.6566866267465</v>
      </c>
      <c r="F14" s="17">
        <f t="shared" si="1"/>
        <v>2.30472388556221</v>
      </c>
    </row>
    <row r="15" spans="1:6">
      <c r="A15" t="s">
        <v>179</v>
      </c>
      <c r="B15" s="16">
        <v>30</v>
      </c>
      <c r="C15" s="16">
        <f t="shared" si="0"/>
        <v>40</v>
      </c>
      <c r="D15">
        <f>C15/C17</f>
        <v>0.0359281437125749</v>
      </c>
      <c r="E15" s="16">
        <f>C5*D15</f>
        <v>10.3712574850299</v>
      </c>
      <c r="F15" s="17">
        <f t="shared" si="1"/>
        <v>0.864271457085829</v>
      </c>
    </row>
    <row r="16" spans="1:6">
      <c r="A16" t="s">
        <v>180</v>
      </c>
      <c r="B16" s="16">
        <v>40</v>
      </c>
      <c r="C16" s="16">
        <f t="shared" si="0"/>
        <v>53.3333333333333</v>
      </c>
      <c r="D16">
        <f>C16/C17</f>
        <v>0.0479041916167665</v>
      </c>
      <c r="E16" s="16">
        <f>C5*D16</f>
        <v>13.8283433133733</v>
      </c>
      <c r="F16" s="17">
        <f t="shared" si="1"/>
        <v>1.1523619427811</v>
      </c>
    </row>
    <row r="17" spans="3:6">
      <c r="C17" s="16">
        <f>SUM(C7:C16)</f>
        <v>1113.33333333333</v>
      </c>
      <c r="E17" s="16">
        <f>SUM(E7:E16)</f>
        <v>288.666666666667</v>
      </c>
      <c r="F17" s="17">
        <f t="shared" si="1"/>
        <v>24.0555555555556</v>
      </c>
    </row>
    <row r="18" spans="1:1">
      <c r="A18" t="s">
        <v>181</v>
      </c>
    </row>
    <row r="19" spans="1:5">
      <c r="A19" t="s">
        <v>167</v>
      </c>
      <c r="B19" t="s">
        <v>168</v>
      </c>
      <c r="C19" t="s">
        <v>173</v>
      </c>
      <c r="D19" t="s">
        <v>174</v>
      </c>
      <c r="E19" t="s">
        <v>210</v>
      </c>
    </row>
    <row r="20" spans="2:6">
      <c r="B20" s="16">
        <v>5000</v>
      </c>
      <c r="C20" s="16">
        <f>B20/9*12</f>
        <v>6666.66666666667</v>
      </c>
      <c r="E20" s="16">
        <f>E10</f>
        <v>100.255489021956</v>
      </c>
      <c r="F20" s="17">
        <f>E20/12</f>
        <v>8.35462408516301</v>
      </c>
    </row>
    <row r="21" spans="1:6">
      <c r="A21" t="s">
        <v>124</v>
      </c>
      <c r="B21" s="16">
        <v>60</v>
      </c>
      <c r="C21" s="16">
        <f t="shared" ref="C21:C24" si="2">B21/9*12</f>
        <v>80</v>
      </c>
      <c r="D21">
        <f>C21/C25</f>
        <v>0.0186915887850467</v>
      </c>
      <c r="E21" s="16">
        <f>E20*D21</f>
        <v>1.87393437424217</v>
      </c>
      <c r="F21" s="17">
        <f>E21/12</f>
        <v>0.156161197853514</v>
      </c>
    </row>
    <row r="22" spans="1:6">
      <c r="A22" t="s">
        <v>134</v>
      </c>
      <c r="B22" s="16">
        <v>250</v>
      </c>
      <c r="C22" s="16">
        <f t="shared" si="2"/>
        <v>333.333333333333</v>
      </c>
      <c r="D22">
        <f>C22/C25</f>
        <v>0.0778816199376947</v>
      </c>
      <c r="E22" s="16">
        <f>E20*D22</f>
        <v>7.80805989267571</v>
      </c>
      <c r="F22" s="17">
        <f>E22/12</f>
        <v>0.650671657722976</v>
      </c>
    </row>
    <row r="23" spans="1:6">
      <c r="A23" t="s">
        <v>69</v>
      </c>
      <c r="B23" s="16">
        <v>2500</v>
      </c>
      <c r="C23" s="16">
        <f t="shared" si="2"/>
        <v>3333.33333333333</v>
      </c>
      <c r="D23">
        <f>C23/C25</f>
        <v>0.778816199376947</v>
      </c>
      <c r="E23" s="16">
        <f>E20*D23</f>
        <v>78.0805989267571</v>
      </c>
      <c r="F23" s="17">
        <f>E23/12</f>
        <v>6.50671657722976</v>
      </c>
    </row>
    <row r="24" spans="1:6">
      <c r="A24" t="s">
        <v>182</v>
      </c>
      <c r="B24" s="16">
        <v>400</v>
      </c>
      <c r="C24" s="16">
        <f t="shared" si="2"/>
        <v>533.333333333333</v>
      </c>
      <c r="D24">
        <f>C24/C25</f>
        <v>0.124610591900312</v>
      </c>
      <c r="E24" s="16">
        <f>E20*D24</f>
        <v>12.4928958282811</v>
      </c>
      <c r="F24" s="17">
        <f>E24/12</f>
        <v>1.04107465235676</v>
      </c>
    </row>
    <row r="25" spans="3:3">
      <c r="C25" s="16">
        <f>SUM(C21:C24)</f>
        <v>4280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5"/>
  <sheetViews>
    <sheetView workbookViewId="0">
      <selection activeCell="I18" sqref="I18"/>
    </sheetView>
  </sheetViews>
  <sheetFormatPr defaultColWidth="9" defaultRowHeight="12" outlineLevelCol="6"/>
  <cols>
    <col min="1" max="1" width="10.5" style="1" customWidth="1"/>
    <col min="2" max="2" width="17.25" style="1" customWidth="1"/>
    <col min="3" max="3" width="10.25" style="1" customWidth="1"/>
    <col min="4" max="4" width="18" style="1" customWidth="1"/>
    <col min="5" max="5" width="14" style="1" customWidth="1"/>
    <col min="6" max="6" width="16.125" style="1" customWidth="1"/>
    <col min="7" max="7" width="14.125" style="1" customWidth="1"/>
    <col min="8" max="16384" width="9" style="1"/>
  </cols>
  <sheetData>
    <row r="2" spans="1:4">
      <c r="A2" s="2" t="s">
        <v>183</v>
      </c>
      <c r="B2" s="3" t="s">
        <v>184</v>
      </c>
      <c r="C2" s="4"/>
      <c r="D2" s="1" t="s">
        <v>211</v>
      </c>
    </row>
    <row r="3" spans="1:4">
      <c r="A3" s="2" t="s">
        <v>145</v>
      </c>
      <c r="B3" s="5">
        <v>600</v>
      </c>
      <c r="C3" s="6"/>
      <c r="D3" s="7">
        <f t="shared" ref="D3:D10" si="0">B3/9*12</f>
        <v>800</v>
      </c>
    </row>
    <row r="4" spans="1:4">
      <c r="A4" s="2" t="s">
        <v>186</v>
      </c>
      <c r="B4" s="5">
        <v>2500</v>
      </c>
      <c r="C4" s="6"/>
      <c r="D4" s="7">
        <f t="shared" si="0"/>
        <v>3333.33333333333</v>
      </c>
    </row>
    <row r="5" spans="1:4">
      <c r="A5" s="2" t="s">
        <v>146</v>
      </c>
      <c r="B5" s="5">
        <v>150</v>
      </c>
      <c r="C5" s="6"/>
      <c r="D5" s="7">
        <f t="shared" si="0"/>
        <v>200</v>
      </c>
    </row>
    <row r="6" spans="1:4">
      <c r="A6" s="2" t="s">
        <v>147</v>
      </c>
      <c r="B6" s="5">
        <v>1600</v>
      </c>
      <c r="C6" s="6"/>
      <c r="D6" s="7">
        <f t="shared" si="0"/>
        <v>2133.33333333333</v>
      </c>
    </row>
    <row r="7" spans="1:4">
      <c r="A7" s="2" t="s">
        <v>139</v>
      </c>
      <c r="B7" s="5">
        <v>400</v>
      </c>
      <c r="C7" s="6"/>
      <c r="D7" s="7">
        <f t="shared" si="0"/>
        <v>533.333333333333</v>
      </c>
    </row>
    <row r="8" spans="1:4">
      <c r="A8" s="2" t="s">
        <v>187</v>
      </c>
      <c r="B8" s="5">
        <v>2000</v>
      </c>
      <c r="C8" s="6"/>
      <c r="D8" s="7">
        <f t="shared" si="0"/>
        <v>2666.66666666667</v>
      </c>
    </row>
    <row r="9" spans="1:4">
      <c r="A9" s="2" t="s">
        <v>141</v>
      </c>
      <c r="B9" s="5">
        <v>700</v>
      </c>
      <c r="C9" s="6"/>
      <c r="D9" s="7">
        <f t="shared" si="0"/>
        <v>933.333333333333</v>
      </c>
    </row>
    <row r="10" spans="1:4">
      <c r="A10" s="8" t="s">
        <v>133</v>
      </c>
      <c r="B10" s="5">
        <v>150</v>
      </c>
      <c r="C10" s="6"/>
      <c r="D10" s="7">
        <f t="shared" si="0"/>
        <v>200</v>
      </c>
    </row>
    <row r="11" spans="1:4">
      <c r="A11" s="9" t="s">
        <v>148</v>
      </c>
      <c r="B11" s="10">
        <f>SUM(B3:B10)</f>
        <v>8100</v>
      </c>
      <c r="C11" s="11"/>
      <c r="D11" s="7">
        <f>SUM(D3:D10)</f>
        <v>10800</v>
      </c>
    </row>
    <row r="13" spans="1:7">
      <c r="A13" s="12" t="s">
        <v>40</v>
      </c>
      <c r="B13" s="12" t="s">
        <v>188</v>
      </c>
      <c r="C13" s="12" t="s">
        <v>38</v>
      </c>
      <c r="D13" s="12" t="s">
        <v>189</v>
      </c>
      <c r="F13" s="1" t="s">
        <v>211</v>
      </c>
      <c r="G13" s="1" t="s">
        <v>190</v>
      </c>
    </row>
    <row r="14" spans="1:7">
      <c r="A14" s="12" t="s">
        <v>191</v>
      </c>
      <c r="B14" s="13">
        <f>'2020回款及耗煤量'!O3</f>
        <v>120</v>
      </c>
      <c r="C14" s="13">
        <f>'2020回款及耗煤量'!AO3/1.13</f>
        <v>88.495575221239</v>
      </c>
      <c r="D14" s="7">
        <f>B14*C14</f>
        <v>10619.4690265487</v>
      </c>
      <c r="E14" s="14">
        <f>D11/D24</f>
        <v>0.0186740048793565</v>
      </c>
      <c r="F14" s="7">
        <f>D14*E14</f>
        <v>198.308016417945</v>
      </c>
      <c r="G14" s="13">
        <f>F14/12</f>
        <v>16.5256680348288</v>
      </c>
    </row>
    <row r="15" spans="1:7">
      <c r="A15" s="12" t="s">
        <v>192</v>
      </c>
      <c r="B15" s="13">
        <f>'2020回款及耗煤量'!O4</f>
        <v>240</v>
      </c>
      <c r="C15" s="13">
        <f>'2020回款及耗煤量'!AO4/1.13</f>
        <v>176.991150442478</v>
      </c>
      <c r="D15" s="7">
        <f>B15*C15</f>
        <v>42477.8761061947</v>
      </c>
      <c r="E15" s="14">
        <v>0.0319495278918816</v>
      </c>
      <c r="F15" s="7">
        <f t="shared" ref="F15:F23" si="1">D15*E15</f>
        <v>1357.14808744276</v>
      </c>
      <c r="G15" s="13">
        <f t="shared" ref="G15:G23" si="2">F15/12</f>
        <v>113.095673953563</v>
      </c>
    </row>
    <row r="16" spans="1:7">
      <c r="A16" s="12" t="s">
        <v>193</v>
      </c>
      <c r="B16" s="13">
        <v>19773.17</v>
      </c>
      <c r="C16" s="13">
        <f>'2020回款及耗煤量'!AO5/1.13</f>
        <v>8.8495575221239</v>
      </c>
      <c r="D16" s="7">
        <f t="shared" ref="D16:D23" si="3">B16*C16</f>
        <v>174983.805309735</v>
      </c>
      <c r="E16" s="14">
        <v>0.0319495278918816</v>
      </c>
      <c r="F16" s="7">
        <f t="shared" si="1"/>
        <v>5590.64996837094</v>
      </c>
      <c r="G16" s="13">
        <f t="shared" si="2"/>
        <v>465.887497364245</v>
      </c>
    </row>
    <row r="17" spans="1:7">
      <c r="A17" s="12" t="s">
        <v>194</v>
      </c>
      <c r="B17" s="13">
        <v>38835.71</v>
      </c>
      <c r="C17" s="13">
        <f>C16</f>
        <v>8.8495575221239</v>
      </c>
      <c r="D17" s="7">
        <f t="shared" si="3"/>
        <v>343678.849557522</v>
      </c>
      <c r="E17" s="14">
        <v>0.0319495278918816</v>
      </c>
      <c r="F17" s="7">
        <f t="shared" si="1"/>
        <v>10980.3769897878</v>
      </c>
      <c r="G17" s="13">
        <f t="shared" si="2"/>
        <v>915.031415815653</v>
      </c>
    </row>
    <row r="18" spans="1:7">
      <c r="A18" s="12" t="s">
        <v>195</v>
      </c>
      <c r="B18" s="13">
        <f>'2020回款及耗煤量'!O33</f>
        <v>6</v>
      </c>
      <c r="C18" s="13">
        <f>'2020回款及耗煤量'!AO6/1.13</f>
        <v>8.8495575221239</v>
      </c>
      <c r="D18" s="7">
        <f t="shared" si="3"/>
        <v>53.0973451327434</v>
      </c>
      <c r="E18" s="14">
        <v>0.0319495278918816</v>
      </c>
      <c r="F18" s="7">
        <f t="shared" si="1"/>
        <v>1.69643510930345</v>
      </c>
      <c r="G18" s="13">
        <f t="shared" si="2"/>
        <v>0.141369592441954</v>
      </c>
    </row>
    <row r="19" spans="1:7">
      <c r="A19" s="12" t="s">
        <v>196</v>
      </c>
      <c r="B19" s="13">
        <f>'2020回款及耗煤量'!O34</f>
        <v>6</v>
      </c>
      <c r="C19" s="13">
        <f>C18</f>
        <v>8.8495575221239</v>
      </c>
      <c r="D19" s="7">
        <f t="shared" si="3"/>
        <v>53.0973451327434</v>
      </c>
      <c r="E19" s="14">
        <v>0.0319495278918816</v>
      </c>
      <c r="F19" s="7">
        <f t="shared" si="1"/>
        <v>1.69643510930345</v>
      </c>
      <c r="G19" s="13">
        <f t="shared" si="2"/>
        <v>0.141369592441954</v>
      </c>
    </row>
    <row r="20" spans="1:7">
      <c r="A20" s="12" t="s">
        <v>197</v>
      </c>
      <c r="B20" s="13">
        <f>'2020回款及耗煤量'!O35</f>
        <v>6</v>
      </c>
      <c r="C20" s="13">
        <f>'2020回款及耗煤量'!AO7/1.13</f>
        <v>8.8495575221239</v>
      </c>
      <c r="D20" s="7">
        <f t="shared" si="3"/>
        <v>53.0973451327434</v>
      </c>
      <c r="E20" s="14">
        <v>0.0319495278918816</v>
      </c>
      <c r="F20" s="7">
        <f t="shared" si="1"/>
        <v>1.69643510930345</v>
      </c>
      <c r="G20" s="13">
        <f t="shared" si="2"/>
        <v>0.141369592441954</v>
      </c>
    </row>
    <row r="21" spans="1:7">
      <c r="A21" s="12" t="s">
        <v>198</v>
      </c>
      <c r="B21" s="13">
        <f>'2020回款及耗煤量'!O36</f>
        <v>6</v>
      </c>
      <c r="C21" s="13">
        <f>C20</f>
        <v>8.8495575221239</v>
      </c>
      <c r="D21" s="7">
        <f t="shared" si="3"/>
        <v>53.0973451327434</v>
      </c>
      <c r="E21" s="14">
        <v>0.0319495278918816</v>
      </c>
      <c r="F21" s="7">
        <f t="shared" si="1"/>
        <v>1.69643510930345</v>
      </c>
      <c r="G21" s="13">
        <f t="shared" si="2"/>
        <v>0.141369592441954</v>
      </c>
    </row>
    <row r="22" spans="1:7">
      <c r="A22" s="12" t="s">
        <v>46</v>
      </c>
      <c r="B22" s="13">
        <f>'2020回款及耗煤量'!O8</f>
        <v>24</v>
      </c>
      <c r="C22" s="13">
        <f>'2020回款及耗煤量'!AO8/1.13</f>
        <v>176.991150442478</v>
      </c>
      <c r="D22" s="7">
        <f t="shared" si="3"/>
        <v>4247.78761061947</v>
      </c>
      <c r="E22" s="14">
        <v>0.0319495278918816</v>
      </c>
      <c r="F22" s="7">
        <f t="shared" si="1"/>
        <v>135.714808744276</v>
      </c>
      <c r="G22" s="13">
        <f t="shared" si="2"/>
        <v>11.3095673953563</v>
      </c>
    </row>
    <row r="23" spans="1:7">
      <c r="A23" s="12" t="s">
        <v>47</v>
      </c>
      <c r="B23" s="13">
        <f>'2020回款及耗煤量'!O9</f>
        <v>12</v>
      </c>
      <c r="C23" s="13">
        <f>'2020回款及耗煤量'!AO9/1.13</f>
        <v>176.991150442478</v>
      </c>
      <c r="D23" s="7">
        <f t="shared" si="3"/>
        <v>2123.89380530973</v>
      </c>
      <c r="E23" s="14">
        <v>0.0319495278918816</v>
      </c>
      <c r="F23" s="7">
        <f t="shared" si="1"/>
        <v>67.8574043721379</v>
      </c>
      <c r="G23" s="13">
        <f t="shared" si="2"/>
        <v>5.65478369767816</v>
      </c>
    </row>
    <row r="24" spans="1:6">
      <c r="A24" s="15" t="s">
        <v>48</v>
      </c>
      <c r="D24" s="13">
        <f>SUM(D14:D23)</f>
        <v>578344.07079646</v>
      </c>
      <c r="F24" s="13">
        <f>SUM(F14:F23)</f>
        <v>18336.8410155731</v>
      </c>
    </row>
    <row r="25" spans="6:6">
      <c r="F25" s="13"/>
    </row>
  </sheetData>
  <pageMargins left="0.7" right="0.7" top="0.75" bottom="0.75" header="0.3" footer="0.3"/>
  <pageSetup paperSize="9" orientation="portrait" horizontalDpi="300"/>
  <headerFooter/>
  <ignoredErrors>
    <ignoredError sqref="C18 C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"/>
  <sheetViews>
    <sheetView zoomScale="90" zoomScaleNormal="90" workbookViewId="0">
      <selection activeCell="H3" sqref="H3"/>
    </sheetView>
  </sheetViews>
  <sheetFormatPr defaultColWidth="9" defaultRowHeight="12"/>
  <cols>
    <col min="1" max="1" width="9.625" style="1" customWidth="1"/>
    <col min="2" max="3" width="5" style="1" hidden="1" customWidth="1"/>
    <col min="4" max="9" width="12.25" style="1" customWidth="1"/>
    <col min="10" max="10" width="10.25" style="1" customWidth="1"/>
    <col min="11" max="14" width="18.375" style="7" customWidth="1"/>
    <col min="15" max="15" width="7.125" style="1" customWidth="1"/>
    <col min="16" max="16384" width="9" style="1"/>
  </cols>
  <sheetData>
    <row r="1" ht="13.5" customHeight="1" spans="4:14">
      <c r="D1" s="12" t="s">
        <v>37</v>
      </c>
      <c r="E1" s="12"/>
      <c r="F1" s="12"/>
      <c r="G1" s="12"/>
      <c r="H1" s="111" t="s">
        <v>38</v>
      </c>
      <c r="I1" s="111"/>
      <c r="J1" s="111"/>
      <c r="K1" s="89" t="s">
        <v>39</v>
      </c>
      <c r="L1" s="89"/>
      <c r="M1" s="89"/>
      <c r="N1" s="89"/>
    </row>
    <row r="2" spans="1:14">
      <c r="A2" s="12" t="s">
        <v>40</v>
      </c>
      <c r="B2" s="12"/>
      <c r="C2" s="12"/>
      <c r="D2" s="12">
        <v>10</v>
      </c>
      <c r="E2" s="12">
        <v>11</v>
      </c>
      <c r="F2" s="12">
        <v>12</v>
      </c>
      <c r="G2" s="15" t="s">
        <v>5</v>
      </c>
      <c r="H2" s="12">
        <v>10</v>
      </c>
      <c r="I2" s="12">
        <v>11</v>
      </c>
      <c r="J2" s="12">
        <v>12</v>
      </c>
      <c r="K2" s="12">
        <v>10</v>
      </c>
      <c r="L2" s="12">
        <v>11</v>
      </c>
      <c r="M2" s="12">
        <v>12</v>
      </c>
      <c r="N2" s="91" t="s">
        <v>5</v>
      </c>
    </row>
    <row r="3" spans="1:15">
      <c r="A3" s="12" t="s">
        <v>41</v>
      </c>
      <c r="B3" s="12"/>
      <c r="C3" s="12"/>
      <c r="D3" s="7">
        <v>57119.6</v>
      </c>
      <c r="E3" s="7">
        <v>43377.12</v>
      </c>
      <c r="F3" s="7">
        <v>32526.44</v>
      </c>
      <c r="G3" s="106">
        <f>SUM(D3:F3)</f>
        <v>133023.16</v>
      </c>
      <c r="H3" s="7">
        <v>1830</v>
      </c>
      <c r="I3" s="7">
        <v>2040</v>
      </c>
      <c r="J3" s="7">
        <v>2040</v>
      </c>
      <c r="K3" s="7">
        <f>D3*H3</f>
        <v>104528868</v>
      </c>
      <c r="L3" s="7">
        <f t="shared" ref="L3:M9" si="0">E3*I3</f>
        <v>88489324.8</v>
      </c>
      <c r="M3" s="7">
        <f>F3*J3</f>
        <v>66353937.6</v>
      </c>
      <c r="N3" s="108">
        <f>SUM(K3:M3)</f>
        <v>259372130.4</v>
      </c>
      <c r="O3" s="1">
        <f>N3/G3/1.13</f>
        <v>1725.51049577428</v>
      </c>
    </row>
    <row r="4" spans="1:15">
      <c r="A4" s="12" t="s">
        <v>42</v>
      </c>
      <c r="B4" s="12"/>
      <c r="C4" s="12"/>
      <c r="D4" s="7">
        <v>97771.52</v>
      </c>
      <c r="E4" s="7">
        <v>94617.6</v>
      </c>
      <c r="F4" s="7">
        <v>97771.52</v>
      </c>
      <c r="G4" s="106">
        <f>SUM(D4:F4)</f>
        <v>290160.64</v>
      </c>
      <c r="H4" s="7">
        <v>2040</v>
      </c>
      <c r="I4" s="7">
        <v>2040</v>
      </c>
      <c r="J4" s="7">
        <v>2040</v>
      </c>
      <c r="K4" s="7">
        <f t="shared" ref="K4:K9" si="1">D4*H4</f>
        <v>199453900.8</v>
      </c>
      <c r="L4" s="7">
        <f t="shared" si="0"/>
        <v>193019904</v>
      </c>
      <c r="M4" s="7">
        <f t="shared" si="0"/>
        <v>199453900.8</v>
      </c>
      <c r="N4" s="108">
        <f t="shared" ref="N4:N9" si="2">SUM(K4:M4)</f>
        <v>591927705.6</v>
      </c>
      <c r="O4" s="1">
        <f t="shared" ref="O4:O9" si="3">N4/G4/1.13</f>
        <v>1805.30973451327</v>
      </c>
    </row>
    <row r="5" spans="1:15">
      <c r="A5" s="12" t="s">
        <v>43</v>
      </c>
      <c r="B5" s="12"/>
      <c r="C5" s="12"/>
      <c r="D5" s="7">
        <v>5248.91</v>
      </c>
      <c r="E5" s="7">
        <v>4704.81</v>
      </c>
      <c r="F5" s="7">
        <v>4474.38</v>
      </c>
      <c r="G5" s="106">
        <f t="shared" ref="G5:G9" si="4">SUM(D5:F5)</f>
        <v>14428.1</v>
      </c>
      <c r="H5" s="7">
        <v>2641</v>
      </c>
      <c r="I5" s="7">
        <v>2641</v>
      </c>
      <c r="J5" s="7">
        <v>2641</v>
      </c>
      <c r="K5" s="7">
        <f t="shared" si="1"/>
        <v>13862371.31</v>
      </c>
      <c r="L5" s="7">
        <f t="shared" si="0"/>
        <v>12425403.21</v>
      </c>
      <c r="M5" s="7">
        <f>F5*J5</f>
        <v>11816837.58</v>
      </c>
      <c r="N5" s="108">
        <f t="shared" si="2"/>
        <v>38104612.1</v>
      </c>
      <c r="O5" s="1">
        <f t="shared" si="3"/>
        <v>2337.16814159292</v>
      </c>
    </row>
    <row r="6" spans="1:15">
      <c r="A6" s="12" t="s">
        <v>44</v>
      </c>
      <c r="B6" s="12"/>
      <c r="C6" s="12"/>
      <c r="D6" s="7">
        <v>1680.88</v>
      </c>
      <c r="E6" s="7">
        <v>1500.33</v>
      </c>
      <c r="F6" s="7">
        <v>1419.84</v>
      </c>
      <c r="G6" s="106">
        <f t="shared" si="4"/>
        <v>4601.05</v>
      </c>
      <c r="H6" s="7">
        <v>4476</v>
      </c>
      <c r="I6" s="7">
        <v>4476</v>
      </c>
      <c r="J6" s="7">
        <v>4476</v>
      </c>
      <c r="K6" s="7">
        <f t="shared" si="1"/>
        <v>7523618.88</v>
      </c>
      <c r="L6" s="7">
        <f t="shared" si="0"/>
        <v>6715477.08</v>
      </c>
      <c r="M6" s="7">
        <f t="shared" si="0"/>
        <v>6355203.84</v>
      </c>
      <c r="N6" s="108">
        <f t="shared" si="2"/>
        <v>20594299.8</v>
      </c>
      <c r="O6" s="1">
        <f t="shared" si="3"/>
        <v>3961.06194690266</v>
      </c>
    </row>
    <row r="7" spans="1:15">
      <c r="A7" s="12" t="s">
        <v>45</v>
      </c>
      <c r="B7" s="12"/>
      <c r="C7" s="12"/>
      <c r="D7" s="7">
        <v>1684.08</v>
      </c>
      <c r="E7" s="7">
        <v>1485.01</v>
      </c>
      <c r="F7" s="7">
        <v>1384.96</v>
      </c>
      <c r="G7" s="106">
        <f t="shared" si="4"/>
        <v>4554.05</v>
      </c>
      <c r="H7" s="7">
        <v>510</v>
      </c>
      <c r="I7" s="7">
        <v>510</v>
      </c>
      <c r="J7" s="7">
        <v>510</v>
      </c>
      <c r="K7" s="7">
        <f t="shared" si="1"/>
        <v>858880.8</v>
      </c>
      <c r="L7" s="7">
        <f t="shared" si="0"/>
        <v>757355.1</v>
      </c>
      <c r="M7" s="7">
        <f t="shared" si="0"/>
        <v>706329.6</v>
      </c>
      <c r="N7" s="108">
        <f t="shared" si="2"/>
        <v>2322565.5</v>
      </c>
      <c r="O7" s="1">
        <f t="shared" si="3"/>
        <v>451.327433628319</v>
      </c>
    </row>
    <row r="8" spans="1:15">
      <c r="A8" s="12" t="s">
        <v>46</v>
      </c>
      <c r="B8" s="12"/>
      <c r="C8" s="12"/>
      <c r="D8" s="7">
        <v>15673.48</v>
      </c>
      <c r="E8" s="7">
        <v>13660.7</v>
      </c>
      <c r="F8" s="7">
        <v>12232.83</v>
      </c>
      <c r="G8" s="106">
        <f t="shared" si="4"/>
        <v>41567.01</v>
      </c>
      <c r="H8" s="7">
        <v>1920</v>
      </c>
      <c r="I8" s="7">
        <v>1920</v>
      </c>
      <c r="J8" s="7">
        <v>1920</v>
      </c>
      <c r="K8" s="7">
        <f t="shared" si="1"/>
        <v>30093081.6</v>
      </c>
      <c r="L8" s="7">
        <f>E8*I8</f>
        <v>26228544</v>
      </c>
      <c r="M8" s="7">
        <f>F8*J8</f>
        <v>23487033.6</v>
      </c>
      <c r="N8" s="108">
        <f t="shared" si="2"/>
        <v>79808659.2</v>
      </c>
      <c r="O8" s="1">
        <f t="shared" si="3"/>
        <v>1699.11504424779</v>
      </c>
    </row>
    <row r="9" spans="1:15">
      <c r="A9" s="12" t="s">
        <v>47</v>
      </c>
      <c r="B9" s="12"/>
      <c r="C9" s="12"/>
      <c r="D9" s="7">
        <v>4526.05</v>
      </c>
      <c r="E9" s="7">
        <v>3944.82</v>
      </c>
      <c r="F9" s="7">
        <v>3532.49</v>
      </c>
      <c r="G9" s="106">
        <f t="shared" si="4"/>
        <v>12003.36</v>
      </c>
      <c r="H9" s="7">
        <v>2350</v>
      </c>
      <c r="I9" s="7">
        <v>2350</v>
      </c>
      <c r="J9" s="7">
        <v>2350</v>
      </c>
      <c r="K9" s="7">
        <f t="shared" si="1"/>
        <v>10636217.5</v>
      </c>
      <c r="L9" s="7">
        <f t="shared" si="0"/>
        <v>9270327</v>
      </c>
      <c r="M9" s="7">
        <f t="shared" si="0"/>
        <v>8301351.5</v>
      </c>
      <c r="N9" s="108">
        <f t="shared" si="2"/>
        <v>28207896</v>
      </c>
      <c r="O9" s="1">
        <f t="shared" si="3"/>
        <v>2079.64601769912</v>
      </c>
    </row>
    <row r="10" spans="1:14">
      <c r="A10" s="15" t="s">
        <v>48</v>
      </c>
      <c r="B10" s="15"/>
      <c r="C10" s="15"/>
      <c r="K10" s="108">
        <f>SUM(K3:K9)</f>
        <v>366956938.89</v>
      </c>
      <c r="L10" s="108">
        <f t="shared" ref="L10:N10" si="5">SUM(L3:L9)</f>
        <v>336906335.19</v>
      </c>
      <c r="M10" s="108">
        <f t="shared" si="5"/>
        <v>316474594.52</v>
      </c>
      <c r="N10" s="108">
        <f t="shared" si="5"/>
        <v>1020337868.6</v>
      </c>
    </row>
    <row r="11" spans="1:13">
      <c r="A11" s="12" t="s">
        <v>49</v>
      </c>
      <c r="B11" s="12"/>
      <c r="C11" s="12"/>
      <c r="K11" s="7">
        <f>K10/1.13*0.0003</f>
        <v>97422.1961654867</v>
      </c>
      <c r="L11" s="7">
        <f t="shared" ref="L11:M11" si="6">L10/1.13*0.0003</f>
        <v>89444.1597849557</v>
      </c>
      <c r="M11" s="7">
        <f t="shared" si="6"/>
        <v>84019.8038548673</v>
      </c>
    </row>
    <row r="12" spans="11:13">
      <c r="K12" s="7">
        <f>K10/10000</f>
        <v>36695.693889</v>
      </c>
      <c r="L12" s="7">
        <f t="shared" ref="L12:M12" si="7">L10/10000</f>
        <v>33690.633519</v>
      </c>
      <c r="M12" s="7">
        <f t="shared" si="7"/>
        <v>31647.459452</v>
      </c>
    </row>
    <row r="13" spans="1:9">
      <c r="A13" s="12" t="s">
        <v>50</v>
      </c>
      <c r="B13" s="12">
        <v>1.46</v>
      </c>
      <c r="C13" s="12"/>
      <c r="D13" s="7">
        <f>D19/D3</f>
        <v>1.40379379407419</v>
      </c>
      <c r="E13" s="7">
        <f t="shared" ref="E13:F13" si="8">E19/E3</f>
        <v>1.40379329010317</v>
      </c>
      <c r="F13" s="7">
        <f t="shared" si="8"/>
        <v>1.40379395962177</v>
      </c>
      <c r="G13" s="15" t="s">
        <v>5</v>
      </c>
      <c r="H13" s="15"/>
      <c r="I13" s="15"/>
    </row>
    <row r="14" spans="1:14">
      <c r="A14" s="12" t="s">
        <v>51</v>
      </c>
      <c r="B14" s="104">
        <v>0.53</v>
      </c>
      <c r="C14" s="104">
        <f>G14/G19</f>
        <v>0.530000015529857</v>
      </c>
      <c r="D14" s="13">
        <v>42497.59</v>
      </c>
      <c r="E14" s="13">
        <v>32273.04</v>
      </c>
      <c r="F14" s="13">
        <v>24200.02</v>
      </c>
      <c r="G14" s="106">
        <f>SUM(D14:F14)</f>
        <v>98970.65</v>
      </c>
      <c r="H14" s="7">
        <v>1490</v>
      </c>
      <c r="I14" s="7">
        <v>1490</v>
      </c>
      <c r="J14" s="7">
        <v>1490</v>
      </c>
      <c r="K14" s="7">
        <f>D14*H14</f>
        <v>63321409.1</v>
      </c>
      <c r="L14" s="7">
        <f t="shared" ref="L14:M18" si="9">E14*I14</f>
        <v>48086829.6</v>
      </c>
      <c r="M14" s="7">
        <f t="shared" si="9"/>
        <v>36058029.8</v>
      </c>
      <c r="N14" s="108">
        <f>SUM(K14:M14)</f>
        <v>147466268.5</v>
      </c>
    </row>
    <row r="15" spans="1:14">
      <c r="A15" s="12" t="s">
        <v>52</v>
      </c>
      <c r="B15" s="104">
        <v>0.06</v>
      </c>
      <c r="C15" s="104">
        <f>G15/G19</f>
        <v>0.0699999737598967</v>
      </c>
      <c r="D15" s="13">
        <v>5612.89</v>
      </c>
      <c r="E15" s="13">
        <v>4262.47</v>
      </c>
      <c r="F15" s="13">
        <v>3196.23</v>
      </c>
      <c r="G15" s="106">
        <f t="shared" ref="G15:G20" si="10">SUM(D15:F15)</f>
        <v>13071.59</v>
      </c>
      <c r="H15" s="7">
        <v>1090</v>
      </c>
      <c r="I15" s="7">
        <v>1090</v>
      </c>
      <c r="J15" s="7">
        <v>1090</v>
      </c>
      <c r="K15" s="7">
        <f t="shared" ref="K15:K18" si="11">D15*H15</f>
        <v>6118050.1</v>
      </c>
      <c r="L15" s="7">
        <f t="shared" si="9"/>
        <v>4646092.3</v>
      </c>
      <c r="M15" s="7">
        <f t="shared" si="9"/>
        <v>3483890.7</v>
      </c>
      <c r="N15" s="108">
        <f t="shared" ref="N15:N20" si="12">SUM(K15:M15)</f>
        <v>14248033.1</v>
      </c>
    </row>
    <row r="16" spans="1:14">
      <c r="A16" s="12" t="s">
        <v>53</v>
      </c>
      <c r="B16" s="104">
        <v>0.05</v>
      </c>
      <c r="C16" s="104">
        <f>G16/G19</f>
        <v>0.0699999737598967</v>
      </c>
      <c r="D16" s="13">
        <v>5612.89</v>
      </c>
      <c r="E16" s="13">
        <v>4262.47</v>
      </c>
      <c r="F16" s="13">
        <v>3196.23</v>
      </c>
      <c r="G16" s="106">
        <f t="shared" si="10"/>
        <v>13071.59</v>
      </c>
      <c r="H16" s="7">
        <v>960</v>
      </c>
      <c r="I16" s="7">
        <v>960</v>
      </c>
      <c r="J16" s="7">
        <v>960</v>
      </c>
      <c r="K16" s="7">
        <f t="shared" si="11"/>
        <v>5388374.4</v>
      </c>
      <c r="L16" s="7">
        <f t="shared" si="9"/>
        <v>4091971.2</v>
      </c>
      <c r="M16" s="7">
        <f t="shared" si="9"/>
        <v>3068380.8</v>
      </c>
      <c r="N16" s="108">
        <f t="shared" si="12"/>
        <v>12548726.4</v>
      </c>
    </row>
    <row r="17" spans="1:14">
      <c r="A17" s="12" t="s">
        <v>54</v>
      </c>
      <c r="B17" s="104">
        <v>0.21</v>
      </c>
      <c r="C17" s="104">
        <f>G17/G19</f>
        <v>0.210000028382153</v>
      </c>
      <c r="D17" s="13">
        <v>16838.67</v>
      </c>
      <c r="E17" s="13">
        <v>12787.43</v>
      </c>
      <c r="F17" s="13">
        <v>9588.69</v>
      </c>
      <c r="G17" s="106">
        <f t="shared" si="10"/>
        <v>39214.79</v>
      </c>
      <c r="H17" s="7">
        <v>1448</v>
      </c>
      <c r="I17" s="7">
        <v>1448</v>
      </c>
      <c r="J17" s="7">
        <v>1448</v>
      </c>
      <c r="K17" s="7">
        <f t="shared" si="11"/>
        <v>24382394.16</v>
      </c>
      <c r="L17" s="7">
        <f t="shared" si="9"/>
        <v>18516198.64</v>
      </c>
      <c r="M17" s="7">
        <f t="shared" si="9"/>
        <v>13884423.12</v>
      </c>
      <c r="N17" s="108">
        <f t="shared" si="12"/>
        <v>56783015.92</v>
      </c>
    </row>
    <row r="18" spans="1:14">
      <c r="A18" s="12" t="s">
        <v>55</v>
      </c>
      <c r="B18" s="104">
        <v>0.15</v>
      </c>
      <c r="C18" s="104">
        <f>G18/G19</f>
        <v>0.120000008568197</v>
      </c>
      <c r="D18" s="13">
        <v>9622.1</v>
      </c>
      <c r="E18" s="13">
        <v>7307.1</v>
      </c>
      <c r="F18" s="13">
        <v>5479.25</v>
      </c>
      <c r="G18" s="106">
        <f t="shared" si="10"/>
        <v>22408.45</v>
      </c>
      <c r="H18" s="7">
        <v>800</v>
      </c>
      <c r="I18" s="7">
        <v>800</v>
      </c>
      <c r="J18" s="7">
        <v>800</v>
      </c>
      <c r="K18" s="7">
        <f t="shared" si="11"/>
        <v>7697680</v>
      </c>
      <c r="L18" s="7">
        <f t="shared" si="9"/>
        <v>5845680</v>
      </c>
      <c r="M18" s="7">
        <f t="shared" si="9"/>
        <v>4383400</v>
      </c>
      <c r="N18" s="108">
        <f t="shared" si="12"/>
        <v>17926760</v>
      </c>
    </row>
    <row r="19" s="100" customFormat="1" spans="1:14">
      <c r="A19" s="15" t="s">
        <v>56</v>
      </c>
      <c r="B19" s="105"/>
      <c r="C19" s="105"/>
      <c r="D19" s="106">
        <f>SUM(D14:D18)</f>
        <v>80184.14</v>
      </c>
      <c r="E19" s="106">
        <f t="shared" ref="E19:F19" si="13">SUM(E14:E18)</f>
        <v>60892.51</v>
      </c>
      <c r="F19" s="106">
        <f t="shared" si="13"/>
        <v>45660.42</v>
      </c>
      <c r="G19" s="106">
        <f t="shared" si="10"/>
        <v>186737.07</v>
      </c>
      <c r="H19" s="106"/>
      <c r="I19" s="106"/>
      <c r="J19" s="108"/>
      <c r="K19" s="108">
        <f>SUM(K14:K18)</f>
        <v>106907907.76</v>
      </c>
      <c r="L19" s="108">
        <f>SUM(L14:L18)</f>
        <v>81186771.74</v>
      </c>
      <c r="M19" s="108">
        <f>SUM(M14:M18)</f>
        <v>60878124.42</v>
      </c>
      <c r="N19" s="108">
        <f t="shared" si="12"/>
        <v>248972803.92</v>
      </c>
    </row>
    <row r="20" s="100" customFormat="1" spans="1:14">
      <c r="A20" s="15" t="s">
        <v>57</v>
      </c>
      <c r="B20" s="107"/>
      <c r="C20" s="107"/>
      <c r="D20" s="108">
        <v>21138</v>
      </c>
      <c r="E20" s="108">
        <v>19045</v>
      </c>
      <c r="F20" s="108">
        <v>20409</v>
      </c>
      <c r="G20" s="106">
        <f t="shared" si="10"/>
        <v>60592</v>
      </c>
      <c r="H20" s="108">
        <v>320</v>
      </c>
      <c r="I20" s="108">
        <v>320</v>
      </c>
      <c r="J20" s="108">
        <v>320</v>
      </c>
      <c r="K20" s="108">
        <f>D20*H20</f>
        <v>6764160</v>
      </c>
      <c r="L20" s="108">
        <f t="shared" ref="L20:M20" si="14">E20*I20</f>
        <v>6094400</v>
      </c>
      <c r="M20" s="108">
        <f t="shared" si="14"/>
        <v>6530880</v>
      </c>
      <c r="N20" s="108">
        <f t="shared" si="12"/>
        <v>19389440</v>
      </c>
    </row>
    <row r="21" spans="1:10">
      <c r="A21" s="12" t="s">
        <v>58</v>
      </c>
      <c r="B21" s="12">
        <v>1.46</v>
      </c>
      <c r="C21" s="12"/>
      <c r="D21" s="7">
        <f>D27/D4</f>
        <v>1.43947603555718</v>
      </c>
      <c r="E21" s="7">
        <f t="shared" ref="E21:F21" si="15">E27/E4</f>
        <v>1.43947595373377</v>
      </c>
      <c r="F21" s="7">
        <f t="shared" si="15"/>
        <v>1.43947603555718</v>
      </c>
      <c r="J21" s="7"/>
    </row>
    <row r="22" spans="1:14">
      <c r="A22" s="12" t="s">
        <v>51</v>
      </c>
      <c r="B22" s="104">
        <v>0.45</v>
      </c>
      <c r="C22" s="104">
        <f>G22/G27</f>
        <v>0.449999985634911</v>
      </c>
      <c r="D22" s="13">
        <v>63332.89</v>
      </c>
      <c r="E22" s="13">
        <v>61289.89</v>
      </c>
      <c r="F22" s="13">
        <v>63332.89</v>
      </c>
      <c r="G22" s="106">
        <f>SUM(D22:F22)</f>
        <v>187955.67</v>
      </c>
      <c r="H22" s="7">
        <v>1490</v>
      </c>
      <c r="I22" s="7">
        <v>1490</v>
      </c>
      <c r="J22" s="7">
        <v>1490</v>
      </c>
      <c r="K22" s="7">
        <f>D22*H22</f>
        <v>94366006.1</v>
      </c>
      <c r="L22" s="7">
        <f>E22*I22</f>
        <v>91321936.1</v>
      </c>
      <c r="M22" s="7">
        <f>F22*J22</f>
        <v>94366006.1</v>
      </c>
      <c r="N22" s="108">
        <f>SUM(K22:M22)</f>
        <v>280053948.3</v>
      </c>
    </row>
    <row r="23" spans="1:14">
      <c r="A23" s="12" t="s">
        <v>52</v>
      </c>
      <c r="B23" s="104">
        <v>0.06</v>
      </c>
      <c r="C23" s="104">
        <f>G23/G27</f>
        <v>0.0500000143650889</v>
      </c>
      <c r="D23" s="13">
        <v>7036.99</v>
      </c>
      <c r="E23" s="13">
        <v>6809.99</v>
      </c>
      <c r="F23" s="13">
        <v>7036.99</v>
      </c>
      <c r="G23" s="106">
        <f t="shared" ref="G23:G27" si="16">SUM(D23:F23)</f>
        <v>20883.97</v>
      </c>
      <c r="H23" s="7">
        <v>1090</v>
      </c>
      <c r="I23" s="7">
        <v>1090</v>
      </c>
      <c r="J23" s="7">
        <v>1090</v>
      </c>
      <c r="K23" s="7">
        <f t="shared" ref="K23:K26" si="17">D23*H23</f>
        <v>7670319.1</v>
      </c>
      <c r="L23" s="7">
        <f t="shared" ref="L23:M26" si="18">E23*I23</f>
        <v>7422889.1</v>
      </c>
      <c r="M23" s="7">
        <f t="shared" si="18"/>
        <v>7670319.1</v>
      </c>
      <c r="N23" s="108">
        <f t="shared" ref="N23:N27" si="19">SUM(K23:M23)</f>
        <v>22763527.3</v>
      </c>
    </row>
    <row r="24" spans="1:14">
      <c r="A24" s="12" t="s">
        <v>53</v>
      </c>
      <c r="B24" s="104">
        <v>0.06</v>
      </c>
      <c r="C24" s="104">
        <f>G24/G27</f>
        <v>0.0500000143650889</v>
      </c>
      <c r="D24" s="13">
        <v>7036.99</v>
      </c>
      <c r="E24" s="13">
        <v>6809.99</v>
      </c>
      <c r="F24" s="13">
        <v>7036.99</v>
      </c>
      <c r="G24" s="106">
        <f t="shared" si="16"/>
        <v>20883.97</v>
      </c>
      <c r="H24" s="7">
        <v>960</v>
      </c>
      <c r="I24" s="7">
        <v>960</v>
      </c>
      <c r="J24" s="7">
        <v>960</v>
      </c>
      <c r="K24" s="7">
        <f t="shared" si="17"/>
        <v>6755510.4</v>
      </c>
      <c r="L24" s="7">
        <f t="shared" si="18"/>
        <v>6537590.4</v>
      </c>
      <c r="M24" s="7">
        <f t="shared" si="18"/>
        <v>6755510.4</v>
      </c>
      <c r="N24" s="108">
        <f t="shared" si="19"/>
        <v>20048611.2</v>
      </c>
    </row>
    <row r="25" spans="1:14">
      <c r="A25" s="12" t="s">
        <v>54</v>
      </c>
      <c r="B25" s="104">
        <v>0.21</v>
      </c>
      <c r="C25" s="104">
        <f>G25/G27</f>
        <v>0.199999985634911</v>
      </c>
      <c r="D25" s="13">
        <v>28147.95</v>
      </c>
      <c r="E25" s="13">
        <v>27239.95</v>
      </c>
      <c r="F25" s="13">
        <v>28147.95</v>
      </c>
      <c r="G25" s="106">
        <f t="shared" si="16"/>
        <v>83535.85</v>
      </c>
      <c r="H25" s="7">
        <v>1448</v>
      </c>
      <c r="I25" s="7">
        <v>1448</v>
      </c>
      <c r="J25" s="7">
        <v>1448</v>
      </c>
      <c r="K25" s="7">
        <f t="shared" si="17"/>
        <v>40758231.6</v>
      </c>
      <c r="L25" s="7">
        <f t="shared" si="18"/>
        <v>39443447.6</v>
      </c>
      <c r="M25" s="7">
        <f t="shared" si="18"/>
        <v>40758231.6</v>
      </c>
      <c r="N25" s="108">
        <f t="shared" si="19"/>
        <v>120959910.8</v>
      </c>
    </row>
    <row r="26" spans="1:14">
      <c r="A26" s="12" t="s">
        <v>55</v>
      </c>
      <c r="B26" s="104">
        <v>0.22</v>
      </c>
      <c r="C26" s="104">
        <f>G26/G27</f>
        <v>0.25</v>
      </c>
      <c r="D26" s="13">
        <v>35184.94</v>
      </c>
      <c r="E26" s="13">
        <v>34049.94</v>
      </c>
      <c r="F26" s="13">
        <v>35184.94</v>
      </c>
      <c r="G26" s="106">
        <f t="shared" si="16"/>
        <v>104419.82</v>
      </c>
      <c r="H26" s="7">
        <v>800</v>
      </c>
      <c r="I26" s="7">
        <v>800</v>
      </c>
      <c r="J26" s="7">
        <v>800</v>
      </c>
      <c r="K26" s="7">
        <f t="shared" si="17"/>
        <v>28147952</v>
      </c>
      <c r="L26" s="7">
        <f t="shared" si="18"/>
        <v>27239952</v>
      </c>
      <c r="M26" s="7">
        <f t="shared" si="18"/>
        <v>28147952</v>
      </c>
      <c r="N26" s="108">
        <f t="shared" si="19"/>
        <v>83535856</v>
      </c>
    </row>
    <row r="27" s="100" customFormat="1" spans="1:14">
      <c r="A27" s="15" t="s">
        <v>56</v>
      </c>
      <c r="D27" s="106">
        <f>SUM(D22:D26)</f>
        <v>140739.76</v>
      </c>
      <c r="E27" s="106">
        <f t="shared" ref="E27:F27" si="20">SUM(E22:E26)</f>
        <v>136199.76</v>
      </c>
      <c r="F27" s="106">
        <f t="shared" si="20"/>
        <v>140739.76</v>
      </c>
      <c r="G27" s="106">
        <f t="shared" si="16"/>
        <v>417679.28</v>
      </c>
      <c r="H27" s="106"/>
      <c r="I27" s="106"/>
      <c r="K27" s="108">
        <f>SUM(K22:K26)</f>
        <v>177698019.2</v>
      </c>
      <c r="L27" s="108">
        <f t="shared" ref="L27:M27" si="21">SUM(L22:L26)</f>
        <v>171965815.2</v>
      </c>
      <c r="M27" s="108">
        <f t="shared" si="21"/>
        <v>177698019.2</v>
      </c>
      <c r="N27" s="108">
        <f t="shared" si="19"/>
        <v>527361853.6</v>
      </c>
    </row>
    <row r="28" s="101" customFormat="1" spans="1:14">
      <c r="A28" s="109" t="s">
        <v>59</v>
      </c>
      <c r="K28" s="115">
        <f>K19+K27+K20</f>
        <v>291370086.96</v>
      </c>
      <c r="L28" s="115">
        <f t="shared" ref="L28:N28" si="22">L19+L27+L20</f>
        <v>259246986.94</v>
      </c>
      <c r="M28" s="115">
        <f t="shared" si="22"/>
        <v>245107023.62</v>
      </c>
      <c r="N28" s="115">
        <f t="shared" si="22"/>
        <v>795724097.52</v>
      </c>
    </row>
    <row r="29" spans="1:13">
      <c r="A29" s="12" t="s">
        <v>60</v>
      </c>
      <c r="K29" s="7">
        <f>K28/1.13*0.0003</f>
        <v>77354.8903433628</v>
      </c>
      <c r="L29" s="7">
        <f t="shared" ref="L29:M29" si="23">L28/1.13*0.0003</f>
        <v>68826.633700885</v>
      </c>
      <c r="M29" s="7">
        <f t="shared" si="23"/>
        <v>65072.6611380531</v>
      </c>
    </row>
    <row r="30" spans="1:13">
      <c r="A30" s="1" t="s">
        <v>61</v>
      </c>
      <c r="K30" s="7">
        <f>D19*2.8311</f>
        <v>227009.318754</v>
      </c>
      <c r="L30" s="7">
        <f>E19*2.8311</f>
        <v>172392.785061</v>
      </c>
      <c r="M30" s="7">
        <f>F19*2.8311</f>
        <v>129269.215062</v>
      </c>
    </row>
    <row r="31" spans="1:13">
      <c r="A31" s="1" t="s">
        <v>62</v>
      </c>
      <c r="K31" s="7">
        <f>(D3+D4)*1.4849</f>
        <v>229997.824088</v>
      </c>
      <c r="L31" s="7">
        <f>(E3+E4)*1.4849</f>
        <v>204908.359728</v>
      </c>
      <c r="M31" s="7">
        <f>(F3+F4)*1.4849</f>
        <v>193479.440804</v>
      </c>
    </row>
    <row r="33" ht="11.25" customHeight="1" spans="1:14">
      <c r="A33" s="110" t="s">
        <v>63</v>
      </c>
      <c r="B33" s="1" t="s">
        <v>64</v>
      </c>
      <c r="D33" s="30">
        <v>606.29</v>
      </c>
      <c r="E33" s="30">
        <v>460.41</v>
      </c>
      <c r="F33" s="30">
        <v>345.25</v>
      </c>
      <c r="G33" s="108">
        <f>SUM(D33:F33)</f>
        <v>1411.95</v>
      </c>
      <c r="H33" s="13">
        <f>225.78*1.13</f>
        <v>255.1314</v>
      </c>
      <c r="I33" s="13">
        <f>225.78*1.13</f>
        <v>255.1314</v>
      </c>
      <c r="J33" s="13">
        <f>225.78*1.13</f>
        <v>255.1314</v>
      </c>
      <c r="K33" s="7">
        <f>D33*H33</f>
        <v>154683.616506</v>
      </c>
      <c r="L33" s="7">
        <f t="shared" ref="L33:M38" si="24">E33*I33</f>
        <v>117465.047874</v>
      </c>
      <c r="M33" s="7">
        <f t="shared" si="24"/>
        <v>88084.11585</v>
      </c>
      <c r="N33" s="108">
        <f>SUM(K33:M33)</f>
        <v>360232.78023</v>
      </c>
    </row>
    <row r="34" spans="1:14">
      <c r="A34" s="110" t="s">
        <v>65</v>
      </c>
      <c r="B34" s="1" t="s">
        <v>64</v>
      </c>
      <c r="D34" s="30">
        <v>1074.59</v>
      </c>
      <c r="E34" s="30">
        <v>1039.92</v>
      </c>
      <c r="F34" s="30">
        <v>1074.59</v>
      </c>
      <c r="G34" s="108">
        <f t="shared" ref="G34:G38" si="25">SUM(D34:F34)</f>
        <v>3189.1</v>
      </c>
      <c r="H34" s="13">
        <f>151.51*1.13</f>
        <v>171.2063</v>
      </c>
      <c r="I34" s="13">
        <f>151.51*1.13</f>
        <v>171.2063</v>
      </c>
      <c r="J34" s="13">
        <f>151.51*1.13</f>
        <v>171.2063</v>
      </c>
      <c r="K34" s="7">
        <f t="shared" ref="K34:K38" si="26">D34*H34</f>
        <v>183976.577917</v>
      </c>
      <c r="L34" s="7">
        <f t="shared" si="24"/>
        <v>178040.855496</v>
      </c>
      <c r="M34" s="7">
        <f t="shared" si="24"/>
        <v>183976.577917</v>
      </c>
      <c r="N34" s="108">
        <f t="shared" ref="N34:N38" si="27">SUM(K34:M34)</f>
        <v>545994.01133</v>
      </c>
    </row>
    <row r="35" spans="1:14">
      <c r="A35" s="110" t="s">
        <v>66</v>
      </c>
      <c r="B35" s="1" t="s">
        <v>67</v>
      </c>
      <c r="D35" s="30">
        <v>694.73</v>
      </c>
      <c r="E35" s="30">
        <v>527.58</v>
      </c>
      <c r="F35" s="30">
        <v>395.61</v>
      </c>
      <c r="G35" s="108">
        <f t="shared" si="25"/>
        <v>1617.92</v>
      </c>
      <c r="H35" s="13">
        <f>265.61*1.13</f>
        <v>300.1393</v>
      </c>
      <c r="I35" s="13">
        <f>265.61*1.13</f>
        <v>300.1393</v>
      </c>
      <c r="J35" s="13">
        <f>265.61*1.13</f>
        <v>300.1393</v>
      </c>
      <c r="K35" s="7">
        <f t="shared" si="26"/>
        <v>208515.775889</v>
      </c>
      <c r="L35" s="7">
        <f t="shared" si="24"/>
        <v>158347.491894</v>
      </c>
      <c r="M35" s="7">
        <f t="shared" si="24"/>
        <v>118738.108473</v>
      </c>
      <c r="N35" s="108">
        <f t="shared" si="27"/>
        <v>485601.376256</v>
      </c>
    </row>
    <row r="36" spans="1:14">
      <c r="A36" s="110" t="s">
        <v>68</v>
      </c>
      <c r="B36" s="1" t="s">
        <v>67</v>
      </c>
      <c r="D36" s="30">
        <v>989.35</v>
      </c>
      <c r="E36" s="30">
        <v>957.43</v>
      </c>
      <c r="F36" s="30">
        <v>989.35</v>
      </c>
      <c r="G36" s="108">
        <f t="shared" si="25"/>
        <v>2936.13</v>
      </c>
      <c r="H36" s="13">
        <f>259.79*1.13</f>
        <v>293.5627</v>
      </c>
      <c r="I36" s="13">
        <f>259.79*1.13</f>
        <v>293.5627</v>
      </c>
      <c r="J36" s="13">
        <f>259.79*1.13</f>
        <v>293.5627</v>
      </c>
      <c r="K36" s="7">
        <f t="shared" si="26"/>
        <v>290436.257245</v>
      </c>
      <c r="L36" s="7">
        <f t="shared" si="24"/>
        <v>281065.735861</v>
      </c>
      <c r="M36" s="7">
        <f t="shared" si="24"/>
        <v>290436.257245</v>
      </c>
      <c r="N36" s="108">
        <f t="shared" si="27"/>
        <v>861938.250351</v>
      </c>
    </row>
    <row r="37" spans="1:14">
      <c r="A37" s="110" t="s">
        <v>69</v>
      </c>
      <c r="B37" s="1" t="s">
        <v>70</v>
      </c>
      <c r="D37" s="30">
        <v>15673.48</v>
      </c>
      <c r="E37" s="30">
        <v>13660.7</v>
      </c>
      <c r="F37" s="30">
        <v>12232.83</v>
      </c>
      <c r="G37" s="108">
        <f t="shared" si="25"/>
        <v>41567.01</v>
      </c>
      <c r="H37" s="13">
        <f>9.34*1.13</f>
        <v>10.5542</v>
      </c>
      <c r="I37" s="13">
        <f>9.34*1.13</f>
        <v>10.5542</v>
      </c>
      <c r="J37" s="13">
        <f>9.34*1.13</f>
        <v>10.5542</v>
      </c>
      <c r="K37" s="7">
        <f t="shared" si="26"/>
        <v>165421.042616</v>
      </c>
      <c r="L37" s="7">
        <f t="shared" si="24"/>
        <v>144177.75994</v>
      </c>
      <c r="M37" s="7">
        <f t="shared" si="24"/>
        <v>129107.734386</v>
      </c>
      <c r="N37" s="108">
        <f t="shared" si="27"/>
        <v>438706.536942</v>
      </c>
    </row>
    <row r="38" spans="1:14">
      <c r="A38" s="110" t="s">
        <v>69</v>
      </c>
      <c r="B38" s="1" t="s">
        <v>71</v>
      </c>
      <c r="D38" s="30">
        <v>15673.48</v>
      </c>
      <c r="E38" s="30">
        <v>13660.7</v>
      </c>
      <c r="F38" s="30">
        <v>12232.83</v>
      </c>
      <c r="G38" s="108">
        <f t="shared" si="25"/>
        <v>41567.01</v>
      </c>
      <c r="H38" s="13">
        <f>65.7*1.13</f>
        <v>74.241</v>
      </c>
      <c r="I38" s="13">
        <f>65.7*1.13</f>
        <v>74.241</v>
      </c>
      <c r="J38" s="13">
        <f>65.7*1.13</f>
        <v>74.241</v>
      </c>
      <c r="K38" s="7">
        <f t="shared" si="26"/>
        <v>1163614.82868</v>
      </c>
      <c r="L38" s="7">
        <f t="shared" si="24"/>
        <v>1014184.0287</v>
      </c>
      <c r="M38" s="7">
        <f t="shared" si="24"/>
        <v>908177.53203</v>
      </c>
      <c r="N38" s="108">
        <f t="shared" si="27"/>
        <v>3085976.38941</v>
      </c>
    </row>
    <row r="39" hidden="1"/>
    <row r="40" hidden="1"/>
    <row r="41" hidden="1"/>
    <row r="42" hidden="1" spans="1:2">
      <c r="A42" s="12" t="s">
        <v>50</v>
      </c>
      <c r="B42" s="12"/>
    </row>
    <row r="43" hidden="1" spans="1:14">
      <c r="A43" s="12" t="s">
        <v>51</v>
      </c>
      <c r="B43" s="104"/>
      <c r="D43" s="13">
        <f>D14</f>
        <v>42497.59</v>
      </c>
      <c r="E43" s="13">
        <f t="shared" ref="E43:F43" si="28">E14</f>
        <v>32273.04</v>
      </c>
      <c r="F43" s="13">
        <f t="shared" si="28"/>
        <v>24200.02</v>
      </c>
      <c r="G43" s="106">
        <f>SUM(D43:F43)</f>
        <v>98970.65</v>
      </c>
      <c r="H43" s="7">
        <v>0</v>
      </c>
      <c r="I43" s="7">
        <v>0</v>
      </c>
      <c r="J43" s="7">
        <v>0</v>
      </c>
      <c r="K43" s="7">
        <f>D43*H43</f>
        <v>0</v>
      </c>
      <c r="L43" s="7">
        <f t="shared" ref="L43:M46" si="29">E43*I43</f>
        <v>0</v>
      </c>
      <c r="M43" s="7">
        <f t="shared" si="29"/>
        <v>0</v>
      </c>
      <c r="N43" s="108">
        <f>SUM(K43:M43)</f>
        <v>0</v>
      </c>
    </row>
    <row r="44" hidden="1" spans="1:14">
      <c r="A44" s="12" t="s">
        <v>52</v>
      </c>
      <c r="B44" s="104"/>
      <c r="D44" s="13">
        <f t="shared" ref="D44:F46" si="30">D15</f>
        <v>5612.89</v>
      </c>
      <c r="E44" s="13">
        <f t="shared" si="30"/>
        <v>4262.47</v>
      </c>
      <c r="F44" s="13">
        <f t="shared" si="30"/>
        <v>3196.23</v>
      </c>
      <c r="G44" s="106">
        <f t="shared" ref="G44:G46" si="31">SUM(D44:F44)</f>
        <v>13071.59</v>
      </c>
      <c r="H44" s="7">
        <v>0</v>
      </c>
      <c r="I44" s="7">
        <v>0</v>
      </c>
      <c r="J44" s="7">
        <v>0</v>
      </c>
      <c r="K44" s="7">
        <f t="shared" ref="K44:K46" si="32">D44*H44</f>
        <v>0</v>
      </c>
      <c r="L44" s="7">
        <f t="shared" si="29"/>
        <v>0</v>
      </c>
      <c r="M44" s="7">
        <f t="shared" si="29"/>
        <v>0</v>
      </c>
      <c r="N44" s="108">
        <f t="shared" ref="N44:N46" si="33">SUM(K44:M44)</f>
        <v>0</v>
      </c>
    </row>
    <row r="45" hidden="1" spans="1:14">
      <c r="A45" s="12" t="s">
        <v>53</v>
      </c>
      <c r="B45" s="104"/>
      <c r="D45" s="13">
        <f t="shared" si="30"/>
        <v>5612.89</v>
      </c>
      <c r="E45" s="13">
        <f t="shared" si="30"/>
        <v>4262.47</v>
      </c>
      <c r="F45" s="13">
        <f t="shared" si="30"/>
        <v>3196.23</v>
      </c>
      <c r="G45" s="106">
        <f t="shared" si="31"/>
        <v>13071.59</v>
      </c>
      <c r="H45" s="7">
        <v>0</v>
      </c>
      <c r="I45" s="7">
        <v>0</v>
      </c>
      <c r="J45" s="7">
        <v>0</v>
      </c>
      <c r="K45" s="7">
        <f t="shared" si="32"/>
        <v>0</v>
      </c>
      <c r="L45" s="7">
        <f t="shared" si="29"/>
        <v>0</v>
      </c>
      <c r="M45" s="7">
        <f t="shared" si="29"/>
        <v>0</v>
      </c>
      <c r="N45" s="108">
        <f t="shared" si="33"/>
        <v>0</v>
      </c>
    </row>
    <row r="46" hidden="1" spans="1:14">
      <c r="A46" s="12" t="s">
        <v>54</v>
      </c>
      <c r="B46" s="104"/>
      <c r="D46" s="13">
        <f t="shared" si="30"/>
        <v>16838.67</v>
      </c>
      <c r="E46" s="13">
        <f t="shared" si="30"/>
        <v>12787.43</v>
      </c>
      <c r="F46" s="13">
        <f t="shared" si="30"/>
        <v>9588.69</v>
      </c>
      <c r="G46" s="106">
        <f t="shared" si="31"/>
        <v>39214.79</v>
      </c>
      <c r="H46" s="7">
        <v>0</v>
      </c>
      <c r="I46" s="7">
        <v>0</v>
      </c>
      <c r="J46" s="7">
        <v>0</v>
      </c>
      <c r="K46" s="7">
        <f t="shared" si="32"/>
        <v>0</v>
      </c>
      <c r="L46" s="7">
        <f t="shared" si="29"/>
        <v>0</v>
      </c>
      <c r="M46" s="7">
        <f t="shared" si="29"/>
        <v>0</v>
      </c>
      <c r="N46" s="108">
        <f t="shared" si="33"/>
        <v>0</v>
      </c>
    </row>
    <row r="47" s="140" customFormat="1" hidden="1" spans="1:14">
      <c r="A47" s="141" t="s">
        <v>56</v>
      </c>
      <c r="B47" s="142"/>
      <c r="H47" s="143"/>
      <c r="I47" s="143"/>
      <c r="J47" s="143"/>
      <c r="K47" s="143">
        <f>SUM(K43:K46)</f>
        <v>0</v>
      </c>
      <c r="L47" s="143">
        <f t="shared" ref="L47:M47" si="34">SUM(L43:L46)</f>
        <v>0</v>
      </c>
      <c r="M47" s="143">
        <f t="shared" si="34"/>
        <v>0</v>
      </c>
      <c r="N47" s="143"/>
    </row>
    <row r="48" hidden="1" spans="8:10">
      <c r="H48" s="7"/>
      <c r="I48" s="7"/>
      <c r="J48" s="7"/>
    </row>
    <row r="49" hidden="1" spans="1:10">
      <c r="A49" s="12" t="s">
        <v>58</v>
      </c>
      <c r="B49" s="12"/>
      <c r="H49" s="7"/>
      <c r="I49" s="7"/>
      <c r="J49" s="7"/>
    </row>
    <row r="50" hidden="1" spans="1:14">
      <c r="A50" s="12" t="s">
        <v>51</v>
      </c>
      <c r="B50" s="104"/>
      <c r="D50" s="13">
        <f>D22</f>
        <v>63332.89</v>
      </c>
      <c r="E50" s="13">
        <f t="shared" ref="E50:F50" si="35">E22</f>
        <v>61289.89</v>
      </c>
      <c r="F50" s="13">
        <f t="shared" si="35"/>
        <v>63332.89</v>
      </c>
      <c r="G50" s="106">
        <f>SUM(D50:F50)</f>
        <v>187955.67</v>
      </c>
      <c r="H50" s="7">
        <v>0</v>
      </c>
      <c r="I50" s="7">
        <v>0</v>
      </c>
      <c r="J50" s="7">
        <v>0</v>
      </c>
      <c r="K50" s="7">
        <f>D50*H50</f>
        <v>0</v>
      </c>
      <c r="L50" s="7">
        <f t="shared" ref="L50:M53" si="36">E50*I50</f>
        <v>0</v>
      </c>
      <c r="M50" s="7">
        <f t="shared" si="36"/>
        <v>0</v>
      </c>
      <c r="N50" s="108">
        <f>SUM(K50:M50)</f>
        <v>0</v>
      </c>
    </row>
    <row r="51" hidden="1" spans="1:14">
      <c r="A51" s="12" t="s">
        <v>52</v>
      </c>
      <c r="B51" s="104"/>
      <c r="D51" s="13">
        <f t="shared" ref="D51:F53" si="37">D23</f>
        <v>7036.99</v>
      </c>
      <c r="E51" s="13">
        <f t="shared" si="37"/>
        <v>6809.99</v>
      </c>
      <c r="F51" s="13">
        <f t="shared" si="37"/>
        <v>7036.99</v>
      </c>
      <c r="G51" s="106">
        <f t="shared" ref="G51:G53" si="38">SUM(D51:F51)</f>
        <v>20883.97</v>
      </c>
      <c r="H51" s="7">
        <v>0</v>
      </c>
      <c r="I51" s="7">
        <v>0</v>
      </c>
      <c r="J51" s="7">
        <v>0</v>
      </c>
      <c r="K51" s="7">
        <f t="shared" ref="K51:K53" si="39">D51*H51</f>
        <v>0</v>
      </c>
      <c r="L51" s="7">
        <f t="shared" si="36"/>
        <v>0</v>
      </c>
      <c r="M51" s="7">
        <f t="shared" si="36"/>
        <v>0</v>
      </c>
      <c r="N51" s="108">
        <f t="shared" ref="N51:N53" si="40">SUM(K51:M51)</f>
        <v>0</v>
      </c>
    </row>
    <row r="52" hidden="1" spans="1:14">
      <c r="A52" s="12" t="s">
        <v>53</v>
      </c>
      <c r="B52" s="104"/>
      <c r="D52" s="13">
        <f t="shared" si="37"/>
        <v>7036.99</v>
      </c>
      <c r="E52" s="13">
        <f t="shared" si="37"/>
        <v>6809.99</v>
      </c>
      <c r="F52" s="13">
        <f t="shared" si="37"/>
        <v>7036.99</v>
      </c>
      <c r="G52" s="106">
        <f t="shared" si="38"/>
        <v>20883.97</v>
      </c>
      <c r="H52" s="7">
        <v>0</v>
      </c>
      <c r="I52" s="7">
        <v>0</v>
      </c>
      <c r="J52" s="7">
        <v>0</v>
      </c>
      <c r="K52" s="7">
        <f t="shared" si="39"/>
        <v>0</v>
      </c>
      <c r="L52" s="7">
        <f t="shared" si="36"/>
        <v>0</v>
      </c>
      <c r="M52" s="7">
        <f t="shared" si="36"/>
        <v>0</v>
      </c>
      <c r="N52" s="108">
        <f t="shared" si="40"/>
        <v>0</v>
      </c>
    </row>
    <row r="53" hidden="1" spans="1:14">
      <c r="A53" s="12" t="s">
        <v>54</v>
      </c>
      <c r="B53" s="104"/>
      <c r="D53" s="13">
        <f t="shared" si="37"/>
        <v>28147.95</v>
      </c>
      <c r="E53" s="13">
        <f t="shared" si="37"/>
        <v>27239.95</v>
      </c>
      <c r="F53" s="13">
        <f t="shared" si="37"/>
        <v>28147.95</v>
      </c>
      <c r="G53" s="106">
        <f t="shared" si="38"/>
        <v>83535.85</v>
      </c>
      <c r="H53" s="7">
        <v>0</v>
      </c>
      <c r="I53" s="7">
        <v>0</v>
      </c>
      <c r="J53" s="7">
        <v>0</v>
      </c>
      <c r="K53" s="7">
        <f t="shared" si="39"/>
        <v>0</v>
      </c>
      <c r="L53" s="7">
        <f t="shared" si="36"/>
        <v>0</v>
      </c>
      <c r="M53" s="7">
        <f t="shared" si="36"/>
        <v>0</v>
      </c>
      <c r="N53" s="108">
        <f t="shared" si="40"/>
        <v>0</v>
      </c>
    </row>
    <row r="54" s="140" customFormat="1" hidden="1" spans="1:14">
      <c r="A54" s="141" t="s">
        <v>56</v>
      </c>
      <c r="B54" s="144"/>
      <c r="K54" s="143">
        <f>SUM(K50:K53)</f>
        <v>0</v>
      </c>
      <c r="L54" s="143">
        <f t="shared" ref="L54:M54" si="41">SUM(L50:L53)</f>
        <v>0</v>
      </c>
      <c r="M54" s="143">
        <f t="shared" si="41"/>
        <v>0</v>
      </c>
      <c r="N54" s="143"/>
    </row>
    <row r="55" hidden="1" spans="1:14">
      <c r="A55" s="1" t="s">
        <v>72</v>
      </c>
      <c r="K55" s="108">
        <f>(K47+K54)/1.09*0.0005</f>
        <v>0</v>
      </c>
      <c r="L55" s="108">
        <f t="shared" ref="L55:M55" si="42">(L47+L54)/1.09*0.0005</f>
        <v>0</v>
      </c>
      <c r="M55" s="108">
        <f t="shared" si="42"/>
        <v>0</v>
      </c>
      <c r="N55" s="108">
        <f>SUM(K55:M55)</f>
        <v>0</v>
      </c>
    </row>
    <row r="56" hidden="1"/>
    <row r="58" spans="1:14">
      <c r="A58" s="12" t="s">
        <v>51</v>
      </c>
      <c r="D58" s="13">
        <f>D14+D22</f>
        <v>105830.48</v>
      </c>
      <c r="E58" s="13">
        <f t="shared" ref="E58:F58" si="43">E14+E22</f>
        <v>93562.93</v>
      </c>
      <c r="F58" s="13">
        <f t="shared" si="43"/>
        <v>87532.91</v>
      </c>
      <c r="H58" s="7">
        <v>1490</v>
      </c>
      <c r="I58" s="7">
        <v>1490</v>
      </c>
      <c r="J58" s="7">
        <v>1490</v>
      </c>
      <c r="K58" s="13">
        <f>(K14+K22)/10000</f>
        <v>15768.74152</v>
      </c>
      <c r="L58" s="13">
        <f t="shared" ref="L58:M58" si="44">(L14+L22)/10000</f>
        <v>13940.87657</v>
      </c>
      <c r="M58" s="13">
        <f t="shared" si="44"/>
        <v>13042.40359</v>
      </c>
      <c r="N58" s="7">
        <f>SUM(K58:M58)</f>
        <v>42752.02168</v>
      </c>
    </row>
    <row r="59" spans="1:14">
      <c r="A59" s="12" t="s">
        <v>52</v>
      </c>
      <c r="D59" s="13">
        <f t="shared" ref="D59:F62" si="45">D15+D23</f>
        <v>12649.88</v>
      </c>
      <c r="E59" s="13">
        <f t="shared" si="45"/>
        <v>11072.46</v>
      </c>
      <c r="F59" s="13">
        <f t="shared" si="45"/>
        <v>10233.22</v>
      </c>
      <c r="H59" s="7">
        <v>1090</v>
      </c>
      <c r="I59" s="7">
        <v>1090</v>
      </c>
      <c r="J59" s="7">
        <v>1090</v>
      </c>
      <c r="K59" s="13">
        <f t="shared" ref="K59:M59" si="46">(K15+K23)/10000</f>
        <v>1378.83692</v>
      </c>
      <c r="L59" s="13">
        <f t="shared" si="46"/>
        <v>1206.89814</v>
      </c>
      <c r="M59" s="13">
        <f t="shared" si="46"/>
        <v>1115.42098</v>
      </c>
      <c r="N59" s="7">
        <f t="shared" ref="N59:N62" si="47">SUM(K59:M59)</f>
        <v>3701.15604</v>
      </c>
    </row>
    <row r="60" spans="1:14">
      <c r="A60" s="12" t="s">
        <v>53</v>
      </c>
      <c r="D60" s="13">
        <f t="shared" si="45"/>
        <v>12649.88</v>
      </c>
      <c r="E60" s="13">
        <f t="shared" si="45"/>
        <v>11072.46</v>
      </c>
      <c r="F60" s="13">
        <f t="shared" si="45"/>
        <v>10233.22</v>
      </c>
      <c r="H60" s="7">
        <v>960</v>
      </c>
      <c r="I60" s="7">
        <v>960</v>
      </c>
      <c r="J60" s="7">
        <v>960</v>
      </c>
      <c r="K60" s="13">
        <f t="shared" ref="K60:M60" si="48">(K16+K24)/10000</f>
        <v>1214.38848</v>
      </c>
      <c r="L60" s="13">
        <f t="shared" si="48"/>
        <v>1062.95616</v>
      </c>
      <c r="M60" s="13">
        <f t="shared" si="48"/>
        <v>982.38912</v>
      </c>
      <c r="N60" s="7">
        <f t="shared" si="47"/>
        <v>3259.73376</v>
      </c>
    </row>
    <row r="61" spans="1:14">
      <c r="A61" s="12" t="s">
        <v>54</v>
      </c>
      <c r="D61" s="13">
        <f t="shared" si="45"/>
        <v>44986.62</v>
      </c>
      <c r="E61" s="13">
        <f t="shared" si="45"/>
        <v>40027.38</v>
      </c>
      <c r="F61" s="13">
        <f t="shared" si="45"/>
        <v>37736.64</v>
      </c>
      <c r="H61" s="7">
        <v>1448</v>
      </c>
      <c r="I61" s="7">
        <v>1448</v>
      </c>
      <c r="J61" s="7">
        <v>1448</v>
      </c>
      <c r="K61" s="13">
        <f t="shared" ref="K61:M61" si="49">(K17+K25)/10000</f>
        <v>6514.062576</v>
      </c>
      <c r="L61" s="13">
        <f t="shared" si="49"/>
        <v>5795.964624</v>
      </c>
      <c r="M61" s="13">
        <f t="shared" si="49"/>
        <v>5464.265472</v>
      </c>
      <c r="N61" s="7">
        <f t="shared" si="47"/>
        <v>17774.292672</v>
      </c>
    </row>
    <row r="62" spans="1:14">
      <c r="A62" s="12" t="s">
        <v>55</v>
      </c>
      <c r="D62" s="13">
        <f t="shared" si="45"/>
        <v>44807.04</v>
      </c>
      <c r="E62" s="13">
        <f t="shared" si="45"/>
        <v>41357.04</v>
      </c>
      <c r="F62" s="13">
        <f t="shared" si="45"/>
        <v>40664.19</v>
      </c>
      <c r="H62" s="7">
        <v>800</v>
      </c>
      <c r="I62" s="7">
        <v>800</v>
      </c>
      <c r="J62" s="7">
        <v>800</v>
      </c>
      <c r="K62" s="13">
        <f t="shared" ref="K62:M62" si="50">(K18+K26)/10000</f>
        <v>3584.5632</v>
      </c>
      <c r="L62" s="13">
        <f t="shared" si="50"/>
        <v>3308.5632</v>
      </c>
      <c r="M62" s="13">
        <f t="shared" si="50"/>
        <v>3253.1352</v>
      </c>
      <c r="N62" s="7">
        <f t="shared" si="47"/>
        <v>10146.2616</v>
      </c>
    </row>
    <row r="64" spans="1:13">
      <c r="A64" s="1" t="s">
        <v>64</v>
      </c>
      <c r="K64" s="7">
        <f>(K33+K34)/10000</f>
        <v>33.8660194423</v>
      </c>
      <c r="L64" s="7">
        <f t="shared" ref="L64:M64" si="51">(L33+L34)/10000</f>
        <v>29.550590337</v>
      </c>
      <c r="M64" s="7">
        <f t="shared" si="51"/>
        <v>27.2060693767</v>
      </c>
    </row>
    <row r="65" spans="1:13">
      <c r="A65" s="1" t="s">
        <v>67</v>
      </c>
      <c r="K65" s="7">
        <f>(K35+K36)/10000</f>
        <v>49.8952033134</v>
      </c>
      <c r="L65" s="7">
        <f t="shared" ref="L65:M65" si="52">(L35+L36)/10000</f>
        <v>43.9413227755</v>
      </c>
      <c r="M65" s="7">
        <f t="shared" si="52"/>
        <v>40.9174365718</v>
      </c>
    </row>
    <row r="66" spans="1:13">
      <c r="A66" s="1" t="s">
        <v>70</v>
      </c>
      <c r="K66" s="7">
        <f>K37/10000</f>
        <v>16.5421042616</v>
      </c>
      <c r="L66" s="7">
        <f t="shared" ref="L66:M66" si="53">L37/10000</f>
        <v>14.417775994</v>
      </c>
      <c r="M66" s="7">
        <f t="shared" si="53"/>
        <v>12.9107734386</v>
      </c>
    </row>
    <row r="67" spans="1:13">
      <c r="A67" s="1" t="s">
        <v>71</v>
      </c>
      <c r="K67" s="7">
        <f>K38/10000</f>
        <v>116.361482868</v>
      </c>
      <c r="L67" s="7">
        <f t="shared" ref="L67:M67" si="54">L38/10000</f>
        <v>101.41840287</v>
      </c>
      <c r="M67" s="7">
        <f t="shared" si="54"/>
        <v>90.817753203</v>
      </c>
    </row>
  </sheetData>
  <mergeCells count="3">
    <mergeCell ref="D1:G1"/>
    <mergeCell ref="H1:J1"/>
    <mergeCell ref="K1:N1"/>
  </mergeCells>
  <pageMargins left="0.7" right="0.7" top="0.75" bottom="0.75" header="0.3" footer="0.3"/>
  <pageSetup paperSize="9" orientation="portrait" horizontalDpi="300"/>
  <headerFooter/>
  <ignoredErrors>
    <ignoredError sqref="M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selection activeCell="H22" sqref="H22"/>
    </sheetView>
  </sheetViews>
  <sheetFormatPr defaultColWidth="8.25" defaultRowHeight="12"/>
  <cols>
    <col min="1" max="1" width="13.375" style="19" customWidth="1"/>
    <col min="2" max="5" width="16.125" style="19" customWidth="1"/>
    <col min="6" max="6" width="4.25" style="19" customWidth="1"/>
    <col min="7" max="7" width="8.25" style="19" customWidth="1"/>
    <col min="8" max="8" width="13.125" style="19" customWidth="1"/>
    <col min="9" max="11" width="14.125" style="19" customWidth="1"/>
    <col min="12" max="12" width="7.125" style="19" customWidth="1"/>
    <col min="13" max="13" width="14.125" style="19" customWidth="1"/>
    <col min="14" max="15" width="14.25" style="19" customWidth="1"/>
    <col min="16" max="16" width="12.25" style="19" customWidth="1"/>
    <col min="17" max="18" width="8.25" style="19" customWidth="1"/>
    <col min="19" max="16384" width="8.25" style="19"/>
  </cols>
  <sheetData>
    <row r="1" spans="1:15">
      <c r="A1" s="131" t="s">
        <v>73</v>
      </c>
      <c r="B1" s="132">
        <v>1941169</v>
      </c>
      <c r="C1" s="132">
        <v>1856444</v>
      </c>
      <c r="D1" s="132">
        <v>1459843</v>
      </c>
      <c r="E1" s="133">
        <f>SUM(B1:D1)</f>
        <v>5257456</v>
      </c>
      <c r="F1" s="34"/>
      <c r="H1" s="134"/>
      <c r="M1" s="19" t="s">
        <v>74</v>
      </c>
      <c r="N1" s="19">
        <v>11</v>
      </c>
      <c r="O1" s="19">
        <v>12</v>
      </c>
    </row>
    <row r="2" spans="1:15">
      <c r="A2" s="135" t="s">
        <v>75</v>
      </c>
      <c r="B2" s="136">
        <v>196493.18</v>
      </c>
      <c r="C2" s="136">
        <v>17674.59</v>
      </c>
      <c r="D2" s="136">
        <v>609933.84</v>
      </c>
      <c r="E2" s="38">
        <f t="shared" ref="E2:E25" si="0">SUM(B2:D2)</f>
        <v>824101.61</v>
      </c>
      <c r="F2" s="34"/>
      <c r="H2" s="34"/>
      <c r="I2" s="30"/>
      <c r="J2" s="30"/>
      <c r="K2" s="30"/>
      <c r="M2" s="30">
        <v>1689.4</v>
      </c>
      <c r="N2" s="30">
        <v>943.4</v>
      </c>
      <c r="O2" s="30">
        <v>4711.21</v>
      </c>
    </row>
    <row r="3" spans="1:15">
      <c r="A3" s="135" t="s">
        <v>76</v>
      </c>
      <c r="B3" s="136">
        <v>151505.35</v>
      </c>
      <c r="C3" s="136">
        <v>125197</v>
      </c>
      <c r="D3" s="136">
        <v>136927</v>
      </c>
      <c r="E3" s="38">
        <f t="shared" si="0"/>
        <v>413629.35</v>
      </c>
      <c r="F3" s="34"/>
      <c r="H3" s="34"/>
      <c r="I3" s="30"/>
      <c r="J3" s="30"/>
      <c r="K3" s="30"/>
      <c r="M3" s="30">
        <v>48475</v>
      </c>
      <c r="N3" s="30">
        <v>51981</v>
      </c>
      <c r="O3" s="30">
        <v>76997.7</v>
      </c>
    </row>
    <row r="4" spans="1:15">
      <c r="A4" s="135" t="s">
        <v>77</v>
      </c>
      <c r="B4" s="136">
        <v>51784.44</v>
      </c>
      <c r="C4" s="136">
        <v>43797</v>
      </c>
      <c r="D4" s="136">
        <v>12712</v>
      </c>
      <c r="E4" s="38">
        <f t="shared" si="0"/>
        <v>108293.44</v>
      </c>
      <c r="F4" s="34"/>
      <c r="H4" s="34"/>
      <c r="I4" s="30"/>
      <c r="J4" s="30"/>
      <c r="K4" s="30"/>
      <c r="M4" s="30">
        <v>360788</v>
      </c>
      <c r="N4" s="30">
        <v>285281</v>
      </c>
      <c r="O4" s="30">
        <v>410457</v>
      </c>
    </row>
    <row r="5" spans="1:15">
      <c r="A5" s="135" t="s">
        <v>78</v>
      </c>
      <c r="B5" s="136">
        <v>21272</v>
      </c>
      <c r="C5" s="136">
        <v>20968</v>
      </c>
      <c r="D5" s="136">
        <v>11753</v>
      </c>
      <c r="E5" s="38">
        <f t="shared" si="0"/>
        <v>53993</v>
      </c>
      <c r="F5" s="34"/>
      <c r="H5" s="34"/>
      <c r="I5" s="30"/>
      <c r="J5" s="30"/>
      <c r="K5" s="30"/>
      <c r="M5" s="30">
        <v>18783.25</v>
      </c>
      <c r="N5" s="30">
        <v>16460</v>
      </c>
      <c r="O5" s="30">
        <v>21084</v>
      </c>
    </row>
    <row r="6" spans="1:15">
      <c r="A6" s="135" t="s">
        <v>79</v>
      </c>
      <c r="B6" s="136">
        <v>4059</v>
      </c>
      <c r="C6" s="136">
        <v>3972</v>
      </c>
      <c r="D6" s="136">
        <v>6944</v>
      </c>
      <c r="E6" s="38">
        <f t="shared" si="0"/>
        <v>14975</v>
      </c>
      <c r="F6" s="34"/>
      <c r="H6" s="34"/>
      <c r="I6" s="30"/>
      <c r="J6" s="30"/>
      <c r="K6" s="30"/>
      <c r="M6" s="30">
        <v>38983.53</v>
      </c>
      <c r="N6" s="30">
        <v>40304.33</v>
      </c>
      <c r="O6" s="30">
        <v>68390.27</v>
      </c>
    </row>
    <row r="7" spans="1:15">
      <c r="A7" s="135" t="s">
        <v>80</v>
      </c>
      <c r="B7" s="137">
        <v>6020</v>
      </c>
      <c r="C7" s="137">
        <v>5902</v>
      </c>
      <c r="D7" s="137">
        <v>104254</v>
      </c>
      <c r="E7" s="38">
        <f t="shared" si="0"/>
        <v>116176</v>
      </c>
      <c r="F7" s="34"/>
      <c r="H7" s="34"/>
      <c r="I7" s="30"/>
      <c r="J7" s="30"/>
      <c r="K7" s="30"/>
      <c r="M7" s="30">
        <v>10072.94</v>
      </c>
      <c r="N7" s="30">
        <v>5880.62</v>
      </c>
      <c r="O7" s="30">
        <v>37454.93</v>
      </c>
    </row>
    <row r="8" spans="1:15">
      <c r="A8" s="135" t="s">
        <v>81</v>
      </c>
      <c r="B8" s="136">
        <v>141309.9</v>
      </c>
      <c r="C8" s="136">
        <v>1228634.91</v>
      </c>
      <c r="D8" s="136">
        <v>130175.01</v>
      </c>
      <c r="E8" s="38">
        <f t="shared" si="0"/>
        <v>1500119.82</v>
      </c>
      <c r="F8" s="34"/>
      <c r="I8" s="30"/>
      <c r="J8" s="30"/>
      <c r="K8" s="30"/>
      <c r="M8" s="30"/>
      <c r="N8" s="30"/>
      <c r="O8" s="30"/>
    </row>
    <row r="9" spans="1:15">
      <c r="A9" s="135" t="s">
        <v>82</v>
      </c>
      <c r="B9" s="136">
        <v>485165.33</v>
      </c>
      <c r="C9" s="136">
        <v>111453.39</v>
      </c>
      <c r="D9" s="136">
        <v>310845.13</v>
      </c>
      <c r="E9" s="38">
        <f t="shared" si="0"/>
        <v>907463.85</v>
      </c>
      <c r="F9" s="34"/>
      <c r="H9" s="34"/>
      <c r="I9" s="30"/>
      <c r="J9" s="30"/>
      <c r="K9" s="30"/>
      <c r="M9" s="30">
        <v>4636.13</v>
      </c>
      <c r="N9" s="30">
        <v>79.08</v>
      </c>
      <c r="O9" s="30">
        <v>5475.92</v>
      </c>
    </row>
    <row r="10" spans="1:15">
      <c r="A10" s="135" t="s">
        <v>83</v>
      </c>
      <c r="B10" s="136">
        <v>1859463.36</v>
      </c>
      <c r="C10" s="136">
        <v>2783799.74</v>
      </c>
      <c r="D10" s="136">
        <v>1941093.51</v>
      </c>
      <c r="E10" s="38">
        <f t="shared" si="0"/>
        <v>6584356.61</v>
      </c>
      <c r="F10" s="34"/>
      <c r="I10" s="30"/>
      <c r="J10" s="30"/>
      <c r="K10" s="30"/>
      <c r="M10" s="30"/>
      <c r="N10" s="30"/>
      <c r="O10" s="30"/>
    </row>
    <row r="11" spans="1:15">
      <c r="A11" s="135" t="s">
        <v>84</v>
      </c>
      <c r="B11" s="136">
        <v>145261.1</v>
      </c>
      <c r="C11" s="136">
        <v>71485.21</v>
      </c>
      <c r="D11" s="136">
        <v>72562.33</v>
      </c>
      <c r="E11" s="38">
        <f t="shared" si="0"/>
        <v>289308.64</v>
      </c>
      <c r="F11" s="34"/>
      <c r="H11" s="34"/>
      <c r="I11" s="30"/>
      <c r="J11" s="30"/>
      <c r="K11" s="30"/>
      <c r="M11" s="30">
        <v>800</v>
      </c>
      <c r="N11" s="30"/>
      <c r="O11" s="30"/>
    </row>
    <row r="12" spans="1:15">
      <c r="A12" s="135" t="s">
        <v>85</v>
      </c>
      <c r="B12" s="136">
        <v>52016.89</v>
      </c>
      <c r="C12" s="136">
        <v>22615.06</v>
      </c>
      <c r="D12" s="136">
        <v>864627.1</v>
      </c>
      <c r="E12" s="38">
        <f t="shared" si="0"/>
        <v>939259.05</v>
      </c>
      <c r="F12" s="34"/>
      <c r="H12" s="34"/>
      <c r="I12" s="30"/>
      <c r="J12" s="30"/>
      <c r="K12" s="30"/>
      <c r="M12" s="30"/>
      <c r="N12" s="30"/>
      <c r="O12" s="30"/>
    </row>
    <row r="13" spans="1:15">
      <c r="A13" s="135" t="s">
        <v>86</v>
      </c>
      <c r="B13" s="136">
        <v>7000</v>
      </c>
      <c r="C13" s="136">
        <v>23720.75</v>
      </c>
      <c r="D13" s="136">
        <v>12843</v>
      </c>
      <c r="E13" s="38">
        <f t="shared" si="0"/>
        <v>43563.75</v>
      </c>
      <c r="F13" s="34"/>
      <c r="H13" s="34"/>
      <c r="I13" s="30"/>
      <c r="J13" s="30"/>
      <c r="K13" s="30"/>
      <c r="M13" s="30"/>
      <c r="N13" s="30">
        <v>3020.19</v>
      </c>
      <c r="O13" s="30">
        <v>244</v>
      </c>
    </row>
    <row r="14" spans="1:15">
      <c r="A14" s="135" t="s">
        <v>87</v>
      </c>
      <c r="B14" s="136">
        <v>238219.23</v>
      </c>
      <c r="C14" s="136">
        <v>163374.49</v>
      </c>
      <c r="D14" s="136">
        <v>534914.47</v>
      </c>
      <c r="E14" s="38">
        <f t="shared" si="0"/>
        <v>936508.19</v>
      </c>
      <c r="F14" s="34"/>
      <c r="H14" s="34"/>
      <c r="I14" s="30"/>
      <c r="J14" s="30"/>
      <c r="K14" s="30"/>
      <c r="M14" s="30">
        <f>I14</f>
        <v>0</v>
      </c>
      <c r="N14" s="30">
        <f t="shared" ref="N14:O14" si="1">J14</f>
        <v>0</v>
      </c>
      <c r="O14" s="30">
        <f t="shared" si="1"/>
        <v>0</v>
      </c>
    </row>
    <row r="15" spans="1:15">
      <c r="A15" s="135" t="s">
        <v>88</v>
      </c>
      <c r="B15" s="136">
        <v>0</v>
      </c>
      <c r="C15" s="136">
        <v>0</v>
      </c>
      <c r="D15" s="136">
        <v>26030</v>
      </c>
      <c r="E15" s="38">
        <f t="shared" si="0"/>
        <v>26030</v>
      </c>
      <c r="F15" s="34"/>
      <c r="H15" s="138"/>
      <c r="I15" s="30"/>
      <c r="J15" s="30"/>
      <c r="K15" s="30"/>
      <c r="M15" s="30">
        <f>15000*6.5</f>
        <v>97500</v>
      </c>
      <c r="N15" s="30">
        <f>10000*6.5</f>
        <v>65000</v>
      </c>
      <c r="O15" s="30">
        <f>10000*6.5</f>
        <v>65000</v>
      </c>
    </row>
    <row r="16" spans="1:15">
      <c r="A16" s="135" t="s">
        <v>89</v>
      </c>
      <c r="B16" s="136">
        <v>33333.33</v>
      </c>
      <c r="C16" s="136">
        <v>33333.37</v>
      </c>
      <c r="D16" s="136">
        <v>32149.99</v>
      </c>
      <c r="E16" s="38">
        <f t="shared" si="0"/>
        <v>98816.69</v>
      </c>
      <c r="F16" s="34"/>
      <c r="H16" s="138"/>
      <c r="I16" s="30"/>
      <c r="J16" s="30"/>
      <c r="K16" s="30"/>
      <c r="M16" s="30">
        <f>20000*26</f>
        <v>520000</v>
      </c>
      <c r="N16" s="30">
        <f>20000*26</f>
        <v>520000</v>
      </c>
      <c r="O16" s="30">
        <f>20000*26</f>
        <v>520000</v>
      </c>
    </row>
    <row r="17" spans="1:15">
      <c r="A17" s="135" t="s">
        <v>90</v>
      </c>
      <c r="B17" s="136"/>
      <c r="C17" s="136"/>
      <c r="D17" s="136"/>
      <c r="E17" s="38"/>
      <c r="F17" s="34"/>
      <c r="H17" s="138"/>
      <c r="I17" s="30"/>
      <c r="J17" s="30"/>
      <c r="K17" s="30"/>
      <c r="M17" s="30">
        <f>20000*4</f>
        <v>80000</v>
      </c>
      <c r="N17" s="30">
        <f>20000*4</f>
        <v>80000</v>
      </c>
      <c r="O17" s="30">
        <f>20000*4</f>
        <v>80000</v>
      </c>
    </row>
    <row r="18" spans="1:15">
      <c r="A18" s="135" t="s">
        <v>91</v>
      </c>
      <c r="B18" s="137">
        <v>81534.75</v>
      </c>
      <c r="C18" s="137">
        <v>98561.69</v>
      </c>
      <c r="D18" s="137">
        <v>96570.54</v>
      </c>
      <c r="E18" s="38">
        <f t="shared" si="0"/>
        <v>276666.98</v>
      </c>
      <c r="F18" s="34"/>
      <c r="G18" s="134"/>
      <c r="H18" s="34"/>
      <c r="I18" s="31"/>
      <c r="J18" s="31"/>
      <c r="K18" s="31"/>
      <c r="M18" s="31">
        <f>SUM(M2:M17)</f>
        <v>1181728.25</v>
      </c>
      <c r="N18" s="31">
        <f t="shared" ref="N18:O18" si="2">SUM(N2:N17)</f>
        <v>1068949.62</v>
      </c>
      <c r="O18" s="31">
        <f t="shared" si="2"/>
        <v>1289815.03</v>
      </c>
    </row>
    <row r="19" spans="1:6">
      <c r="A19" s="135" t="s">
        <v>92</v>
      </c>
      <c r="B19" s="136">
        <v>406568.06</v>
      </c>
      <c r="C19" s="136">
        <v>861944.58</v>
      </c>
      <c r="D19" s="136">
        <v>1009737.66</v>
      </c>
      <c r="E19" s="38">
        <f t="shared" si="0"/>
        <v>2278250.3</v>
      </c>
      <c r="F19" s="34"/>
    </row>
    <row r="20" spans="1:15">
      <c r="A20" s="135" t="s">
        <v>93</v>
      </c>
      <c r="B20" s="136"/>
      <c r="C20" s="136"/>
      <c r="D20" s="136"/>
      <c r="E20" s="38"/>
      <c r="F20" s="34"/>
      <c r="I20" s="31"/>
      <c r="J20" s="31"/>
      <c r="K20" s="31"/>
      <c r="L20" s="31">
        <f t="shared" ref="L20:O20" si="3">L2+L3+L6+L7+L8+L9+L10+L11+L12+L13</f>
        <v>0</v>
      </c>
      <c r="M20" s="31">
        <f t="shared" si="3"/>
        <v>104657</v>
      </c>
      <c r="N20" s="31">
        <f t="shared" si="3"/>
        <v>102208.62</v>
      </c>
      <c r="O20" s="31">
        <f t="shared" si="3"/>
        <v>193274.03</v>
      </c>
    </row>
    <row r="21" spans="1:6">
      <c r="A21" s="135" t="s">
        <v>94</v>
      </c>
      <c r="B21" s="137">
        <v>7649.83</v>
      </c>
      <c r="C21" s="137">
        <v>123963.8</v>
      </c>
      <c r="D21" s="137">
        <v>310414</v>
      </c>
      <c r="E21" s="38">
        <f t="shared" si="0"/>
        <v>442027.63</v>
      </c>
      <c r="F21" s="34"/>
    </row>
    <row r="22" spans="1:6">
      <c r="A22" s="135" t="s">
        <v>95</v>
      </c>
      <c r="B22" s="136">
        <v>1049772.8</v>
      </c>
      <c r="C22" s="136">
        <v>1049772.8</v>
      </c>
      <c r="D22" s="136">
        <v>1049772.8</v>
      </c>
      <c r="E22" s="38">
        <f t="shared" si="0"/>
        <v>3149318.4</v>
      </c>
      <c r="F22" s="34"/>
    </row>
    <row r="23" spans="1:6">
      <c r="A23" s="135" t="s">
        <v>96</v>
      </c>
      <c r="B23" s="136">
        <v>528791.2</v>
      </c>
      <c r="C23" s="136">
        <v>987627.69</v>
      </c>
      <c r="D23" s="136">
        <v>2444767.22</v>
      </c>
      <c r="E23" s="38">
        <f t="shared" si="0"/>
        <v>3961186.11</v>
      </c>
      <c r="F23" s="34"/>
    </row>
    <row r="24" spans="1:6">
      <c r="A24" s="135" t="s">
        <v>97</v>
      </c>
      <c r="B24" s="136">
        <v>1905699.95</v>
      </c>
      <c r="C24" s="136">
        <v>1971698.06</v>
      </c>
      <c r="D24" s="136">
        <v>1237372.49</v>
      </c>
      <c r="E24" s="38">
        <f t="shared" si="0"/>
        <v>5114770.5</v>
      </c>
      <c r="F24" s="34"/>
    </row>
    <row r="25" ht="12.75" spans="1:6">
      <c r="A25" s="25" t="s">
        <v>98</v>
      </c>
      <c r="B25" s="26">
        <f>SUM(B1:B24)</f>
        <v>9314088.7</v>
      </c>
      <c r="C25" s="26">
        <f>SUM(C1:C24)</f>
        <v>11605940.13</v>
      </c>
      <c r="D25" s="26">
        <f>SUM(D1:D24)</f>
        <v>12416242.09</v>
      </c>
      <c r="E25" s="39">
        <f t="shared" si="0"/>
        <v>33336270.92</v>
      </c>
      <c r="F25" s="34"/>
    </row>
    <row r="26" ht="12.75" spans="1:6">
      <c r="A26" s="27"/>
      <c r="B26" s="27"/>
      <c r="C26" s="27"/>
      <c r="D26" s="27"/>
      <c r="E26" s="40"/>
      <c r="F26" s="30"/>
    </row>
    <row r="27" spans="1:5">
      <c r="A27" s="20" t="s">
        <v>99</v>
      </c>
      <c r="B27" s="28">
        <v>200000</v>
      </c>
      <c r="C27" s="28">
        <v>200000</v>
      </c>
      <c r="D27" s="28">
        <v>200000</v>
      </c>
      <c r="E27" s="41">
        <f>SUM(B27:D27)</f>
        <v>600000</v>
      </c>
    </row>
    <row r="28" spans="1:5">
      <c r="A28" s="29" t="s">
        <v>100</v>
      </c>
      <c r="B28" s="30">
        <v>104657</v>
      </c>
      <c r="C28" s="30">
        <v>102208.62</v>
      </c>
      <c r="D28" s="30">
        <v>193274.03</v>
      </c>
      <c r="E28" s="42">
        <f t="shared" ref="E28:E33" si="4">SUM(B28:D28)</f>
        <v>400139.65</v>
      </c>
    </row>
    <row r="29" s="19" customFormat="1" spans="1:5">
      <c r="A29" s="29" t="s">
        <v>101</v>
      </c>
      <c r="B29" s="30">
        <v>4280.29444444444</v>
      </c>
      <c r="C29" s="30">
        <v>4280.29444444444</v>
      </c>
      <c r="D29" s="30">
        <v>4280.29444444444</v>
      </c>
      <c r="E29" s="42">
        <f t="shared" si="4"/>
        <v>12840.8833333333</v>
      </c>
    </row>
    <row r="30" s="19" customFormat="1" spans="1:5">
      <c r="A30" s="29" t="s">
        <v>102</v>
      </c>
      <c r="B30" s="30">
        <f>'2019回款及耗煤量'!K31</f>
        <v>229997.824088</v>
      </c>
      <c r="C30" s="30">
        <f>'2019回款及耗煤量'!L31</f>
        <v>204908.359728</v>
      </c>
      <c r="D30" s="30">
        <f>'2019回款及耗煤量'!M31</f>
        <v>193479.440804</v>
      </c>
      <c r="E30" s="42">
        <f t="shared" si="4"/>
        <v>628385.62462</v>
      </c>
    </row>
    <row r="31" spans="1:5">
      <c r="A31" s="29" t="s">
        <v>103</v>
      </c>
      <c r="B31" s="30">
        <f>15000*6.5</f>
        <v>97500</v>
      </c>
      <c r="C31" s="30">
        <f>10000*6.5</f>
        <v>65000</v>
      </c>
      <c r="D31" s="30">
        <f>10000*6.5</f>
        <v>65000</v>
      </c>
      <c r="E31" s="42">
        <f t="shared" si="4"/>
        <v>227500</v>
      </c>
    </row>
    <row r="32" spans="1:5">
      <c r="A32" s="29" t="s">
        <v>104</v>
      </c>
      <c r="B32" s="30">
        <f>20000*26</f>
        <v>520000</v>
      </c>
      <c r="C32" s="30">
        <f>20000*26</f>
        <v>520000</v>
      </c>
      <c r="D32" s="30">
        <f>20000*26</f>
        <v>520000</v>
      </c>
      <c r="E32" s="42">
        <f t="shared" si="4"/>
        <v>1560000</v>
      </c>
    </row>
    <row r="33" spans="1:5">
      <c r="A33" s="29" t="s">
        <v>105</v>
      </c>
      <c r="B33" s="30">
        <f>20000*4</f>
        <v>80000</v>
      </c>
      <c r="C33" s="30">
        <f>20000*4</f>
        <v>80000</v>
      </c>
      <c r="D33" s="30">
        <f>20000*4</f>
        <v>80000</v>
      </c>
      <c r="E33" s="42">
        <f t="shared" si="4"/>
        <v>240000</v>
      </c>
    </row>
    <row r="34" ht="12.75" spans="1:5">
      <c r="A34" s="32" t="s">
        <v>106</v>
      </c>
      <c r="B34" s="26">
        <f>SUM(B27:B33)</f>
        <v>1236435.11853244</v>
      </c>
      <c r="C34" s="26">
        <f t="shared" ref="C34:E34" si="5">SUM(C27:C33)</f>
        <v>1176397.27417244</v>
      </c>
      <c r="D34" s="26">
        <f t="shared" si="5"/>
        <v>1256033.76524844</v>
      </c>
      <c r="E34" s="44">
        <f t="shared" si="5"/>
        <v>3668866.15795333</v>
      </c>
    </row>
    <row r="35" spans="2:5">
      <c r="B35" s="31"/>
      <c r="C35" s="31"/>
      <c r="D35" s="31"/>
      <c r="E35" s="43"/>
    </row>
    <row r="36" ht="12.75" spans="2:5">
      <c r="B36" s="31"/>
      <c r="C36" s="31"/>
      <c r="D36" s="31"/>
      <c r="E36" s="43"/>
    </row>
    <row r="37" spans="1:5">
      <c r="A37" s="20" t="s">
        <v>107</v>
      </c>
      <c r="B37" s="28"/>
      <c r="C37" s="28">
        <f>'2019回款及耗煤量'!K10/1.13*0.045</f>
        <v>14613329.424823</v>
      </c>
      <c r="D37" s="28">
        <f>'2019回款及耗煤量'!L10/1.13*0.045</f>
        <v>13416623.9677434</v>
      </c>
      <c r="E37" s="41">
        <f>SUM(B37:D37)</f>
        <v>28029953.3925664</v>
      </c>
    </row>
    <row r="38" spans="1:5">
      <c r="A38" s="29" t="s">
        <v>108</v>
      </c>
      <c r="B38" s="30">
        <v>112928.4</v>
      </c>
      <c r="C38" s="30">
        <f>'2019回款及耗煤量'!K11</f>
        <v>97422.1961654867</v>
      </c>
      <c r="D38" s="30">
        <f>'2019回款及耗煤量'!L11</f>
        <v>89444.1597849557</v>
      </c>
      <c r="E38" s="42">
        <f t="shared" ref="E38:E48" si="6">SUM(B38:D38)</f>
        <v>299794.755950442</v>
      </c>
    </row>
    <row r="39" spans="1:5">
      <c r="A39" s="29" t="s">
        <v>109</v>
      </c>
      <c r="B39" s="30"/>
      <c r="C39" s="30">
        <f>'2019回款及耗煤量'!K29</f>
        <v>77354.8903433628</v>
      </c>
      <c r="D39" s="30">
        <f>'2019回款及耗煤量'!L29</f>
        <v>68826.633700885</v>
      </c>
      <c r="E39" s="42">
        <f t="shared" si="6"/>
        <v>146181.524044248</v>
      </c>
    </row>
    <row r="40" spans="1:5">
      <c r="A40" s="29" t="s">
        <v>110</v>
      </c>
      <c r="B40" s="30">
        <v>1003232.9025</v>
      </c>
      <c r="C40" s="30">
        <f>C37*0.1</f>
        <v>1461332.9424823</v>
      </c>
      <c r="D40" s="30">
        <f>D37*0.1</f>
        <v>1341662.39677434</v>
      </c>
      <c r="E40" s="42">
        <f t="shared" si="6"/>
        <v>3806228.24175664</v>
      </c>
    </row>
    <row r="41" spans="1:5">
      <c r="A41" s="29" t="s">
        <v>111</v>
      </c>
      <c r="B41" s="30">
        <v>78876.31</v>
      </c>
      <c r="C41" s="30">
        <v>125000</v>
      </c>
      <c r="D41" s="30">
        <v>125000</v>
      </c>
      <c r="E41" s="42">
        <f t="shared" si="6"/>
        <v>328876.31</v>
      </c>
    </row>
    <row r="42" spans="1:5">
      <c r="A42" s="29" t="s">
        <v>112</v>
      </c>
      <c r="B42" s="30">
        <v>563626</v>
      </c>
      <c r="C42" s="30"/>
      <c r="D42" s="30"/>
      <c r="E42" s="42">
        <f t="shared" si="6"/>
        <v>563626</v>
      </c>
    </row>
    <row r="43" spans="1:5">
      <c r="A43" s="29" t="s">
        <v>113</v>
      </c>
      <c r="B43" s="30">
        <v>2514607.9</v>
      </c>
      <c r="C43" s="30"/>
      <c r="D43" s="30"/>
      <c r="E43" s="42">
        <f t="shared" si="6"/>
        <v>2514607.9</v>
      </c>
    </row>
    <row r="44" spans="1:5">
      <c r="A44" s="29" t="s">
        <v>30</v>
      </c>
      <c r="B44" s="30">
        <v>50000</v>
      </c>
      <c r="C44" s="30"/>
      <c r="D44" s="30"/>
      <c r="E44" s="42">
        <f t="shared" si="6"/>
        <v>50000</v>
      </c>
    </row>
    <row r="45" spans="1:5">
      <c r="A45" s="29" t="s">
        <v>114</v>
      </c>
      <c r="B45" s="30"/>
      <c r="C45" s="30"/>
      <c r="D45" s="30">
        <v>190000</v>
      </c>
      <c r="E45" s="42">
        <f t="shared" si="6"/>
        <v>190000</v>
      </c>
    </row>
    <row r="46" spans="1:5">
      <c r="A46" s="29" t="s">
        <v>115</v>
      </c>
      <c r="B46" s="30"/>
      <c r="C46" s="30"/>
      <c r="D46" s="30">
        <v>990637.43</v>
      </c>
      <c r="E46" s="42">
        <f t="shared" si="6"/>
        <v>990637.43</v>
      </c>
    </row>
    <row r="47" spans="1:5">
      <c r="A47" s="29" t="s">
        <v>116</v>
      </c>
      <c r="B47" s="30"/>
      <c r="C47" s="30"/>
      <c r="D47" s="30">
        <v>385737.34</v>
      </c>
      <c r="E47" s="42">
        <f t="shared" si="6"/>
        <v>385737.34</v>
      </c>
    </row>
    <row r="48" spans="1:5">
      <c r="A48" s="29" t="s">
        <v>117</v>
      </c>
      <c r="B48" s="30">
        <v>200000</v>
      </c>
      <c r="C48" s="30"/>
      <c r="D48" s="30"/>
      <c r="E48" s="42">
        <f t="shared" si="6"/>
        <v>200000</v>
      </c>
    </row>
    <row r="49" ht="12.75" spans="1:5">
      <c r="A49" s="32" t="s">
        <v>118</v>
      </c>
      <c r="B49" s="33">
        <f>SUM(B37:B48)</f>
        <v>4523271.5125</v>
      </c>
      <c r="C49" s="33">
        <f>SUM(C37:C48)</f>
        <v>16374439.4538142</v>
      </c>
      <c r="D49" s="33">
        <f>SUM(D37:D48)</f>
        <v>16607931.9280035</v>
      </c>
      <c r="E49" s="139">
        <f>SUM(E37:E48)</f>
        <v>37505642.8943177</v>
      </c>
    </row>
    <row r="50" spans="1:5">
      <c r="A50" s="36"/>
      <c r="B50" s="45"/>
      <c r="C50" s="45"/>
      <c r="D50" s="45"/>
      <c r="E50" s="45"/>
    </row>
    <row r="51" spans="2:4">
      <c r="B51" s="31">
        <f>(B25+B34+B49)/10000</f>
        <v>1507.37953310324</v>
      </c>
      <c r="C51" s="31">
        <f t="shared" ref="C51:D51" si="7">(C25+C34+C49)/10000</f>
        <v>2915.67768579866</v>
      </c>
      <c r="D51" s="31">
        <f t="shared" si="7"/>
        <v>3028.0207783252</v>
      </c>
    </row>
  </sheetData>
  <mergeCells count="1">
    <mergeCell ref="H15:H17"/>
  </mergeCells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I111" sqref="I111"/>
    </sheetView>
  </sheetViews>
  <sheetFormatPr defaultColWidth="9" defaultRowHeight="13.5"/>
  <cols>
    <col min="3" max="3" width="19.375" customWidth="1"/>
    <col min="4" max="4" width="18.375" customWidth="1"/>
    <col min="5" max="5" width="16.125" customWidth="1"/>
    <col min="6" max="6" width="17.25" customWidth="1"/>
    <col min="7" max="7" width="16.125" customWidth="1"/>
    <col min="8" max="8" width="17.375" style="123" customWidth="1"/>
    <col min="9" max="9" width="20" customWidth="1"/>
  </cols>
  <sheetData>
    <row r="1" customFormat="1" spans="1:8">
      <c r="A1" s="47" t="s">
        <v>119</v>
      </c>
      <c r="B1" s="47"/>
      <c r="C1" s="47"/>
      <c r="D1" s="47"/>
      <c r="E1" s="47"/>
      <c r="F1" s="47"/>
      <c r="G1" s="47"/>
      <c r="H1" s="123"/>
    </row>
    <row r="2" s="12" customFormat="1" ht="12" spans="1:8">
      <c r="A2" s="48" t="s">
        <v>120</v>
      </c>
      <c r="B2" s="48" t="s">
        <v>121</v>
      </c>
      <c r="C2" s="48" t="s">
        <v>122</v>
      </c>
      <c r="D2" s="48">
        <v>10</v>
      </c>
      <c r="E2" s="48">
        <v>11</v>
      </c>
      <c r="F2" s="48">
        <v>12</v>
      </c>
      <c r="G2" s="84" t="s">
        <v>5</v>
      </c>
      <c r="H2" s="124" t="s">
        <v>123</v>
      </c>
    </row>
    <row r="3" s="12" customFormat="1" ht="12" spans="1:9">
      <c r="A3" s="49" t="s">
        <v>124</v>
      </c>
      <c r="B3" s="48" t="s">
        <v>51</v>
      </c>
      <c r="C3" s="51">
        <v>491925992.645721</v>
      </c>
      <c r="D3" s="125">
        <f>'2019回款及耗煤量'!K14+'2019回款及耗煤量'!K43</f>
        <v>63321409.1</v>
      </c>
      <c r="E3" s="125">
        <f>'2019回款及耗煤量'!L14+'2019回款及耗煤量'!L43</f>
        <v>48086829.6</v>
      </c>
      <c r="F3" s="125">
        <f>'2019回款及耗煤量'!M14+'2019回款及耗煤量'!M43</f>
        <v>36058029.8</v>
      </c>
      <c r="G3" s="86">
        <f>SUM(D3:F3)</f>
        <v>147466268.5</v>
      </c>
      <c r="H3" s="124"/>
      <c r="I3" s="90">
        <f>G3/1.13</f>
        <v>130501122.566372</v>
      </c>
    </row>
    <row r="4" s="12" customFormat="1" ht="12" spans="1:9">
      <c r="A4" s="52"/>
      <c r="B4" s="48" t="s">
        <v>52</v>
      </c>
      <c r="C4" s="51">
        <v>33545743.353183</v>
      </c>
      <c r="D4" s="125">
        <f>'2019回款及耗煤量'!K15+'2019回款及耗煤量'!K44</f>
        <v>6118050.1</v>
      </c>
      <c r="E4" s="125">
        <f>'2019回款及耗煤量'!L15+'2019回款及耗煤量'!L44</f>
        <v>4646092.3</v>
      </c>
      <c r="F4" s="125">
        <f>'2019回款及耗煤量'!M15+'2019回款及耗煤量'!M44</f>
        <v>3483890.7</v>
      </c>
      <c r="G4" s="86">
        <f t="shared" ref="G4:G17" si="0">SUM(D4:F4)</f>
        <v>14248033.1</v>
      </c>
      <c r="H4" s="124"/>
      <c r="I4" s="90">
        <f t="shared" ref="I4:I7" si="1">G4/1.13</f>
        <v>12608878.8495575</v>
      </c>
    </row>
    <row r="5" s="12" customFormat="1" ht="12" spans="1:9">
      <c r="A5" s="52"/>
      <c r="B5" s="48" t="s">
        <v>53</v>
      </c>
      <c r="C5" s="51">
        <v>30020781.274804</v>
      </c>
      <c r="D5" s="125">
        <f>'2019回款及耗煤量'!K16+'2019回款及耗煤量'!K45</f>
        <v>5388374.4</v>
      </c>
      <c r="E5" s="125">
        <f>'2019回款及耗煤量'!L16+'2019回款及耗煤量'!L45</f>
        <v>4091971.2</v>
      </c>
      <c r="F5" s="125">
        <f>'2019回款及耗煤量'!M16+'2019回款及耗煤量'!M45</f>
        <v>3068380.8</v>
      </c>
      <c r="G5" s="86">
        <f t="shared" si="0"/>
        <v>12548726.4</v>
      </c>
      <c r="H5" s="124"/>
      <c r="I5" s="90">
        <f t="shared" si="1"/>
        <v>11105067.6106195</v>
      </c>
    </row>
    <row r="6" s="12" customFormat="1" ht="12" spans="1:9">
      <c r="A6" s="52"/>
      <c r="B6" s="48" t="s">
        <v>54</v>
      </c>
      <c r="C6" s="51">
        <v>151972474.007411</v>
      </c>
      <c r="D6" s="125">
        <f>'2019回款及耗煤量'!K17+'2019回款及耗煤量'!K46</f>
        <v>24382394.16</v>
      </c>
      <c r="E6" s="125">
        <f>'2019回款及耗煤量'!L17+'2019回款及耗煤量'!L46</f>
        <v>18516198.64</v>
      </c>
      <c r="F6" s="125">
        <f>'2019回款及耗煤量'!M17+'2019回款及耗煤量'!M46</f>
        <v>13884423.12</v>
      </c>
      <c r="G6" s="86">
        <f t="shared" si="0"/>
        <v>56783015.92</v>
      </c>
      <c r="H6" s="124"/>
      <c r="I6" s="90">
        <f t="shared" si="1"/>
        <v>50250456.5663717</v>
      </c>
    </row>
    <row r="7" s="12" customFormat="1" ht="12" spans="1:9">
      <c r="A7" s="52"/>
      <c r="B7" s="48" t="s">
        <v>55</v>
      </c>
      <c r="C7" s="51">
        <v>65832170.4630409</v>
      </c>
      <c r="D7" s="125">
        <f>'2019回款及耗煤量'!K18</f>
        <v>7697680</v>
      </c>
      <c r="E7" s="125">
        <f>'2019回款及耗煤量'!L18</f>
        <v>5845680</v>
      </c>
      <c r="F7" s="125">
        <f>'2019回款及耗煤量'!M18</f>
        <v>4383400</v>
      </c>
      <c r="G7" s="86">
        <f t="shared" si="0"/>
        <v>17926760</v>
      </c>
      <c r="H7" s="124"/>
      <c r="I7" s="90">
        <f t="shared" si="1"/>
        <v>15864389.380531</v>
      </c>
    </row>
    <row r="8" s="12" customFormat="1" ht="12" spans="1:9">
      <c r="A8" s="52"/>
      <c r="B8" s="48" t="s">
        <v>102</v>
      </c>
      <c r="C8" s="51"/>
      <c r="D8" s="125">
        <f>'2019回款及耗煤量'!K30</f>
        <v>227009.318754</v>
      </c>
      <c r="E8" s="125">
        <f>'2019回款及耗煤量'!L30</f>
        <v>172392.785061</v>
      </c>
      <c r="F8" s="125">
        <f>'2019回款及耗煤量'!M30</f>
        <v>129269.215062</v>
      </c>
      <c r="G8" s="86">
        <f t="shared" si="0"/>
        <v>528671.318877</v>
      </c>
      <c r="H8" s="124"/>
      <c r="I8" s="90">
        <f>G8/1.06</f>
        <v>498746.527242453</v>
      </c>
    </row>
    <row r="9" s="12" customFormat="1" ht="12" spans="1:9">
      <c r="A9" s="52"/>
      <c r="B9" s="54" t="s">
        <v>125</v>
      </c>
      <c r="C9" s="51">
        <v>1472288.73912862</v>
      </c>
      <c r="D9" s="87">
        <f>$C$9/9+蒸汽动力2019!$F$21</f>
        <v>165715.686000151</v>
      </c>
      <c r="E9" s="87">
        <f>$C$9/9+蒸汽动力2019!$F$21</f>
        <v>165715.686000151</v>
      </c>
      <c r="F9" s="87">
        <f>$C$9/9+蒸汽动力2019!$F$21</f>
        <v>165715.686000151</v>
      </c>
      <c r="G9" s="86">
        <f t="shared" si="0"/>
        <v>497147.058000453</v>
      </c>
      <c r="H9" s="124"/>
      <c r="I9" s="90">
        <f>G9</f>
        <v>497147.058000453</v>
      </c>
    </row>
    <row r="10" s="12" customFormat="1" ht="12" spans="1:9">
      <c r="A10" s="52"/>
      <c r="B10" s="54" t="s">
        <v>126</v>
      </c>
      <c r="C10" s="51">
        <v>301064.220106949</v>
      </c>
      <c r="D10" s="87">
        <f>$C$10/9+蒸汽动力2019!$F$7</f>
        <v>34106.5927508855</v>
      </c>
      <c r="E10" s="87">
        <f>$C$10/9+蒸汽动力2019!$F$7</f>
        <v>34106.5927508855</v>
      </c>
      <c r="F10" s="87">
        <f>$C$10/9+蒸汽动力2019!$F$7</f>
        <v>34106.5927508855</v>
      </c>
      <c r="G10" s="86">
        <f t="shared" si="0"/>
        <v>102319.778252656</v>
      </c>
      <c r="H10" s="124"/>
      <c r="I10" s="90">
        <f t="shared" ref="I10:I17" si="2">G10</f>
        <v>102319.778252656</v>
      </c>
    </row>
    <row r="11" s="12" customFormat="1" ht="12" spans="1:9">
      <c r="A11" s="52"/>
      <c r="B11" s="54" t="s">
        <v>127</v>
      </c>
      <c r="C11" s="51">
        <v>109148.844316275</v>
      </c>
      <c r="D11" s="87">
        <f t="shared" ref="D11:D17" si="3">C11/9</f>
        <v>12127.649368475</v>
      </c>
      <c r="E11" s="87">
        <f t="shared" ref="E11:E17" si="4">C11/9</f>
        <v>12127.649368475</v>
      </c>
      <c r="F11" s="87">
        <f t="shared" ref="F11:F17" si="5">C11/9</f>
        <v>12127.649368475</v>
      </c>
      <c r="G11" s="86">
        <f t="shared" si="0"/>
        <v>36382.9481054251</v>
      </c>
      <c r="H11" s="124"/>
      <c r="I11" s="90">
        <f t="shared" si="2"/>
        <v>36382.9481054251</v>
      </c>
    </row>
    <row r="12" s="12" customFormat="1" ht="12" spans="1:9">
      <c r="A12" s="52"/>
      <c r="B12" s="54" t="s">
        <v>128</v>
      </c>
      <c r="C12" s="51">
        <v>5511457.37141967</v>
      </c>
      <c r="D12" s="87">
        <f t="shared" si="3"/>
        <v>612384.152379963</v>
      </c>
      <c r="E12" s="87">
        <f t="shared" si="4"/>
        <v>612384.152379963</v>
      </c>
      <c r="F12" s="87">
        <f t="shared" si="5"/>
        <v>612384.152379963</v>
      </c>
      <c r="G12" s="86">
        <f t="shared" si="0"/>
        <v>1837152.45713989</v>
      </c>
      <c r="H12" s="124"/>
      <c r="I12" s="90">
        <f t="shared" si="2"/>
        <v>1837152.45713989</v>
      </c>
    </row>
    <row r="13" s="12" customFormat="1" ht="12" spans="1:9">
      <c r="A13" s="52"/>
      <c r="B13" s="54" t="s">
        <v>129</v>
      </c>
      <c r="C13" s="51">
        <v>1419007.66335558</v>
      </c>
      <c r="D13" s="87">
        <f t="shared" si="3"/>
        <v>157667.51815062</v>
      </c>
      <c r="E13" s="87">
        <f t="shared" si="4"/>
        <v>157667.51815062</v>
      </c>
      <c r="F13" s="87">
        <f t="shared" si="5"/>
        <v>157667.51815062</v>
      </c>
      <c r="G13" s="86">
        <f t="shared" si="0"/>
        <v>473002.554451861</v>
      </c>
      <c r="H13" s="124"/>
      <c r="I13" s="90">
        <f t="shared" si="2"/>
        <v>473002.554451861</v>
      </c>
    </row>
    <row r="14" s="12" customFormat="1" ht="12" spans="1:9">
      <c r="A14" s="52"/>
      <c r="B14" s="54" t="s">
        <v>130</v>
      </c>
      <c r="C14" s="51">
        <v>828247.966107671</v>
      </c>
      <c r="D14" s="87">
        <f t="shared" si="3"/>
        <v>92027.5517897412</v>
      </c>
      <c r="E14" s="87">
        <f t="shared" si="4"/>
        <v>92027.5517897412</v>
      </c>
      <c r="F14" s="87">
        <f t="shared" si="5"/>
        <v>92027.5517897412</v>
      </c>
      <c r="G14" s="86">
        <f t="shared" si="0"/>
        <v>276082.655369224</v>
      </c>
      <c r="H14" s="126">
        <v>360905.02</v>
      </c>
      <c r="I14" s="90">
        <f t="shared" si="2"/>
        <v>276082.655369224</v>
      </c>
    </row>
    <row r="15" s="12" customFormat="1" ht="12" spans="1:9">
      <c r="A15" s="52"/>
      <c r="B15" s="54" t="s">
        <v>131</v>
      </c>
      <c r="C15" s="51">
        <v>964493.707931557</v>
      </c>
      <c r="D15" s="87">
        <f t="shared" si="3"/>
        <v>107165.967547951</v>
      </c>
      <c r="E15" s="87">
        <f t="shared" si="4"/>
        <v>107165.967547951</v>
      </c>
      <c r="F15" s="87">
        <f t="shared" si="5"/>
        <v>107165.967547951</v>
      </c>
      <c r="G15" s="86">
        <f t="shared" si="0"/>
        <v>321497.902643852</v>
      </c>
      <c r="H15" s="124"/>
      <c r="I15" s="90">
        <f t="shared" si="2"/>
        <v>321497.902643852</v>
      </c>
    </row>
    <row r="16" s="12" customFormat="1" ht="12" spans="1:9">
      <c r="A16" s="52"/>
      <c r="B16" s="54" t="s">
        <v>132</v>
      </c>
      <c r="C16" s="51">
        <v>34805903.528221</v>
      </c>
      <c r="D16" s="87">
        <f>制造费用2019!$G$14</f>
        <v>2356479.58475565</v>
      </c>
      <c r="E16" s="87">
        <f>制造费用2019!$G$14</f>
        <v>2356479.58475565</v>
      </c>
      <c r="F16" s="87">
        <f>制造费用2019!$G$14</f>
        <v>2356479.58475565</v>
      </c>
      <c r="G16" s="86">
        <f t="shared" si="0"/>
        <v>7069438.75426695</v>
      </c>
      <c r="H16" s="124"/>
      <c r="I16" s="90">
        <f t="shared" si="2"/>
        <v>7069438.75426695</v>
      </c>
    </row>
    <row r="17" s="12" customFormat="1" ht="12" spans="1:9">
      <c r="A17" s="52"/>
      <c r="B17" s="54" t="s">
        <v>133</v>
      </c>
      <c r="C17" s="51">
        <v>135122.913831143</v>
      </c>
      <c r="D17" s="87">
        <f t="shared" si="3"/>
        <v>15013.6570923492</v>
      </c>
      <c r="E17" s="87">
        <f t="shared" si="4"/>
        <v>15013.6570923492</v>
      </c>
      <c r="F17" s="87">
        <f t="shared" si="5"/>
        <v>15013.6570923492</v>
      </c>
      <c r="G17" s="86">
        <f t="shared" si="0"/>
        <v>45040.9712770477</v>
      </c>
      <c r="H17" s="124"/>
      <c r="I17" s="90">
        <f t="shared" si="2"/>
        <v>45040.9712770477</v>
      </c>
    </row>
    <row r="18" s="15" customFormat="1" ht="12" spans="1:9">
      <c r="A18" s="56"/>
      <c r="B18" s="57" t="s">
        <v>5</v>
      </c>
      <c r="C18" s="58">
        <f>SUM(C3:C17)</f>
        <v>818843896.698579</v>
      </c>
      <c r="D18" s="58">
        <f t="shared" ref="D18:G18" si="6">SUM(D3:D17)</f>
        <v>110687605.43859</v>
      </c>
      <c r="E18" s="58">
        <f t="shared" si="6"/>
        <v>84911852.8848968</v>
      </c>
      <c r="F18" s="58">
        <f t="shared" si="6"/>
        <v>64560081.9948978</v>
      </c>
      <c r="G18" s="86">
        <f t="shared" si="6"/>
        <v>260159540.318384</v>
      </c>
      <c r="H18" s="127">
        <f>I18/制造费用2019!B14</f>
        <v>1748.33797092327</v>
      </c>
      <c r="I18" s="92">
        <f>SUM(I3:I17)+H14*3</f>
        <v>232569441.640201</v>
      </c>
    </row>
    <row r="19" s="12" customFormat="1" ht="12" spans="1:9">
      <c r="A19" s="49" t="s">
        <v>134</v>
      </c>
      <c r="B19" s="48" t="s">
        <v>51</v>
      </c>
      <c r="C19" s="59">
        <v>753527191.8023</v>
      </c>
      <c r="D19" s="125">
        <f>'2019回款及耗煤量'!K22+'2019回款及耗煤量'!K50</f>
        <v>94366006.1</v>
      </c>
      <c r="E19" s="125">
        <f>'2019回款及耗煤量'!L22+'2019回款及耗煤量'!L50</f>
        <v>91321936.1</v>
      </c>
      <c r="F19" s="125">
        <f>'2019回款及耗煤量'!M22+'2019回款及耗煤量'!M50</f>
        <v>94366006.1</v>
      </c>
      <c r="G19" s="86">
        <f>SUM(D19:F19)</f>
        <v>280053948.3</v>
      </c>
      <c r="H19" s="124"/>
      <c r="I19" s="90">
        <f t="shared" ref="I19:I23" si="7">G19/1.13</f>
        <v>247835352.477876</v>
      </c>
    </row>
    <row r="20" s="12" customFormat="1" ht="12" spans="1:9">
      <c r="A20" s="52"/>
      <c r="B20" s="48" t="s">
        <v>52</v>
      </c>
      <c r="C20" s="59">
        <v>54795778.2542371</v>
      </c>
      <c r="D20" s="125">
        <f>'2019回款及耗煤量'!K23+'2019回款及耗煤量'!K51</f>
        <v>7670319.1</v>
      </c>
      <c r="E20" s="125">
        <f>'2019回款及耗煤量'!L23+'2019回款及耗煤量'!L51</f>
        <v>7422889.1</v>
      </c>
      <c r="F20" s="125">
        <f>'2019回款及耗煤量'!M23+'2019回款及耗煤量'!M51</f>
        <v>7670319.1</v>
      </c>
      <c r="G20" s="86">
        <f t="shared" ref="G20:G83" si="8">SUM(D20:F20)</f>
        <v>22763527.3</v>
      </c>
      <c r="H20" s="124"/>
      <c r="I20" s="90">
        <f t="shared" si="7"/>
        <v>20144714.4247788</v>
      </c>
    </row>
    <row r="21" s="12" customFormat="1" ht="12" spans="1:9">
      <c r="A21" s="52"/>
      <c r="B21" s="48" t="s">
        <v>53</v>
      </c>
      <c r="C21" s="59">
        <v>49214358.9790279</v>
      </c>
      <c r="D21" s="125">
        <f>'2019回款及耗煤量'!K24+'2019回款及耗煤量'!K52</f>
        <v>6755510.4</v>
      </c>
      <c r="E21" s="125">
        <f>'2019回款及耗煤量'!L24+'2019回款及耗煤量'!L52</f>
        <v>6537590.4</v>
      </c>
      <c r="F21" s="125">
        <f>'2019回款及耗煤量'!M24+'2019回款及耗煤量'!M52</f>
        <v>6755510.4</v>
      </c>
      <c r="G21" s="86">
        <f t="shared" si="8"/>
        <v>20048611.2</v>
      </c>
      <c r="H21" s="124"/>
      <c r="I21" s="90">
        <f t="shared" si="7"/>
        <v>17742133.8053097</v>
      </c>
    </row>
    <row r="22" s="12" customFormat="1" ht="12" spans="1:9">
      <c r="A22" s="52"/>
      <c r="B22" s="48" t="s">
        <v>54</v>
      </c>
      <c r="C22" s="59">
        <v>247195876.729713</v>
      </c>
      <c r="D22" s="125">
        <f>'2019回款及耗煤量'!K25+'2019回款及耗煤量'!K53</f>
        <v>40758231.6</v>
      </c>
      <c r="E22" s="125">
        <f>'2019回款及耗煤量'!L25+'2019回款及耗煤量'!L53</f>
        <v>39443447.6</v>
      </c>
      <c r="F22" s="125">
        <f>'2019回款及耗煤量'!M25+'2019回款及耗煤量'!M53</f>
        <v>40758231.6</v>
      </c>
      <c r="G22" s="86">
        <f t="shared" si="8"/>
        <v>120959910.8</v>
      </c>
      <c r="H22" s="124"/>
      <c r="I22" s="90">
        <f t="shared" si="7"/>
        <v>107044168.849558</v>
      </c>
    </row>
    <row r="23" s="12" customFormat="1" ht="12" spans="1:9">
      <c r="A23" s="52"/>
      <c r="B23" s="48" t="s">
        <v>55</v>
      </c>
      <c r="C23" s="59">
        <v>207534286.448047</v>
      </c>
      <c r="D23" s="125">
        <f>'2019回款及耗煤量'!K26</f>
        <v>28147952</v>
      </c>
      <c r="E23" s="125">
        <f>'2019回款及耗煤量'!L26</f>
        <v>27239952</v>
      </c>
      <c r="F23" s="125">
        <f>'2019回款及耗煤量'!M26</f>
        <v>28147952</v>
      </c>
      <c r="G23" s="86">
        <f t="shared" si="8"/>
        <v>83535856</v>
      </c>
      <c r="H23" s="124"/>
      <c r="I23" s="90">
        <f t="shared" si="7"/>
        <v>73925536.2831859</v>
      </c>
    </row>
    <row r="24" s="12" customFormat="1" ht="12" spans="1:9">
      <c r="A24" s="52"/>
      <c r="B24" s="60" t="s">
        <v>135</v>
      </c>
      <c r="C24" s="59">
        <v>5822335.42740196</v>
      </c>
      <c r="D24" s="87">
        <f>$C$24/9+蒸汽动力2019!$F$22</f>
        <v>655398.179203032</v>
      </c>
      <c r="E24" s="87">
        <f>$C$24/9+蒸汽动力2019!$F$22</f>
        <v>655398.179203032</v>
      </c>
      <c r="F24" s="87">
        <f>$C$24/9+蒸汽动力2019!$F$22</f>
        <v>655398.179203032</v>
      </c>
      <c r="G24" s="86">
        <f t="shared" si="8"/>
        <v>1966194.5376091</v>
      </c>
      <c r="H24" s="124"/>
      <c r="I24" s="90">
        <f>G24</f>
        <v>1966194.5376091</v>
      </c>
    </row>
    <row r="25" s="12" customFormat="1" ht="12" spans="1:9">
      <c r="A25" s="52"/>
      <c r="B25" s="60" t="s">
        <v>136</v>
      </c>
      <c r="C25" s="59">
        <v>437005.433087621</v>
      </c>
      <c r="D25" s="87">
        <f>$C$25/9+蒸汽动力2019!$F$8</f>
        <v>49373.9635046026</v>
      </c>
      <c r="E25" s="87">
        <f>$C$25/9+蒸汽动力2019!$F$8</f>
        <v>49373.9635046026</v>
      </c>
      <c r="F25" s="87">
        <f>$C$25/9+蒸汽动力2019!$F$8</f>
        <v>49373.9635046026</v>
      </c>
      <c r="G25" s="86">
        <f t="shared" si="8"/>
        <v>148121.890513808</v>
      </c>
      <c r="H25" s="124"/>
      <c r="I25" s="90">
        <f t="shared" ref="I25:I32" si="9">G25</f>
        <v>148121.890513808</v>
      </c>
    </row>
    <row r="26" s="12" customFormat="1" ht="12" spans="1:9">
      <c r="A26" s="52"/>
      <c r="B26" s="60" t="s">
        <v>137</v>
      </c>
      <c r="C26" s="59">
        <v>132467.566857491</v>
      </c>
      <c r="D26" s="87">
        <f t="shared" ref="D26:D32" si="10">C26/9</f>
        <v>14718.6185397213</v>
      </c>
      <c r="E26" s="87">
        <f t="shared" ref="E26:E32" si="11">C26/9</f>
        <v>14718.6185397213</v>
      </c>
      <c r="F26" s="87">
        <f t="shared" ref="F26:F32" si="12">C26/9</f>
        <v>14718.6185397213</v>
      </c>
      <c r="G26" s="86">
        <f t="shared" si="8"/>
        <v>44155.8556191638</v>
      </c>
      <c r="H26" s="124"/>
      <c r="I26" s="90">
        <f t="shared" si="9"/>
        <v>44155.8556191638</v>
      </c>
    </row>
    <row r="27" s="12" customFormat="1" ht="12" spans="1:9">
      <c r="A27" s="52"/>
      <c r="B27" s="60" t="s">
        <v>138</v>
      </c>
      <c r="C27" s="59">
        <v>8796738.98472535</v>
      </c>
      <c r="D27" s="87">
        <f t="shared" si="10"/>
        <v>977415.442747261</v>
      </c>
      <c r="E27" s="87">
        <f t="shared" si="11"/>
        <v>977415.442747261</v>
      </c>
      <c r="F27" s="87">
        <f t="shared" si="12"/>
        <v>977415.442747261</v>
      </c>
      <c r="G27" s="86">
        <f t="shared" si="8"/>
        <v>2932246.32824178</v>
      </c>
      <c r="H27" s="124"/>
      <c r="I27" s="90">
        <f t="shared" si="9"/>
        <v>2932246.32824178</v>
      </c>
    </row>
    <row r="28" s="12" customFormat="1" ht="12" spans="1:9">
      <c r="A28" s="52"/>
      <c r="B28" s="60" t="s">
        <v>139</v>
      </c>
      <c r="C28" s="59">
        <v>2446130.1299324</v>
      </c>
      <c r="D28" s="87">
        <f t="shared" si="10"/>
        <v>271792.236659156</v>
      </c>
      <c r="E28" s="87">
        <f t="shared" si="11"/>
        <v>271792.236659156</v>
      </c>
      <c r="F28" s="87">
        <f t="shared" si="12"/>
        <v>271792.236659156</v>
      </c>
      <c r="G28" s="86">
        <f t="shared" si="8"/>
        <v>815376.709977468</v>
      </c>
      <c r="H28" s="126">
        <v>3617334.3</v>
      </c>
      <c r="I28" s="90">
        <f t="shared" si="9"/>
        <v>815376.709977468</v>
      </c>
    </row>
    <row r="29" s="12" customFormat="1" ht="12" spans="1:9">
      <c r="A29" s="52"/>
      <c r="B29" s="60" t="s">
        <v>140</v>
      </c>
      <c r="C29" s="59">
        <v>1962762.55632446</v>
      </c>
      <c r="D29" s="87">
        <f t="shared" si="10"/>
        <v>218084.728480496</v>
      </c>
      <c r="E29" s="87">
        <f t="shared" si="11"/>
        <v>218084.728480496</v>
      </c>
      <c r="F29" s="87">
        <f t="shared" si="12"/>
        <v>218084.728480496</v>
      </c>
      <c r="G29" s="86">
        <f t="shared" si="8"/>
        <v>654254.185441488</v>
      </c>
      <c r="H29" s="124"/>
      <c r="I29" s="90">
        <f t="shared" si="9"/>
        <v>654254.185441488</v>
      </c>
    </row>
    <row r="30" s="12" customFormat="1" ht="12" spans="1:9">
      <c r="A30" s="52"/>
      <c r="B30" s="60" t="s">
        <v>141</v>
      </c>
      <c r="C30" s="59">
        <v>2372257.55871184</v>
      </c>
      <c r="D30" s="87">
        <f t="shared" si="10"/>
        <v>263584.173190204</v>
      </c>
      <c r="E30" s="87">
        <f t="shared" si="11"/>
        <v>263584.173190204</v>
      </c>
      <c r="F30" s="87">
        <f t="shared" si="12"/>
        <v>263584.173190204</v>
      </c>
      <c r="G30" s="86">
        <f t="shared" si="8"/>
        <v>790752.519570613</v>
      </c>
      <c r="H30" s="124"/>
      <c r="I30" s="90">
        <f t="shared" si="9"/>
        <v>790752.519570613</v>
      </c>
    </row>
    <row r="31" s="12" customFormat="1" ht="12" spans="1:9">
      <c r="A31" s="52"/>
      <c r="B31" s="61" t="s">
        <v>142</v>
      </c>
      <c r="C31" s="59">
        <v>57705964.7557737</v>
      </c>
      <c r="D31" s="87">
        <f>制造费用2019!$G$15</f>
        <v>5377854.40458275</v>
      </c>
      <c r="E31" s="87">
        <f>制造费用2019!$G$15</f>
        <v>5377854.40458275</v>
      </c>
      <c r="F31" s="87">
        <f>制造费用2019!$G$15</f>
        <v>5377854.40458275</v>
      </c>
      <c r="G31" s="86">
        <f t="shared" si="8"/>
        <v>16133563.2137483</v>
      </c>
      <c r="H31" s="124"/>
      <c r="I31" s="90">
        <f t="shared" si="9"/>
        <v>16133563.2137483</v>
      </c>
    </row>
    <row r="32" s="12" customFormat="1" ht="12" spans="1:9">
      <c r="A32" s="52"/>
      <c r="B32" s="61" t="s">
        <v>143</v>
      </c>
      <c r="C32" s="59">
        <v>172272.734296573</v>
      </c>
      <c r="D32" s="87">
        <f t="shared" si="10"/>
        <v>19141.4149218414</v>
      </c>
      <c r="E32" s="87">
        <f t="shared" si="11"/>
        <v>19141.4149218414</v>
      </c>
      <c r="F32" s="87">
        <f t="shared" si="12"/>
        <v>19141.4149218414</v>
      </c>
      <c r="G32" s="86">
        <f t="shared" si="8"/>
        <v>57424.2447655243</v>
      </c>
      <c r="H32" s="124"/>
      <c r="I32" s="90">
        <f t="shared" si="9"/>
        <v>57424.2447655243</v>
      </c>
    </row>
    <row r="33" s="15" customFormat="1" ht="12" spans="1:9">
      <c r="A33" s="56"/>
      <c r="B33" s="62" t="s">
        <v>5</v>
      </c>
      <c r="C33" s="63">
        <f>SUM(C19:C32)</f>
        <v>1392115427.36044</v>
      </c>
      <c r="D33" s="63">
        <f t="shared" ref="D33:G33" si="13">SUM(D19:D32)</f>
        <v>185545382.361829</v>
      </c>
      <c r="E33" s="63">
        <f t="shared" si="13"/>
        <v>179813178.361829</v>
      </c>
      <c r="F33" s="63">
        <f t="shared" si="13"/>
        <v>185545382.361829</v>
      </c>
      <c r="G33" s="63">
        <f t="shared" si="13"/>
        <v>550903943.085487</v>
      </c>
      <c r="H33" s="127">
        <f>I33/制造费用2019!B15</f>
        <v>1726.92615451288</v>
      </c>
      <c r="I33" s="92">
        <f>SUM(I19:I32)+H28*3</f>
        <v>501085998.226195</v>
      </c>
    </row>
    <row r="34" spans="1:9">
      <c r="A34" s="64" t="s">
        <v>144</v>
      </c>
      <c r="B34" s="68" t="s">
        <v>145</v>
      </c>
      <c r="C34" s="66">
        <v>455593.41</v>
      </c>
      <c r="D34" s="88">
        <f>$C$34/9+蒸汽动力2019!$F$11</f>
        <v>51627.5079671679</v>
      </c>
      <c r="E34" s="88">
        <f>$C$34/9+蒸汽动力2019!$F$11</f>
        <v>51627.5079671679</v>
      </c>
      <c r="F34" s="88">
        <f>$C$34/9+蒸汽动力2019!$F$11</f>
        <v>51627.5079671679</v>
      </c>
      <c r="G34" s="86">
        <f>SUM(D34:F34)</f>
        <v>154882.523901504</v>
      </c>
      <c r="I34" s="93">
        <f>G34</f>
        <v>154882.523901504</v>
      </c>
    </row>
    <row r="35" spans="1:9">
      <c r="A35" s="67"/>
      <c r="B35" s="68" t="s">
        <v>146</v>
      </c>
      <c r="C35" s="66">
        <v>48672.57</v>
      </c>
      <c r="D35" s="88">
        <f t="shared" ref="D35:D41" si="14">C35/9</f>
        <v>5408.06333333333</v>
      </c>
      <c r="E35" s="88">
        <f t="shared" ref="E35:E41" si="15">C35/9</f>
        <v>5408.06333333333</v>
      </c>
      <c r="F35" s="88">
        <f t="shared" ref="F35:F41" si="16">C35/9</f>
        <v>5408.06333333333</v>
      </c>
      <c r="G35" s="86">
        <f t="shared" si="8"/>
        <v>16224.19</v>
      </c>
      <c r="I35" s="93">
        <f t="shared" ref="I35:I41" si="17">G35</f>
        <v>16224.19</v>
      </c>
    </row>
    <row r="36" spans="1:9">
      <c r="A36" s="67"/>
      <c r="B36" s="68" t="s">
        <v>147</v>
      </c>
      <c r="C36" s="66">
        <v>485393</v>
      </c>
      <c r="D36" s="88">
        <f t="shared" si="14"/>
        <v>53932.5555555556</v>
      </c>
      <c r="E36" s="88">
        <f t="shared" si="15"/>
        <v>53932.5555555556</v>
      </c>
      <c r="F36" s="88">
        <f t="shared" si="16"/>
        <v>53932.5555555556</v>
      </c>
      <c r="G36" s="86">
        <f t="shared" si="8"/>
        <v>161797.666666667</v>
      </c>
      <c r="I36" s="93">
        <f t="shared" si="17"/>
        <v>161797.666666667</v>
      </c>
    </row>
    <row r="37" spans="1:9">
      <c r="A37" s="67"/>
      <c r="B37" s="68" t="s">
        <v>139</v>
      </c>
      <c r="C37" s="66">
        <v>124550.94</v>
      </c>
      <c r="D37" s="88">
        <f t="shared" si="14"/>
        <v>13838.9933333333</v>
      </c>
      <c r="E37" s="88">
        <f t="shared" si="15"/>
        <v>13838.9933333333</v>
      </c>
      <c r="F37" s="88">
        <f t="shared" si="16"/>
        <v>13838.9933333333</v>
      </c>
      <c r="G37" s="86">
        <f t="shared" si="8"/>
        <v>41516.98</v>
      </c>
      <c r="I37" s="93">
        <f t="shared" si="17"/>
        <v>41516.98</v>
      </c>
    </row>
    <row r="38" spans="1:9">
      <c r="A38" s="67"/>
      <c r="B38" s="68" t="s">
        <v>140</v>
      </c>
      <c r="C38" s="66">
        <v>1049.6</v>
      </c>
      <c r="D38" s="88">
        <f t="shared" si="14"/>
        <v>116.622222222222</v>
      </c>
      <c r="E38" s="88">
        <f t="shared" si="15"/>
        <v>116.622222222222</v>
      </c>
      <c r="F38" s="88">
        <f t="shared" si="16"/>
        <v>116.622222222222</v>
      </c>
      <c r="G38" s="86">
        <f t="shared" si="8"/>
        <v>349.866666666667</v>
      </c>
      <c r="H38" s="123">
        <v>19860.46</v>
      </c>
      <c r="I38" s="93">
        <f t="shared" si="17"/>
        <v>349.866666666667</v>
      </c>
    </row>
    <row r="39" spans="1:9">
      <c r="A39" s="67"/>
      <c r="B39" s="68" t="s">
        <v>141</v>
      </c>
      <c r="C39" s="66">
        <v>158480.37</v>
      </c>
      <c r="D39" s="88">
        <f t="shared" si="14"/>
        <v>17608.93</v>
      </c>
      <c r="E39" s="88">
        <f t="shared" si="15"/>
        <v>17608.93</v>
      </c>
      <c r="F39" s="88">
        <f t="shared" si="16"/>
        <v>17608.93</v>
      </c>
      <c r="G39" s="86">
        <f t="shared" si="8"/>
        <v>52826.79</v>
      </c>
      <c r="I39" s="93">
        <f t="shared" si="17"/>
        <v>52826.79</v>
      </c>
    </row>
    <row r="40" spans="1:9">
      <c r="A40" s="67"/>
      <c r="B40" s="68" t="s">
        <v>142</v>
      </c>
      <c r="C40" s="66">
        <v>1699267.27</v>
      </c>
      <c r="D40" s="88">
        <f>制造费用2019!$G$16</f>
        <v>100520.920146399</v>
      </c>
      <c r="E40" s="88">
        <f>制造费用2019!$G$16</f>
        <v>100520.920146399</v>
      </c>
      <c r="F40" s="88">
        <f>制造费用2019!$G$16</f>
        <v>100520.920146399</v>
      </c>
      <c r="G40" s="86">
        <f t="shared" si="8"/>
        <v>301562.760439198</v>
      </c>
      <c r="I40" s="93">
        <f t="shared" si="17"/>
        <v>301562.760439198</v>
      </c>
    </row>
    <row r="41" spans="1:9">
      <c r="A41" s="67"/>
      <c r="B41" s="68" t="s">
        <v>133</v>
      </c>
      <c r="C41" s="66">
        <v>2979.12</v>
      </c>
      <c r="D41" s="88">
        <f t="shared" si="14"/>
        <v>331.013333333333</v>
      </c>
      <c r="E41" s="88">
        <f t="shared" si="15"/>
        <v>331.013333333333</v>
      </c>
      <c r="F41" s="88">
        <f t="shared" si="16"/>
        <v>331.013333333333</v>
      </c>
      <c r="G41" s="86">
        <f t="shared" si="8"/>
        <v>993.04</v>
      </c>
      <c r="I41" s="93">
        <f t="shared" si="17"/>
        <v>993.04</v>
      </c>
    </row>
    <row r="42" s="46" customFormat="1" spans="1:9">
      <c r="A42" s="67"/>
      <c r="B42" s="70" t="s">
        <v>148</v>
      </c>
      <c r="C42" s="71">
        <f>SUM(C34:C41)</f>
        <v>2975986.28</v>
      </c>
      <c r="D42" s="71">
        <f>SUM(D34:D41)</f>
        <v>243384.605891345</v>
      </c>
      <c r="E42" s="71">
        <f t="shared" ref="E42:G42" si="18">SUM(E34:E41)</f>
        <v>243384.605891345</v>
      </c>
      <c r="F42" s="71">
        <f t="shared" si="18"/>
        <v>243384.605891345</v>
      </c>
      <c r="G42" s="71">
        <f t="shared" si="18"/>
        <v>730153.817674035</v>
      </c>
      <c r="H42" s="128">
        <f>I42/制造费用2019!B16</f>
        <v>188.509747950531</v>
      </c>
      <c r="I42" s="95">
        <f>SUM(I34:I41)+H38*3</f>
        <v>789735.197674035</v>
      </c>
    </row>
    <row r="43" customFormat="1" spans="1:9">
      <c r="A43" s="72" t="s">
        <v>149</v>
      </c>
      <c r="B43" s="60" t="s">
        <v>145</v>
      </c>
      <c r="C43" s="51">
        <v>633745.96</v>
      </c>
      <c r="D43" s="88">
        <f>$C$43/9+蒸汽动力2019!$F$12</f>
        <v>71617.1960716456</v>
      </c>
      <c r="E43" s="88">
        <f>$C$43/9+蒸汽动力2019!$F$12</f>
        <v>71617.1960716456</v>
      </c>
      <c r="F43" s="88">
        <f>$C$43/9+蒸汽动力2019!$F$12</f>
        <v>71617.1960716456</v>
      </c>
      <c r="G43" s="86">
        <f t="shared" si="8"/>
        <v>214851.588214937</v>
      </c>
      <c r="H43" s="123"/>
      <c r="I43" s="93">
        <f>G43</f>
        <v>214851.588214937</v>
      </c>
    </row>
    <row r="44" customFormat="1" spans="1:9">
      <c r="A44" s="74"/>
      <c r="B44" s="60" t="s">
        <v>147</v>
      </c>
      <c r="C44" s="51">
        <v>717363</v>
      </c>
      <c r="D44" s="88">
        <f t="shared" ref="D44:D49" si="19">C44/9</f>
        <v>79707</v>
      </c>
      <c r="E44" s="88">
        <f t="shared" ref="E44:E49" si="20">C44/9</f>
        <v>79707</v>
      </c>
      <c r="F44" s="88">
        <f t="shared" ref="F44:F49" si="21">C44/9</f>
        <v>79707</v>
      </c>
      <c r="G44" s="86">
        <f t="shared" si="8"/>
        <v>239121</v>
      </c>
      <c r="H44" s="123"/>
      <c r="I44" s="93">
        <f t="shared" ref="I44:I49" si="22">G44</f>
        <v>239121</v>
      </c>
    </row>
    <row r="45" customFormat="1" spans="1:9">
      <c r="A45" s="74"/>
      <c r="B45" s="61" t="s">
        <v>139</v>
      </c>
      <c r="C45" s="51">
        <v>199155</v>
      </c>
      <c r="D45" s="88">
        <f t="shared" si="19"/>
        <v>22128.3333333333</v>
      </c>
      <c r="E45" s="88">
        <f t="shared" si="20"/>
        <v>22128.3333333333</v>
      </c>
      <c r="F45" s="88">
        <f t="shared" si="21"/>
        <v>22128.3333333333</v>
      </c>
      <c r="G45" s="86">
        <f t="shared" si="8"/>
        <v>66385</v>
      </c>
      <c r="H45" s="123"/>
      <c r="I45" s="93">
        <f t="shared" si="22"/>
        <v>66385</v>
      </c>
    </row>
    <row r="46" customFormat="1" spans="1:9">
      <c r="A46" s="74"/>
      <c r="B46" s="60" t="s">
        <v>140</v>
      </c>
      <c r="C46" s="51">
        <v>25833.47</v>
      </c>
      <c r="D46" s="88">
        <f t="shared" si="19"/>
        <v>2870.38555555556</v>
      </c>
      <c r="E46" s="88">
        <f t="shared" si="20"/>
        <v>2870.38555555556</v>
      </c>
      <c r="F46" s="88">
        <f t="shared" si="21"/>
        <v>2870.38555555556</v>
      </c>
      <c r="G46" s="86">
        <f t="shared" si="8"/>
        <v>8611.15666666667</v>
      </c>
      <c r="H46" s="123"/>
      <c r="I46" s="93">
        <f t="shared" si="22"/>
        <v>8611.15666666667</v>
      </c>
    </row>
    <row r="47" customFormat="1" spans="1:9">
      <c r="A47" s="74"/>
      <c r="B47" s="61" t="s">
        <v>141</v>
      </c>
      <c r="C47" s="51">
        <v>248584.75</v>
      </c>
      <c r="D47" s="88">
        <f t="shared" si="19"/>
        <v>27620.5277777778</v>
      </c>
      <c r="E47" s="88">
        <f t="shared" si="20"/>
        <v>27620.5277777778</v>
      </c>
      <c r="F47" s="88">
        <f t="shared" si="21"/>
        <v>27620.5277777778</v>
      </c>
      <c r="G47" s="86">
        <f t="shared" si="8"/>
        <v>82861.5833333333</v>
      </c>
      <c r="H47" s="123"/>
      <c r="I47" s="93">
        <f t="shared" si="22"/>
        <v>82861.5833333333</v>
      </c>
    </row>
    <row r="48" customFormat="1" spans="1:9">
      <c r="A48" s="74"/>
      <c r="B48" s="61" t="s">
        <v>142</v>
      </c>
      <c r="C48" s="51">
        <v>2989255.11</v>
      </c>
      <c r="D48" s="88">
        <f>制造费用2019!$G$17</f>
        <v>245671.788993962</v>
      </c>
      <c r="E48" s="88">
        <f>制造费用2019!$G$17</f>
        <v>245671.788993962</v>
      </c>
      <c r="F48" s="88">
        <f>制造费用2019!$G$17</f>
        <v>245671.788993962</v>
      </c>
      <c r="G48" s="86">
        <f t="shared" si="8"/>
        <v>737015.366981886</v>
      </c>
      <c r="H48" s="123">
        <v>341398.29</v>
      </c>
      <c r="I48" s="93">
        <f t="shared" si="22"/>
        <v>737015.366981886</v>
      </c>
    </row>
    <row r="49" customFormat="1" spans="1:9">
      <c r="A49" s="74"/>
      <c r="B49" s="61" t="s">
        <v>133</v>
      </c>
      <c r="C49" s="51">
        <v>4892.27</v>
      </c>
      <c r="D49" s="88">
        <f t="shared" si="19"/>
        <v>543.585555555556</v>
      </c>
      <c r="E49" s="88">
        <f t="shared" si="20"/>
        <v>543.585555555556</v>
      </c>
      <c r="F49" s="88">
        <f t="shared" si="21"/>
        <v>543.585555555556</v>
      </c>
      <c r="G49" s="86">
        <f t="shared" si="8"/>
        <v>1630.75666666667</v>
      </c>
      <c r="H49" s="123"/>
      <c r="I49" s="93">
        <f t="shared" si="22"/>
        <v>1630.75666666667</v>
      </c>
    </row>
    <row r="50" s="46" customFormat="1" spans="1:9">
      <c r="A50" s="74"/>
      <c r="B50" s="76" t="s">
        <v>148</v>
      </c>
      <c r="C50" s="58">
        <f>SUM(C43:C49)</f>
        <v>4818829.56</v>
      </c>
      <c r="D50" s="58">
        <f t="shared" ref="D50:F50" si="23">SUM(D43:D49)</f>
        <v>450158.81728783</v>
      </c>
      <c r="E50" s="58">
        <f t="shared" si="23"/>
        <v>450158.81728783</v>
      </c>
      <c r="F50" s="58">
        <f t="shared" si="23"/>
        <v>450158.81728783</v>
      </c>
      <c r="G50" s="86">
        <f t="shared" si="8"/>
        <v>1350476.45186349</v>
      </c>
      <c r="H50" s="128">
        <f>I50/制造费用2019!B17</f>
        <v>231.9300345417</v>
      </c>
      <c r="I50" s="95">
        <f>SUM(I43:I49)+H48*3</f>
        <v>2374671.32186349</v>
      </c>
    </row>
    <row r="51" spans="1:9">
      <c r="A51" s="64" t="s">
        <v>150</v>
      </c>
      <c r="B51" s="79" t="s">
        <v>151</v>
      </c>
      <c r="C51" s="66">
        <v>1705220.62</v>
      </c>
      <c r="D51" s="129">
        <f>'2019回款及耗煤量'!K33</f>
        <v>154683.616506</v>
      </c>
      <c r="E51" s="129">
        <f>'2019回款及耗煤量'!L33</f>
        <v>117465.047874</v>
      </c>
      <c r="F51" s="129">
        <f>'2019回款及耗煤量'!M33</f>
        <v>88084.11585</v>
      </c>
      <c r="G51" s="86">
        <f t="shared" si="8"/>
        <v>360232.78023</v>
      </c>
      <c r="I51" s="93">
        <f>G51/1.13</f>
        <v>318790.071</v>
      </c>
    </row>
    <row r="52" spans="1:9">
      <c r="A52" s="67"/>
      <c r="B52" s="79" t="s">
        <v>145</v>
      </c>
      <c r="C52" s="66">
        <v>1102128.65</v>
      </c>
      <c r="D52" s="88">
        <f>$C$52/9+蒸汽动力2019!$F$13</f>
        <v>124968.833927053</v>
      </c>
      <c r="E52" s="88">
        <f>$C$52/9+蒸汽动力2019!$F$13</f>
        <v>124968.833927053</v>
      </c>
      <c r="F52" s="88">
        <f>$C$52/9+蒸汽动力2019!$F$13</f>
        <v>124968.833927053</v>
      </c>
      <c r="G52" s="86">
        <f t="shared" si="8"/>
        <v>374906.501781158</v>
      </c>
      <c r="I52" s="93">
        <f>G52</f>
        <v>374906.501781158</v>
      </c>
    </row>
    <row r="53" spans="1:9">
      <c r="A53" s="67"/>
      <c r="B53" s="79" t="s">
        <v>146</v>
      </c>
      <c r="C53" s="66">
        <v>9883.96</v>
      </c>
      <c r="D53" s="88">
        <f t="shared" ref="D53:D59" si="24">C53/9</f>
        <v>1098.21777777778</v>
      </c>
      <c r="E53" s="88">
        <f t="shared" ref="E53:E59" si="25">C53/9</f>
        <v>1098.21777777778</v>
      </c>
      <c r="F53" s="88">
        <f t="shared" ref="F53:F59" si="26">C53/9</f>
        <v>1098.21777777778</v>
      </c>
      <c r="G53" s="86">
        <f t="shared" si="8"/>
        <v>3294.65333333333</v>
      </c>
      <c r="I53" s="93">
        <f t="shared" ref="I53:I59" si="27">G53</f>
        <v>3294.65333333333</v>
      </c>
    </row>
    <row r="54" spans="1:9">
      <c r="A54" s="67"/>
      <c r="B54" s="79" t="s">
        <v>147</v>
      </c>
      <c r="C54" s="66">
        <v>485393</v>
      </c>
      <c r="D54" s="88">
        <f t="shared" si="24"/>
        <v>53932.5555555556</v>
      </c>
      <c r="E54" s="88">
        <f t="shared" si="25"/>
        <v>53932.5555555556</v>
      </c>
      <c r="F54" s="88">
        <f t="shared" si="26"/>
        <v>53932.5555555556</v>
      </c>
      <c r="G54" s="86">
        <f t="shared" si="8"/>
        <v>161797.666666667</v>
      </c>
      <c r="H54" s="123">
        <v>24576.45</v>
      </c>
      <c r="I54" s="93">
        <f t="shared" si="27"/>
        <v>161797.666666667</v>
      </c>
    </row>
    <row r="55" spans="1:9">
      <c r="A55" s="67"/>
      <c r="B55" s="80" t="s">
        <v>139</v>
      </c>
      <c r="C55" s="66">
        <v>123866.28</v>
      </c>
      <c r="D55" s="88">
        <f t="shared" si="24"/>
        <v>13762.92</v>
      </c>
      <c r="E55" s="88">
        <f t="shared" si="25"/>
        <v>13762.92</v>
      </c>
      <c r="F55" s="88">
        <f t="shared" si="26"/>
        <v>13762.92</v>
      </c>
      <c r="G55" s="86">
        <f t="shared" si="8"/>
        <v>41288.76</v>
      </c>
      <c r="I55" s="93">
        <f t="shared" si="27"/>
        <v>41288.76</v>
      </c>
    </row>
    <row r="56" spans="1:9">
      <c r="A56" s="67"/>
      <c r="B56" s="79" t="s">
        <v>140</v>
      </c>
      <c r="C56" s="66">
        <v>81533.83</v>
      </c>
      <c r="D56" s="88">
        <f t="shared" si="24"/>
        <v>9059.31444444444</v>
      </c>
      <c r="E56" s="88">
        <f t="shared" si="25"/>
        <v>9059.31444444444</v>
      </c>
      <c r="F56" s="88">
        <f t="shared" si="26"/>
        <v>9059.31444444444</v>
      </c>
      <c r="G56" s="86">
        <f t="shared" si="8"/>
        <v>27177.9433333333</v>
      </c>
      <c r="I56" s="93">
        <f t="shared" si="27"/>
        <v>27177.9433333333</v>
      </c>
    </row>
    <row r="57" spans="1:9">
      <c r="A57" s="67"/>
      <c r="B57" s="79" t="s">
        <v>141</v>
      </c>
      <c r="C57" s="66">
        <v>64882.11</v>
      </c>
      <c r="D57" s="88">
        <f t="shared" si="24"/>
        <v>7209.12333333333</v>
      </c>
      <c r="E57" s="88">
        <f t="shared" si="25"/>
        <v>7209.12333333333</v>
      </c>
      <c r="F57" s="88">
        <f t="shared" si="26"/>
        <v>7209.12333333333</v>
      </c>
      <c r="G57" s="86">
        <f t="shared" si="8"/>
        <v>21627.37</v>
      </c>
      <c r="I57" s="93">
        <f t="shared" si="27"/>
        <v>21627.37</v>
      </c>
    </row>
    <row r="58" spans="1:9">
      <c r="A58" s="67"/>
      <c r="B58" s="80" t="s">
        <v>142</v>
      </c>
      <c r="C58" s="66">
        <v>762427.27</v>
      </c>
      <c r="D58" s="88">
        <f>制造费用2019!$G$18</f>
        <v>57418.2256909053</v>
      </c>
      <c r="E58" s="88">
        <f>制造费用2019!$G$18</f>
        <v>57418.2256909053</v>
      </c>
      <c r="F58" s="88">
        <f>制造费用2019!$G$18</f>
        <v>57418.2256909053</v>
      </c>
      <c r="G58" s="86">
        <f t="shared" si="8"/>
        <v>172254.677072716</v>
      </c>
      <c r="I58" s="93">
        <f t="shared" si="27"/>
        <v>172254.677072716</v>
      </c>
    </row>
    <row r="59" spans="1:9">
      <c r="A59" s="67"/>
      <c r="B59" s="80" t="s">
        <v>152</v>
      </c>
      <c r="C59" s="66">
        <v>3995.58</v>
      </c>
      <c r="D59" s="88">
        <f t="shared" si="24"/>
        <v>443.953333333333</v>
      </c>
      <c r="E59" s="88">
        <f t="shared" si="25"/>
        <v>443.953333333333</v>
      </c>
      <c r="F59" s="88">
        <f t="shared" si="26"/>
        <v>443.953333333333</v>
      </c>
      <c r="G59" s="86">
        <f t="shared" si="8"/>
        <v>1331.86</v>
      </c>
      <c r="I59" s="93">
        <f t="shared" si="27"/>
        <v>1331.86</v>
      </c>
    </row>
    <row r="60" s="46" customFormat="1" spans="1:9">
      <c r="A60" s="67"/>
      <c r="B60" s="82" t="s">
        <v>148</v>
      </c>
      <c r="C60" s="71">
        <f>SUM(C51:C59)</f>
        <v>4339331.3</v>
      </c>
      <c r="D60" s="71">
        <f t="shared" ref="D60:F60" si="28">SUM(D51:D59)</f>
        <v>422576.760568402</v>
      </c>
      <c r="E60" s="71">
        <f t="shared" si="28"/>
        <v>385358.191936402</v>
      </c>
      <c r="F60" s="71">
        <f t="shared" si="28"/>
        <v>355977.259912402</v>
      </c>
      <c r="G60" s="86">
        <f t="shared" si="8"/>
        <v>1163912.21241721</v>
      </c>
      <c r="H60" s="128">
        <f>I60/制造费用2019!B18</f>
        <v>847.196326489754</v>
      </c>
      <c r="I60" s="95">
        <f>SUM(I51:I59)+H54*3</f>
        <v>1196198.85318721</v>
      </c>
    </row>
    <row r="61" customFormat="1" spans="1:9">
      <c r="A61" s="72" t="s">
        <v>153</v>
      </c>
      <c r="B61" s="60" t="s">
        <v>151</v>
      </c>
      <c r="C61" s="51">
        <v>1260926.12</v>
      </c>
      <c r="D61" s="88">
        <f>'2019回款及耗煤量'!K34</f>
        <v>183976.577917</v>
      </c>
      <c r="E61" s="88">
        <f>'2019回款及耗煤量'!L34</f>
        <v>178040.855496</v>
      </c>
      <c r="F61" s="88">
        <f>'2019回款及耗煤量'!M34</f>
        <v>183976.577917</v>
      </c>
      <c r="G61" s="86">
        <f t="shared" si="8"/>
        <v>545994.01133</v>
      </c>
      <c r="H61" s="123"/>
      <c r="I61" s="93">
        <f>G61/1.13</f>
        <v>483180.541</v>
      </c>
    </row>
    <row r="62" customFormat="1" spans="1:9">
      <c r="A62" s="74"/>
      <c r="B62" s="60" t="s">
        <v>145</v>
      </c>
      <c r="C62" s="51">
        <v>1619771.99</v>
      </c>
      <c r="D62" s="88">
        <f>$C$62/9+蒸汽动力2019!$F$14</f>
        <v>183169.728759809</v>
      </c>
      <c r="E62" s="88">
        <f>$C$62/9+蒸汽动力2019!$F$14</f>
        <v>183169.728759809</v>
      </c>
      <c r="F62" s="88">
        <f>$C$62/9+蒸汽动力2019!$F$14</f>
        <v>183169.728759809</v>
      </c>
      <c r="G62" s="86">
        <f t="shared" si="8"/>
        <v>549509.186279427</v>
      </c>
      <c r="H62" s="123"/>
      <c r="I62" s="93">
        <f>G62</f>
        <v>549509.186279427</v>
      </c>
    </row>
    <row r="63" customFormat="1" spans="1:9">
      <c r="A63" s="74"/>
      <c r="B63" s="60" t="s">
        <v>147</v>
      </c>
      <c r="C63" s="51">
        <v>573892</v>
      </c>
      <c r="D63" s="88">
        <f>C63/9</f>
        <v>63765.7777777778</v>
      </c>
      <c r="E63" s="88">
        <f>C63/9</f>
        <v>63765.7777777778</v>
      </c>
      <c r="F63" s="88">
        <f>C63/9</f>
        <v>63765.7777777778</v>
      </c>
      <c r="G63" s="86">
        <f t="shared" si="8"/>
        <v>191297.333333333</v>
      </c>
      <c r="H63" s="123"/>
      <c r="I63" s="93">
        <f t="shared" ref="I63:I66" si="29">G63</f>
        <v>191297.333333333</v>
      </c>
    </row>
    <row r="64" customFormat="1" spans="1:9">
      <c r="A64" s="74"/>
      <c r="B64" s="61" t="s">
        <v>139</v>
      </c>
      <c r="C64" s="51">
        <v>159326</v>
      </c>
      <c r="D64" s="88">
        <f>C64/9</f>
        <v>17702.8888888889</v>
      </c>
      <c r="E64" s="88">
        <f>C64/9</f>
        <v>17702.8888888889</v>
      </c>
      <c r="F64" s="88">
        <f>C64/9</f>
        <v>17702.8888888889</v>
      </c>
      <c r="G64" s="86">
        <f t="shared" si="8"/>
        <v>53108.6666666667</v>
      </c>
      <c r="H64" s="123"/>
      <c r="I64" s="93">
        <f t="shared" si="29"/>
        <v>53108.6666666667</v>
      </c>
    </row>
    <row r="65" customFormat="1" spans="1:9">
      <c r="A65" s="74"/>
      <c r="B65" s="60" t="s">
        <v>141</v>
      </c>
      <c r="C65" s="51">
        <v>597507</v>
      </c>
      <c r="D65" s="88">
        <f>C65/9</f>
        <v>66389.6666666667</v>
      </c>
      <c r="E65" s="88">
        <f>C65/9</f>
        <v>66389.6666666667</v>
      </c>
      <c r="F65" s="88">
        <f>C65/9</f>
        <v>66389.6666666667</v>
      </c>
      <c r="G65" s="86">
        <f t="shared" si="8"/>
        <v>199169</v>
      </c>
      <c r="H65" s="123">
        <v>159379.5</v>
      </c>
      <c r="I65" s="93">
        <f t="shared" si="29"/>
        <v>199169</v>
      </c>
    </row>
    <row r="66" customFormat="1" spans="1:9">
      <c r="A66" s="74"/>
      <c r="B66" s="61" t="s">
        <v>142</v>
      </c>
      <c r="C66" s="51">
        <v>1304629.44</v>
      </c>
      <c r="D66" s="88">
        <f>制造费用2019!$G$19</f>
        <v>129687.64017909</v>
      </c>
      <c r="E66" s="88">
        <f>制造费用2019!$G$19</f>
        <v>129687.64017909</v>
      </c>
      <c r="F66" s="88">
        <f>制造费用2019!$G$19</f>
        <v>129687.64017909</v>
      </c>
      <c r="G66" s="86">
        <f t="shared" si="8"/>
        <v>389062.92053727</v>
      </c>
      <c r="H66" s="123"/>
      <c r="I66" s="93">
        <f t="shared" si="29"/>
        <v>389062.92053727</v>
      </c>
    </row>
    <row r="67" s="46" customFormat="1" spans="1:9">
      <c r="A67" s="74"/>
      <c r="B67" s="76" t="s">
        <v>148</v>
      </c>
      <c r="C67" s="58">
        <f>SUM(C61:C66)</f>
        <v>5516052.55</v>
      </c>
      <c r="D67" s="58">
        <f t="shared" ref="D67:F67" si="30">SUM(D61:D66)</f>
        <v>644692.280189232</v>
      </c>
      <c r="E67" s="58">
        <f t="shared" si="30"/>
        <v>638756.557768232</v>
      </c>
      <c r="F67" s="58">
        <f t="shared" si="30"/>
        <v>644692.280189232</v>
      </c>
      <c r="G67" s="86">
        <f t="shared" si="8"/>
        <v>1928141.1181467</v>
      </c>
      <c r="H67" s="128">
        <f>I67/制造费用2019!B19</f>
        <v>734.83620702289</v>
      </c>
      <c r="I67" s="95">
        <f>SUM(I61:I66)+H65*3</f>
        <v>2343466.1478167</v>
      </c>
    </row>
    <row r="68" spans="1:9">
      <c r="A68" s="64" t="s">
        <v>154</v>
      </c>
      <c r="B68" s="79" t="s">
        <v>155</v>
      </c>
      <c r="C68" s="66">
        <v>1506080.65</v>
      </c>
      <c r="D68" s="88">
        <f>'2019回款及耗煤量'!K35</f>
        <v>208515.775889</v>
      </c>
      <c r="E68" s="88">
        <f>'2019回款及耗煤量'!L35</f>
        <v>158347.491894</v>
      </c>
      <c r="F68" s="88">
        <f>'2019回款及耗煤量'!M35</f>
        <v>118738.108473</v>
      </c>
      <c r="G68" s="86">
        <f t="shared" si="8"/>
        <v>485601.376256</v>
      </c>
      <c r="I68" s="93">
        <f>G68/1.13</f>
        <v>429735.7312</v>
      </c>
    </row>
    <row r="69" spans="1:9">
      <c r="A69" s="67"/>
      <c r="B69" s="79" t="s">
        <v>145</v>
      </c>
      <c r="C69" s="66">
        <v>537088.99</v>
      </c>
      <c r="D69" s="88">
        <f>$C$69/9+蒸汽动力2019!$F$15</f>
        <v>60900.1786233752</v>
      </c>
      <c r="E69" s="88">
        <f>$C$69/9+蒸汽动力2019!$F$15</f>
        <v>60900.1786233752</v>
      </c>
      <c r="F69" s="88">
        <f>$C$69/9+蒸汽动力2019!$F$15</f>
        <v>60900.1786233752</v>
      </c>
      <c r="G69" s="86">
        <f t="shared" si="8"/>
        <v>182700.535870126</v>
      </c>
      <c r="I69" s="93">
        <f>G69</f>
        <v>182700.535870126</v>
      </c>
    </row>
    <row r="70" spans="1:9">
      <c r="A70" s="67"/>
      <c r="B70" s="79" t="s">
        <v>146</v>
      </c>
      <c r="C70" s="66">
        <v>24414.4</v>
      </c>
      <c r="D70" s="88">
        <f t="shared" ref="D70:D74" si="31">C70/9</f>
        <v>2712.71111111111</v>
      </c>
      <c r="E70" s="88">
        <f t="shared" ref="E70:E74" si="32">C70/9</f>
        <v>2712.71111111111</v>
      </c>
      <c r="F70" s="88">
        <f t="shared" ref="F70:F74" si="33">C70/9</f>
        <v>2712.71111111111</v>
      </c>
      <c r="G70" s="86">
        <f t="shared" si="8"/>
        <v>8138.13333333333</v>
      </c>
      <c r="I70" s="93">
        <f t="shared" ref="I70:I75" si="34">G70</f>
        <v>8138.13333333333</v>
      </c>
    </row>
    <row r="71" spans="1:9">
      <c r="A71" s="67"/>
      <c r="B71" s="79" t="s">
        <v>147</v>
      </c>
      <c r="C71" s="96">
        <v>582475</v>
      </c>
      <c r="D71" s="88">
        <f t="shared" si="31"/>
        <v>64719.4444444444</v>
      </c>
      <c r="E71" s="88">
        <f t="shared" si="32"/>
        <v>64719.4444444444</v>
      </c>
      <c r="F71" s="88">
        <f t="shared" si="33"/>
        <v>64719.4444444444</v>
      </c>
      <c r="G71" s="86">
        <f t="shared" si="8"/>
        <v>194158.333333333</v>
      </c>
      <c r="I71" s="93">
        <f t="shared" si="34"/>
        <v>194158.333333333</v>
      </c>
    </row>
    <row r="72" spans="1:9">
      <c r="A72" s="67"/>
      <c r="B72" s="80" t="s">
        <v>139</v>
      </c>
      <c r="C72" s="66">
        <v>149956</v>
      </c>
      <c r="D72" s="88">
        <f t="shared" si="31"/>
        <v>16661.7777777778</v>
      </c>
      <c r="E72" s="88">
        <f t="shared" si="32"/>
        <v>16661.7777777778</v>
      </c>
      <c r="F72" s="88">
        <f t="shared" si="33"/>
        <v>16661.7777777778</v>
      </c>
      <c r="G72" s="86">
        <f t="shared" si="8"/>
        <v>49985.3333333333</v>
      </c>
      <c r="I72" s="93">
        <f t="shared" si="34"/>
        <v>49985.3333333333</v>
      </c>
    </row>
    <row r="73" spans="1:9">
      <c r="A73" s="67"/>
      <c r="B73" s="79" t="s">
        <v>140</v>
      </c>
      <c r="C73" s="66">
        <v>208.16</v>
      </c>
      <c r="D73" s="88">
        <f t="shared" si="31"/>
        <v>23.1288888888889</v>
      </c>
      <c r="E73" s="88">
        <f t="shared" si="32"/>
        <v>23.1288888888889</v>
      </c>
      <c r="F73" s="88">
        <f t="shared" si="33"/>
        <v>23.1288888888889</v>
      </c>
      <c r="G73" s="86">
        <f t="shared" si="8"/>
        <v>69.3866666666667</v>
      </c>
      <c r="I73" s="93">
        <f t="shared" si="34"/>
        <v>69.3866666666667</v>
      </c>
    </row>
    <row r="74" spans="1:9">
      <c r="A74" s="67"/>
      <c r="B74" s="79" t="s">
        <v>141</v>
      </c>
      <c r="C74" s="66">
        <v>228366.62</v>
      </c>
      <c r="D74" s="88">
        <f t="shared" si="31"/>
        <v>25374.0688888889</v>
      </c>
      <c r="E74" s="88">
        <f t="shared" si="32"/>
        <v>25374.0688888889</v>
      </c>
      <c r="F74" s="88">
        <f t="shared" si="33"/>
        <v>25374.0688888889</v>
      </c>
      <c r="G74" s="86">
        <f t="shared" si="8"/>
        <v>76122.2066666667</v>
      </c>
      <c r="H74" s="123">
        <v>483.1</v>
      </c>
      <c r="I74" s="93">
        <f t="shared" si="34"/>
        <v>76122.2066666667</v>
      </c>
    </row>
    <row r="75" spans="1:9">
      <c r="A75" s="67"/>
      <c r="B75" s="80" t="s">
        <v>142</v>
      </c>
      <c r="C75" s="66">
        <v>91713.84</v>
      </c>
      <c r="D75" s="88">
        <f>制造费用2019!$G$20</f>
        <v>7496.65616110314</v>
      </c>
      <c r="E75" s="88">
        <f>制造费用2019!$G$20</f>
        <v>7496.65616110314</v>
      </c>
      <c r="F75" s="88">
        <f>制造费用2019!$G$20</f>
        <v>7496.65616110314</v>
      </c>
      <c r="G75" s="86">
        <f t="shared" si="8"/>
        <v>22489.9684833094</v>
      </c>
      <c r="I75" s="93">
        <f t="shared" si="34"/>
        <v>22489.9684833094</v>
      </c>
    </row>
    <row r="76" s="46" customFormat="1" spans="1:9">
      <c r="A76" s="67"/>
      <c r="B76" s="82" t="s">
        <v>148</v>
      </c>
      <c r="C76" s="71">
        <f>SUM(C68:C75)</f>
        <v>3120303.66</v>
      </c>
      <c r="D76" s="71">
        <f t="shared" ref="D76:F76" si="35">SUM(D68:D75)</f>
        <v>386403.741784589</v>
      </c>
      <c r="E76" s="71">
        <f t="shared" si="35"/>
        <v>336235.457789589</v>
      </c>
      <c r="F76" s="71">
        <f t="shared" si="35"/>
        <v>296626.074368589</v>
      </c>
      <c r="G76" s="86">
        <f t="shared" si="8"/>
        <v>1019265.27394277</v>
      </c>
      <c r="H76" s="128">
        <f>I76/制造费用2019!B20</f>
        <v>596.351444377206</v>
      </c>
      <c r="I76" s="95">
        <f>SUM(I68:I75)+H74*3</f>
        <v>964848.928886769</v>
      </c>
    </row>
    <row r="77" customFormat="1" spans="1:9">
      <c r="A77" s="72" t="s">
        <v>156</v>
      </c>
      <c r="B77" s="60" t="s">
        <v>155</v>
      </c>
      <c r="C77" s="51">
        <v>2062442.36</v>
      </c>
      <c r="D77" s="88">
        <f>'2019回款及耗煤量'!K36</f>
        <v>290436.257245</v>
      </c>
      <c r="E77" s="88">
        <f>'2019回款及耗煤量'!L36</f>
        <v>281065.735861</v>
      </c>
      <c r="F77" s="88">
        <f>'2019回款及耗煤量'!M36</f>
        <v>290436.257245</v>
      </c>
      <c r="G77" s="86">
        <f t="shared" si="8"/>
        <v>861938.250351</v>
      </c>
      <c r="H77" s="123"/>
      <c r="I77" s="93">
        <f>G77/1.13</f>
        <v>762777.2127</v>
      </c>
    </row>
    <row r="78" customFormat="1" spans="1:9">
      <c r="A78" s="74"/>
      <c r="B78" s="60" t="s">
        <v>145</v>
      </c>
      <c r="C78" s="51">
        <v>682020.85</v>
      </c>
      <c r="D78" s="88">
        <f>$C$78/9+蒸汽动力2019!$F$16</f>
        <v>77118.5278047988</v>
      </c>
      <c r="E78" s="88">
        <f>$C$78/9+蒸汽动力2019!$F$16</f>
        <v>77118.5278047988</v>
      </c>
      <c r="F78" s="88">
        <f>$C$78/9+蒸汽动力2019!$F$16</f>
        <v>77118.5278047988</v>
      </c>
      <c r="G78" s="86">
        <f t="shared" si="8"/>
        <v>231355.583414396</v>
      </c>
      <c r="H78" s="123"/>
      <c r="I78" s="93">
        <f>G78</f>
        <v>231355.583414396</v>
      </c>
    </row>
    <row r="79" customFormat="1" spans="1:9">
      <c r="A79" s="74"/>
      <c r="B79" s="60" t="s">
        <v>147</v>
      </c>
      <c r="C79" s="51">
        <v>717363</v>
      </c>
      <c r="D79" s="88">
        <f t="shared" ref="D79:D84" si="36">C79/9</f>
        <v>79707</v>
      </c>
      <c r="E79" s="88">
        <f t="shared" ref="E79:E84" si="37">C79/9</f>
        <v>79707</v>
      </c>
      <c r="F79" s="88">
        <f t="shared" ref="F79:F84" si="38">C79/9</f>
        <v>79707</v>
      </c>
      <c r="G79" s="86">
        <f t="shared" si="8"/>
        <v>239121</v>
      </c>
      <c r="H79" s="123"/>
      <c r="I79" s="93">
        <f t="shared" ref="I79:I84" si="39">G79</f>
        <v>239121</v>
      </c>
    </row>
    <row r="80" customFormat="1" spans="1:9">
      <c r="A80" s="74"/>
      <c r="B80" s="61" t="s">
        <v>139</v>
      </c>
      <c r="C80" s="51">
        <v>199155</v>
      </c>
      <c r="D80" s="88">
        <f t="shared" si="36"/>
        <v>22128.3333333333</v>
      </c>
      <c r="E80" s="88">
        <f t="shared" si="37"/>
        <v>22128.3333333333</v>
      </c>
      <c r="F80" s="88">
        <f t="shared" si="38"/>
        <v>22128.3333333333</v>
      </c>
      <c r="G80" s="86">
        <f t="shared" si="8"/>
        <v>66385</v>
      </c>
      <c r="H80" s="123"/>
      <c r="I80" s="93">
        <f t="shared" si="39"/>
        <v>66385</v>
      </c>
    </row>
    <row r="81" customFormat="1" spans="1:9">
      <c r="A81" s="74"/>
      <c r="B81" s="60" t="s">
        <v>140</v>
      </c>
      <c r="C81" s="51">
        <v>2470.56</v>
      </c>
      <c r="D81" s="88">
        <f t="shared" si="36"/>
        <v>274.506666666667</v>
      </c>
      <c r="E81" s="88">
        <f t="shared" si="37"/>
        <v>274.506666666667</v>
      </c>
      <c r="F81" s="88">
        <f t="shared" si="38"/>
        <v>274.506666666667</v>
      </c>
      <c r="G81" s="86">
        <f t="shared" si="8"/>
        <v>823.52</v>
      </c>
      <c r="H81" s="123"/>
      <c r="I81" s="93">
        <f t="shared" si="39"/>
        <v>823.52</v>
      </c>
    </row>
    <row r="82" customFormat="1" spans="1:9">
      <c r="A82" s="74"/>
      <c r="B82" s="60" t="s">
        <v>141</v>
      </c>
      <c r="C82" s="51">
        <v>342947.92</v>
      </c>
      <c r="D82" s="88">
        <f t="shared" si="36"/>
        <v>38105.3244444444</v>
      </c>
      <c r="E82" s="88">
        <f t="shared" si="37"/>
        <v>38105.3244444444</v>
      </c>
      <c r="F82" s="88">
        <f t="shared" si="38"/>
        <v>38105.3244444444</v>
      </c>
      <c r="G82" s="86">
        <f t="shared" si="8"/>
        <v>114315.973333333</v>
      </c>
      <c r="H82" s="123"/>
      <c r="I82" s="93">
        <f t="shared" si="39"/>
        <v>114315.973333333</v>
      </c>
    </row>
    <row r="83" customFormat="1" spans="1:9">
      <c r="A83" s="74"/>
      <c r="B83" s="61" t="s">
        <v>142</v>
      </c>
      <c r="C83" s="51">
        <v>129600.22</v>
      </c>
      <c r="D83" s="88">
        <f>制造费用2019!$G$21</f>
        <v>13604.6016207846</v>
      </c>
      <c r="E83" s="88">
        <f>制造费用2019!$G$21</f>
        <v>13604.6016207846</v>
      </c>
      <c r="F83" s="88">
        <f>制造费用2019!$G$21</f>
        <v>13604.6016207846</v>
      </c>
      <c r="G83" s="86">
        <f t="shared" si="8"/>
        <v>40813.8048623537</v>
      </c>
      <c r="H83" s="123">
        <v>201575.38</v>
      </c>
      <c r="I83" s="93">
        <f t="shared" si="39"/>
        <v>40813.8048623537</v>
      </c>
    </row>
    <row r="84" customFormat="1" spans="1:9">
      <c r="A84" s="74"/>
      <c r="B84" s="61" t="s">
        <v>152</v>
      </c>
      <c r="C84" s="51">
        <v>33740.63</v>
      </c>
      <c r="D84" s="88">
        <f t="shared" si="36"/>
        <v>3748.95888888889</v>
      </c>
      <c r="E84" s="88">
        <f t="shared" si="37"/>
        <v>3748.95888888889</v>
      </c>
      <c r="F84" s="88">
        <f t="shared" si="38"/>
        <v>3748.95888888889</v>
      </c>
      <c r="G84" s="86">
        <f t="shared" ref="G84:G105" si="40">SUM(D84:F84)</f>
        <v>11246.8766666667</v>
      </c>
      <c r="H84" s="123"/>
      <c r="I84" s="93">
        <f t="shared" si="39"/>
        <v>11246.8766666667</v>
      </c>
    </row>
    <row r="85" s="46" customFormat="1" spans="1:9">
      <c r="A85" s="74"/>
      <c r="B85" s="76" t="s">
        <v>148</v>
      </c>
      <c r="C85" s="58">
        <f>SUM(C77:C84)</f>
        <v>4169740.54</v>
      </c>
      <c r="D85" s="58">
        <f t="shared" ref="D85:F85" si="41">SUM(D77:D84)</f>
        <v>525123.510003917</v>
      </c>
      <c r="E85" s="58">
        <f t="shared" si="41"/>
        <v>515752.988619917</v>
      </c>
      <c r="F85" s="58">
        <f t="shared" si="41"/>
        <v>525123.510003917</v>
      </c>
      <c r="G85" s="86">
        <f t="shared" si="40"/>
        <v>1566000.00862775</v>
      </c>
      <c r="H85" s="128">
        <f>I85/制造费用2019!B21</f>
        <v>705.542707910328</v>
      </c>
      <c r="I85" s="95">
        <f>SUM(I77:I84)+H83*3</f>
        <v>2071565.11097675</v>
      </c>
    </row>
    <row r="86" spans="1:9">
      <c r="A86" s="64" t="s">
        <v>69</v>
      </c>
      <c r="B86" s="68" t="s">
        <v>157</v>
      </c>
      <c r="C86" s="66">
        <v>977353.99</v>
      </c>
      <c r="D86" s="88">
        <f>'2019回款及耗煤量'!K37</f>
        <v>165421.042616</v>
      </c>
      <c r="E86" s="88">
        <f>'2019回款及耗煤量'!L37</f>
        <v>144177.75994</v>
      </c>
      <c r="F86" s="88">
        <f>'2019回款及耗煤量'!M37</f>
        <v>129107.734386</v>
      </c>
      <c r="G86" s="86">
        <f t="shared" si="40"/>
        <v>438706.536942</v>
      </c>
      <c r="I86" s="93">
        <f>G86/1.13</f>
        <v>388235.8734</v>
      </c>
    </row>
    <row r="87" spans="1:9">
      <c r="A87" s="67"/>
      <c r="B87" s="68" t="s">
        <v>158</v>
      </c>
      <c r="C87" s="66">
        <v>6873480.85</v>
      </c>
      <c r="D87" s="88">
        <f>'2019回款及耗煤量'!K38</f>
        <v>1163614.82868</v>
      </c>
      <c r="E87" s="88">
        <f>'2019回款及耗煤量'!L38</f>
        <v>1014184.0287</v>
      </c>
      <c r="F87" s="88">
        <f>'2019回款及耗煤量'!M38</f>
        <v>908177.53203</v>
      </c>
      <c r="G87" s="86">
        <f t="shared" si="40"/>
        <v>3085976.38941</v>
      </c>
      <c r="I87" s="93">
        <f>G87/1.13</f>
        <v>2730952.557</v>
      </c>
    </row>
    <row r="88" spans="1:9">
      <c r="A88" s="67"/>
      <c r="B88" s="68" t="s">
        <v>136</v>
      </c>
      <c r="C88" s="66">
        <v>22632758.95</v>
      </c>
      <c r="D88" s="88">
        <f>$C$88/9+蒸汽动力2019!$F$9</f>
        <v>2595934.98029019</v>
      </c>
      <c r="E88" s="88">
        <f>$C$88/9+蒸汽动力2019!$F$9</f>
        <v>2595934.98029019</v>
      </c>
      <c r="F88" s="88">
        <f>$C$88/9+蒸汽动力2019!$F$9</f>
        <v>2595934.98029019</v>
      </c>
      <c r="G88" s="86">
        <f t="shared" si="40"/>
        <v>7787804.94087057</v>
      </c>
      <c r="I88" s="93">
        <f>G88</f>
        <v>7787804.94087057</v>
      </c>
    </row>
    <row r="89" spans="1:9">
      <c r="A89" s="67"/>
      <c r="B89" s="68" t="s">
        <v>135</v>
      </c>
      <c r="C89" s="66">
        <v>57887888.55</v>
      </c>
      <c r="D89" s="88">
        <f>$C$89/9+蒸汽动力2019!$F$23</f>
        <v>6515021.35007728</v>
      </c>
      <c r="E89" s="88">
        <f>$C$89/9+蒸汽动力2019!$F$23</f>
        <v>6515021.35007728</v>
      </c>
      <c r="F89" s="88">
        <f>$C$89/9+蒸汽动力2019!$F$23</f>
        <v>6515021.35007728</v>
      </c>
      <c r="G89" s="86">
        <f t="shared" si="40"/>
        <v>19545064.0502319</v>
      </c>
      <c r="I89" s="93">
        <f t="shared" ref="I89:I96" si="42">G89</f>
        <v>19545064.0502319</v>
      </c>
    </row>
    <row r="90" spans="1:9">
      <c r="A90" s="67"/>
      <c r="B90" s="68" t="s">
        <v>137</v>
      </c>
      <c r="C90" s="66">
        <v>524258.94</v>
      </c>
      <c r="D90" s="88">
        <f t="shared" ref="D90:D96" si="43">C90/9</f>
        <v>58250.9933333333</v>
      </c>
      <c r="E90" s="88">
        <f t="shared" ref="E90:E96" si="44">C90/9</f>
        <v>58250.9933333333</v>
      </c>
      <c r="F90" s="88">
        <f t="shared" ref="F90:F96" si="45">C90/9</f>
        <v>58250.9933333333</v>
      </c>
      <c r="G90" s="86">
        <f t="shared" si="40"/>
        <v>174752.98</v>
      </c>
      <c r="I90" s="93">
        <f t="shared" si="42"/>
        <v>174752.98</v>
      </c>
    </row>
    <row r="91" spans="1:9">
      <c r="A91" s="67"/>
      <c r="B91" s="68" t="s">
        <v>159</v>
      </c>
      <c r="C91" s="66">
        <v>6149727</v>
      </c>
      <c r="D91" s="88">
        <f t="shared" si="43"/>
        <v>683303</v>
      </c>
      <c r="E91" s="88">
        <f t="shared" si="44"/>
        <v>683303</v>
      </c>
      <c r="F91" s="88">
        <f t="shared" si="45"/>
        <v>683303</v>
      </c>
      <c r="G91" s="86">
        <f t="shared" si="40"/>
        <v>2049909</v>
      </c>
      <c r="I91" s="93">
        <f t="shared" si="42"/>
        <v>2049909</v>
      </c>
    </row>
    <row r="92" spans="1:9">
      <c r="A92" s="67"/>
      <c r="B92" s="68" t="s">
        <v>160</v>
      </c>
      <c r="C92" s="66">
        <v>1695267.21</v>
      </c>
      <c r="D92" s="88">
        <f t="shared" si="43"/>
        <v>188363.023333333</v>
      </c>
      <c r="E92" s="88">
        <f t="shared" si="44"/>
        <v>188363.023333333</v>
      </c>
      <c r="F92" s="88">
        <f t="shared" si="45"/>
        <v>188363.023333333</v>
      </c>
      <c r="G92" s="86">
        <f t="shared" si="40"/>
        <v>565089.07</v>
      </c>
      <c r="I92" s="93">
        <f t="shared" si="42"/>
        <v>565089.07</v>
      </c>
    </row>
    <row r="93" spans="1:9">
      <c r="A93" s="67"/>
      <c r="B93" s="68" t="s">
        <v>140</v>
      </c>
      <c r="C93" s="66">
        <v>886565.29</v>
      </c>
      <c r="D93" s="88">
        <f t="shared" si="43"/>
        <v>98507.2544444445</v>
      </c>
      <c r="E93" s="88">
        <f t="shared" si="44"/>
        <v>98507.2544444445</v>
      </c>
      <c r="F93" s="88">
        <f t="shared" si="45"/>
        <v>98507.2544444445</v>
      </c>
      <c r="G93" s="86">
        <f t="shared" si="40"/>
        <v>295521.763333333</v>
      </c>
      <c r="I93" s="93">
        <f t="shared" si="42"/>
        <v>295521.763333333</v>
      </c>
    </row>
    <row r="94" spans="1:9">
      <c r="A94" s="67"/>
      <c r="B94" s="68" t="s">
        <v>141</v>
      </c>
      <c r="C94" s="66">
        <v>2027441.72</v>
      </c>
      <c r="D94" s="88">
        <f t="shared" si="43"/>
        <v>225271.302222222</v>
      </c>
      <c r="E94" s="88">
        <f t="shared" si="44"/>
        <v>225271.302222222</v>
      </c>
      <c r="F94" s="88">
        <f t="shared" si="45"/>
        <v>225271.302222222</v>
      </c>
      <c r="G94" s="86">
        <f t="shared" si="40"/>
        <v>675813.906666667</v>
      </c>
      <c r="H94" s="123">
        <v>2547943.7</v>
      </c>
      <c r="I94" s="93">
        <f t="shared" si="42"/>
        <v>675813.906666667</v>
      </c>
    </row>
    <row r="95" spans="1:9">
      <c r="A95" s="67"/>
      <c r="B95" s="68" t="s">
        <v>142</v>
      </c>
      <c r="C95" s="66">
        <v>8874502.84</v>
      </c>
      <c r="D95" s="88">
        <f>制造费用2019!$G$22</f>
        <v>725087.447913105</v>
      </c>
      <c r="E95" s="88">
        <f>制造费用2019!$G$22</f>
        <v>725087.447913105</v>
      </c>
      <c r="F95" s="88">
        <f>制造费用2019!$G$22</f>
        <v>725087.447913105</v>
      </c>
      <c r="G95" s="86">
        <f t="shared" si="40"/>
        <v>2175262.34373931</v>
      </c>
      <c r="I95" s="93">
        <f t="shared" si="42"/>
        <v>2175262.34373931</v>
      </c>
    </row>
    <row r="96" spans="1:9">
      <c r="A96" s="67"/>
      <c r="B96" s="68" t="s">
        <v>161</v>
      </c>
      <c r="C96" s="66">
        <v>313479.39</v>
      </c>
      <c r="D96" s="88">
        <f t="shared" si="43"/>
        <v>34831.0433333333</v>
      </c>
      <c r="E96" s="88">
        <f t="shared" si="44"/>
        <v>34831.0433333333</v>
      </c>
      <c r="F96" s="88">
        <f t="shared" si="45"/>
        <v>34831.0433333333</v>
      </c>
      <c r="G96" s="86">
        <f t="shared" si="40"/>
        <v>104493.13</v>
      </c>
      <c r="I96" s="93">
        <f t="shared" si="42"/>
        <v>104493.13</v>
      </c>
    </row>
    <row r="97" s="46" customFormat="1" spans="1:9">
      <c r="A97" s="67"/>
      <c r="B97" s="70" t="s">
        <v>162</v>
      </c>
      <c r="C97" s="71">
        <f>SUM(C86:C96)</f>
        <v>108842724.73</v>
      </c>
      <c r="D97" s="71">
        <f>SUM(D86:D96)</f>
        <v>12453606.2662432</v>
      </c>
      <c r="E97" s="71">
        <f t="shared" ref="E97:F97" si="46">SUM(E86:E96)</f>
        <v>12282932.1835872</v>
      </c>
      <c r="F97" s="71">
        <f t="shared" si="46"/>
        <v>12161855.6613632</v>
      </c>
      <c r="G97" s="86">
        <f t="shared" si="40"/>
        <v>36898394.1111937</v>
      </c>
      <c r="H97" s="128">
        <f>I97/制造费用2019!B22</f>
        <v>1061.82115853995</v>
      </c>
      <c r="I97" s="95">
        <f>SUM(I86:I96)+H94*3</f>
        <v>44136730.7152417</v>
      </c>
    </row>
    <row r="98" spans="1:9">
      <c r="A98" s="74" t="s">
        <v>163</v>
      </c>
      <c r="B98" s="60" t="s">
        <v>164</v>
      </c>
      <c r="C98" s="51">
        <v>9410724.66</v>
      </c>
      <c r="D98" s="88">
        <f>$C$98/9+蒸汽动力2019!$F$24</f>
        <v>1059210.45054502</v>
      </c>
      <c r="E98" s="88">
        <f>$C$98/9+蒸汽动力2019!$F$24</f>
        <v>1059210.45054502</v>
      </c>
      <c r="F98" s="88">
        <f>$C$98/9+蒸汽动力2019!$F$24</f>
        <v>1059210.45054502</v>
      </c>
      <c r="G98" s="86">
        <f t="shared" si="40"/>
        <v>3177631.35163507</v>
      </c>
      <c r="I98" s="93">
        <f>G98</f>
        <v>3177631.35163507</v>
      </c>
    </row>
    <row r="99" spans="1:9">
      <c r="A99" s="74"/>
      <c r="B99" s="60" t="s">
        <v>137</v>
      </c>
      <c r="C99" s="51">
        <v>32430.57</v>
      </c>
      <c r="D99" s="88">
        <f t="shared" ref="D99:D103" si="47">C99/9</f>
        <v>3603.39666666667</v>
      </c>
      <c r="E99" s="88">
        <f t="shared" ref="E99:E103" si="48">C99/9</f>
        <v>3603.39666666667</v>
      </c>
      <c r="F99" s="88">
        <f t="shared" ref="F99:F103" si="49">C99/9</f>
        <v>3603.39666666667</v>
      </c>
      <c r="G99" s="86">
        <f t="shared" si="40"/>
        <v>10810.19</v>
      </c>
      <c r="I99" s="93">
        <f t="shared" ref="I99:I104" si="50">G99</f>
        <v>10810.19</v>
      </c>
    </row>
    <row r="100" spans="1:9">
      <c r="A100" s="74"/>
      <c r="B100" s="60" t="s">
        <v>147</v>
      </c>
      <c r="C100" s="51">
        <v>1085245</v>
      </c>
      <c r="D100" s="88">
        <f t="shared" si="47"/>
        <v>120582.777777778</v>
      </c>
      <c r="E100" s="88">
        <f t="shared" si="48"/>
        <v>120582.777777778</v>
      </c>
      <c r="F100" s="88">
        <f t="shared" si="49"/>
        <v>120582.777777778</v>
      </c>
      <c r="G100" s="86">
        <f t="shared" si="40"/>
        <v>361748.333333333</v>
      </c>
      <c r="I100" s="93">
        <f t="shared" si="50"/>
        <v>361748.333333333</v>
      </c>
    </row>
    <row r="101" spans="1:9">
      <c r="A101" s="74"/>
      <c r="B101" s="60" t="s">
        <v>139</v>
      </c>
      <c r="C101" s="51">
        <v>299304</v>
      </c>
      <c r="D101" s="88">
        <f t="shared" si="47"/>
        <v>33256</v>
      </c>
      <c r="E101" s="88">
        <f t="shared" si="48"/>
        <v>33256</v>
      </c>
      <c r="F101" s="88">
        <f t="shared" si="49"/>
        <v>33256</v>
      </c>
      <c r="G101" s="86">
        <f t="shared" si="40"/>
        <v>99768</v>
      </c>
      <c r="I101" s="93">
        <f t="shared" si="50"/>
        <v>99768</v>
      </c>
    </row>
    <row r="102" spans="1:9">
      <c r="A102" s="74"/>
      <c r="B102" s="60" t="s">
        <v>140</v>
      </c>
      <c r="C102" s="51">
        <v>13757.15</v>
      </c>
      <c r="D102" s="88">
        <f t="shared" si="47"/>
        <v>1528.57222222222</v>
      </c>
      <c r="E102" s="88">
        <f t="shared" si="48"/>
        <v>1528.57222222222</v>
      </c>
      <c r="F102" s="88">
        <f t="shared" si="49"/>
        <v>1528.57222222222</v>
      </c>
      <c r="G102" s="86">
        <f t="shared" si="40"/>
        <v>4585.71666666667</v>
      </c>
      <c r="H102" s="123">
        <v>470845.02</v>
      </c>
      <c r="I102" s="93">
        <f t="shared" si="50"/>
        <v>4585.71666666667</v>
      </c>
    </row>
    <row r="103" spans="1:9">
      <c r="A103" s="74"/>
      <c r="B103" s="60" t="s">
        <v>141</v>
      </c>
      <c r="C103" s="51">
        <v>445792.8</v>
      </c>
      <c r="D103" s="88">
        <f t="shared" si="47"/>
        <v>49532.5333333333</v>
      </c>
      <c r="E103" s="88">
        <f t="shared" si="48"/>
        <v>49532.5333333333</v>
      </c>
      <c r="F103" s="88">
        <f t="shared" si="49"/>
        <v>49532.5333333333</v>
      </c>
      <c r="G103" s="86">
        <f t="shared" si="40"/>
        <v>148597.6</v>
      </c>
      <c r="I103" s="93">
        <f t="shared" si="50"/>
        <v>148597.6</v>
      </c>
    </row>
    <row r="104" spans="1:9">
      <c r="A104" s="74"/>
      <c r="B104" s="60" t="s">
        <v>142</v>
      </c>
      <c r="C104" s="51">
        <v>3425164.18</v>
      </c>
      <c r="D104" s="88">
        <f>制造费用2019!$G$23</f>
        <v>256277.846622917</v>
      </c>
      <c r="E104" s="88">
        <f>制造费用2019!$G$23</f>
        <v>256277.846622917</v>
      </c>
      <c r="F104" s="88">
        <f>制造费用2019!$G$23</f>
        <v>256277.846622917</v>
      </c>
      <c r="G104" s="86">
        <f t="shared" si="40"/>
        <v>768833.539868752</v>
      </c>
      <c r="I104" s="93">
        <f t="shared" si="50"/>
        <v>768833.539868752</v>
      </c>
    </row>
    <row r="105" s="46" customFormat="1" spans="1:9">
      <c r="A105" s="74"/>
      <c r="B105" s="76" t="s">
        <v>162</v>
      </c>
      <c r="C105" s="58">
        <f>SUM(C98:C104)</f>
        <v>14712418.36</v>
      </c>
      <c r="D105" s="58">
        <f t="shared" ref="D105:F105" si="51">SUM(D98:D104)</f>
        <v>1523991.57716794</v>
      </c>
      <c r="E105" s="58">
        <f t="shared" si="51"/>
        <v>1523991.57716794</v>
      </c>
      <c r="F105" s="58">
        <f t="shared" si="51"/>
        <v>1523991.57716794</v>
      </c>
      <c r="G105" s="86">
        <f t="shared" si="40"/>
        <v>4571974.73150382</v>
      </c>
      <c r="H105" s="128">
        <f>I105/制造费用2019!B23</f>
        <v>498.569549818036</v>
      </c>
      <c r="I105" s="95">
        <f>SUM(I98:I104)+H102*3</f>
        <v>5984509.79150382</v>
      </c>
    </row>
    <row r="106" spans="1:7">
      <c r="A106" s="84" t="s">
        <v>5</v>
      </c>
      <c r="B106" s="84"/>
      <c r="C106" s="97">
        <f>C18+C33+C42+C50+C60+C67+C76+C85+C97+C105</f>
        <v>2359454711.03902</v>
      </c>
      <c r="D106" s="97">
        <f>D18+D33+D42+D50+D60+D67+D76+D85+D97+D105</f>
        <v>312882925.359555</v>
      </c>
      <c r="E106" s="97">
        <f>E18+E33+E42+E50+E60+E67+E76+E85+E97+E105</f>
        <v>281101601.626774</v>
      </c>
      <c r="F106" s="97">
        <f>F18+F33+F42+F50+F60+F67+F76+F85+F97+F105</f>
        <v>266307274.142911</v>
      </c>
      <c r="G106" s="97">
        <f t="shared" ref="G106" si="52">G18+G33+G42+G50+G60+G67+G76+G85+G97+G105</f>
        <v>860291801.129241</v>
      </c>
    </row>
    <row r="107" spans="3:6">
      <c r="C107" s="17"/>
      <c r="D107" s="13"/>
      <c r="E107" s="13"/>
      <c r="F107" s="13"/>
    </row>
    <row r="108" spans="4:6">
      <c r="D108">
        <f t="shared" ref="D108:F108" si="53">D106/10000</f>
        <v>31288.2925359555</v>
      </c>
      <c r="E108">
        <f t="shared" si="53"/>
        <v>28110.1601626774</v>
      </c>
      <c r="F108">
        <f t="shared" si="53"/>
        <v>26630.7274142911</v>
      </c>
    </row>
    <row r="114" spans="8:8">
      <c r="H114" s="130"/>
    </row>
    <row r="115" spans="8:8">
      <c r="H115" s="130"/>
    </row>
    <row r="116" spans="8:8">
      <c r="H116" s="130"/>
    </row>
    <row r="117" spans="8:8">
      <c r="H117" s="130"/>
    </row>
  </sheetData>
  <mergeCells count="12">
    <mergeCell ref="A1:G1"/>
    <mergeCell ref="A106:B106"/>
    <mergeCell ref="A3:A18"/>
    <mergeCell ref="A19:A33"/>
    <mergeCell ref="A34:A42"/>
    <mergeCell ref="A43:A50"/>
    <mergeCell ref="A51:A60"/>
    <mergeCell ref="A61:A67"/>
    <mergeCell ref="A68:A76"/>
    <mergeCell ref="A77:A85"/>
    <mergeCell ref="A86:A97"/>
    <mergeCell ref="A98:A105"/>
  </mergeCells>
  <pageMargins left="0.7" right="0.7" top="0.75" bottom="0.75" header="0.3" footer="0.3"/>
  <pageSetup paperSize="9" orientation="portrait" horizontalDpi="300"/>
  <headerFooter/>
  <ignoredErrors>
    <ignoredError sqref="D42:F42 D97:F97 D33:G33 G18 D16:F16 D31:F31 D40:F40 D48:F48 D58:F58 D83:F83 D95:F9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G27" sqref="G27"/>
    </sheetView>
  </sheetViews>
  <sheetFormatPr defaultColWidth="9" defaultRowHeight="12" outlineLevelCol="5"/>
  <cols>
    <col min="1" max="1" width="11.375" style="1" customWidth="1"/>
    <col min="2" max="2" width="13.125" style="1" customWidth="1"/>
    <col min="3" max="3" width="16.125" style="1" customWidth="1"/>
    <col min="4" max="4" width="15.125" style="1" customWidth="1"/>
    <col min="5" max="5" width="15" style="1" customWidth="1"/>
    <col min="6" max="6" width="13.875" style="1" customWidth="1"/>
    <col min="7" max="16384" width="9" style="1"/>
  </cols>
  <sheetData>
    <row r="1" spans="1:5">
      <c r="A1" s="1" t="s">
        <v>165</v>
      </c>
      <c r="C1" s="1" t="s">
        <v>166</v>
      </c>
      <c r="D1" s="1" t="s">
        <v>152</v>
      </c>
      <c r="E1" s="1" t="s">
        <v>5</v>
      </c>
    </row>
    <row r="2" spans="1:5">
      <c r="A2" s="1" t="s">
        <v>167</v>
      </c>
      <c r="B2" s="1" t="s">
        <v>168</v>
      </c>
      <c r="C2" s="122">
        <v>50956109</v>
      </c>
      <c r="D2" s="7">
        <v>16257522.55</v>
      </c>
      <c r="E2" s="122">
        <f>SUM(C2:D2)</f>
        <v>67213631.55</v>
      </c>
    </row>
    <row r="3" spans="1:5">
      <c r="A3" s="1" t="s">
        <v>167</v>
      </c>
      <c r="B3" s="1" t="s">
        <v>169</v>
      </c>
      <c r="C3" s="122">
        <f>C2/9*3</f>
        <v>16985369.6666667</v>
      </c>
      <c r="D3" s="7">
        <f>D2/9*3</f>
        <v>5419174.18333333</v>
      </c>
      <c r="E3" s="122">
        <f>SUM(C3:D3)</f>
        <v>22404543.85</v>
      </c>
    </row>
    <row r="4" spans="1:5">
      <c r="A4" s="1" t="s">
        <v>170</v>
      </c>
      <c r="B4" s="1" t="s">
        <v>169</v>
      </c>
      <c r="C4" s="122">
        <f>'2019回款及耗煤量'!N20</f>
        <v>19389440</v>
      </c>
      <c r="D4" s="7">
        <f>D3</f>
        <v>5419174.18333333</v>
      </c>
      <c r="E4" s="122">
        <f>SUM(C4:D4)</f>
        <v>24808614.1833333</v>
      </c>
    </row>
    <row r="5" spans="1:5">
      <c r="A5" s="1" t="s">
        <v>171</v>
      </c>
      <c r="C5" s="122">
        <f>C4-C3</f>
        <v>2404070.33333333</v>
      </c>
      <c r="D5" s="1">
        <v>0</v>
      </c>
      <c r="E5" s="122">
        <f>E4-E3</f>
        <v>2404070.33333333</v>
      </c>
    </row>
    <row r="6" spans="1:5">
      <c r="A6" s="1" t="s">
        <v>172</v>
      </c>
      <c r="B6" s="1" t="s">
        <v>168</v>
      </c>
      <c r="C6" s="1" t="s">
        <v>173</v>
      </c>
      <c r="D6" s="1" t="s">
        <v>174</v>
      </c>
      <c r="E6" s="1" t="s">
        <v>175</v>
      </c>
    </row>
    <row r="7" spans="1:6">
      <c r="A7" s="1" t="s">
        <v>124</v>
      </c>
      <c r="B7" s="122">
        <v>182606.77</v>
      </c>
      <c r="C7" s="122">
        <f>B7/9*12</f>
        <v>243475.693333333</v>
      </c>
      <c r="D7" s="1">
        <f>C7/C17</f>
        <v>0.00326951868214633</v>
      </c>
      <c r="E7" s="122">
        <f>C5*D7</f>
        <v>7860.15286802709</v>
      </c>
      <c r="F7" s="7">
        <f>E7/12</f>
        <v>655.012739002257</v>
      </c>
    </row>
    <row r="8" spans="1:6">
      <c r="A8" s="1" t="s">
        <v>134</v>
      </c>
      <c r="B8" s="122">
        <v>227990.37</v>
      </c>
      <c r="C8" s="122">
        <f t="shared" ref="C8:C16" si="0">B8/9*12</f>
        <v>303987.16</v>
      </c>
      <c r="D8" s="1">
        <f>C8/C17</f>
        <v>0.00408209823800319</v>
      </c>
      <c r="E8" s="122">
        <f>C5*D8</f>
        <v>9813.65127173575</v>
      </c>
      <c r="F8" s="7">
        <f t="shared" ref="F8:F17" si="1">E8/12</f>
        <v>817.804272644645</v>
      </c>
    </row>
    <row r="9" spans="1:6">
      <c r="A9" s="1" t="s">
        <v>69</v>
      </c>
      <c r="B9" s="122">
        <v>22632758.95</v>
      </c>
      <c r="C9" s="122">
        <f t="shared" si="0"/>
        <v>30177011.9333333</v>
      </c>
      <c r="D9" s="1">
        <f>C9/C17</f>
        <v>0.405232665883853</v>
      </c>
      <c r="E9" s="122">
        <f>C5*D9</f>
        <v>974207.830148949</v>
      </c>
      <c r="F9" s="7">
        <f t="shared" si="1"/>
        <v>81183.9858457458</v>
      </c>
    </row>
    <row r="10" spans="1:6">
      <c r="A10" s="1" t="s">
        <v>176</v>
      </c>
      <c r="B10" s="122">
        <v>29887875.79</v>
      </c>
      <c r="C10" s="122">
        <f t="shared" si="0"/>
        <v>39850501.0533333</v>
      </c>
      <c r="D10" s="1">
        <f>C10/C17</f>
        <v>0.535133326464698</v>
      </c>
      <c r="E10" s="122">
        <f>C5*D10</f>
        <v>1286498.15453176</v>
      </c>
      <c r="F10" s="7">
        <f t="shared" si="1"/>
        <v>107208.179544313</v>
      </c>
    </row>
    <row r="11" spans="1:6">
      <c r="A11" s="1" t="s">
        <v>177</v>
      </c>
      <c r="B11" s="122">
        <v>280461.25</v>
      </c>
      <c r="C11" s="122">
        <f t="shared" si="0"/>
        <v>373948.333333333</v>
      </c>
      <c r="D11" s="1">
        <f>C11/C17</f>
        <v>0.00502157338686355</v>
      </c>
      <c r="E11" s="122">
        <f>C5*D11</f>
        <v>12072.2156060148</v>
      </c>
      <c r="F11" s="7">
        <f t="shared" si="1"/>
        <v>1006.0179671679</v>
      </c>
    </row>
    <row r="12" spans="1:6">
      <c r="A12" s="1" t="s">
        <v>178</v>
      </c>
      <c r="B12" s="122">
        <v>334812.98</v>
      </c>
      <c r="C12" s="122">
        <f t="shared" si="0"/>
        <v>446417.306666667</v>
      </c>
      <c r="D12" s="1">
        <f>C12/C17</f>
        <v>0.00599472458296637</v>
      </c>
      <c r="E12" s="122">
        <f>C5*D12</f>
        <v>14411.7395264135</v>
      </c>
      <c r="F12" s="7">
        <f t="shared" si="1"/>
        <v>1200.97829386779</v>
      </c>
    </row>
    <row r="13" spans="1:6">
      <c r="A13" s="1" t="s">
        <v>63</v>
      </c>
      <c r="B13" s="122">
        <v>699773.18</v>
      </c>
      <c r="C13" s="122">
        <f t="shared" si="0"/>
        <v>933030.906666667</v>
      </c>
      <c r="D13" s="1">
        <f>C13/C17</f>
        <v>0.0125292259716053</v>
      </c>
      <c r="E13" s="122">
        <f>C5*D13</f>
        <v>30121.1404579657</v>
      </c>
      <c r="F13" s="7">
        <f t="shared" si="1"/>
        <v>2510.09503816381</v>
      </c>
    </row>
    <row r="14" spans="1:6">
      <c r="A14" s="1" t="s">
        <v>65</v>
      </c>
      <c r="B14" s="122">
        <v>890731.03</v>
      </c>
      <c r="C14" s="122">
        <f t="shared" si="0"/>
        <v>1187641.37333333</v>
      </c>
      <c r="D14" s="1">
        <f>C14/C17</f>
        <v>0.0159482682014059</v>
      </c>
      <c r="E14" s="122">
        <f>C5*D14</f>
        <v>38340.7584510433</v>
      </c>
      <c r="F14" s="7">
        <f t="shared" si="1"/>
        <v>3195.06320425361</v>
      </c>
    </row>
    <row r="15" spans="1:6">
      <c r="A15" s="1" t="s">
        <v>179</v>
      </c>
      <c r="B15" s="122">
        <v>341126.28</v>
      </c>
      <c r="C15" s="122">
        <f t="shared" si="0"/>
        <v>454835.04</v>
      </c>
      <c r="D15" s="1">
        <f>C15/C17</f>
        <v>0.00610776229945407</v>
      </c>
      <c r="E15" s="122">
        <f>C5*D15</f>
        <v>14683.4901471693</v>
      </c>
      <c r="F15" s="7">
        <f t="shared" si="1"/>
        <v>1223.62417893078</v>
      </c>
    </row>
    <row r="16" spans="1:6">
      <c r="A16" s="1" t="s">
        <v>180</v>
      </c>
      <c r="B16" s="122">
        <v>373133.19</v>
      </c>
      <c r="C16" s="122">
        <f t="shared" si="0"/>
        <v>497510.92</v>
      </c>
      <c r="D16" s="1">
        <f>C16/C17</f>
        <v>0.00668083628900427</v>
      </c>
      <c r="E16" s="122">
        <f>C5*D16</f>
        <v>16061.2003242519</v>
      </c>
      <c r="F16" s="7">
        <f t="shared" si="1"/>
        <v>1338.43336035433</v>
      </c>
    </row>
    <row r="17" spans="3:6">
      <c r="C17" s="122">
        <f>SUM(C7:C16)</f>
        <v>74468359.72</v>
      </c>
      <c r="E17" s="122">
        <f>SUM(E7:E16)</f>
        <v>2404070.33333333</v>
      </c>
      <c r="F17" s="7">
        <f t="shared" si="1"/>
        <v>200339.194444444</v>
      </c>
    </row>
    <row r="18" spans="1:1">
      <c r="A18" s="1" t="s">
        <v>181</v>
      </c>
    </row>
    <row r="19" spans="1:5">
      <c r="A19" s="1" t="s">
        <v>167</v>
      </c>
      <c r="B19" s="1" t="s">
        <v>168</v>
      </c>
      <c r="C19" s="1" t="s">
        <v>173</v>
      </c>
      <c r="D19" s="1" t="s">
        <v>174</v>
      </c>
      <c r="E19" s="1" t="s">
        <v>175</v>
      </c>
    </row>
    <row r="20" spans="2:6">
      <c r="B20" s="122">
        <v>45962855.01</v>
      </c>
      <c r="C20" s="122">
        <f>B20/9*12</f>
        <v>61283806.68</v>
      </c>
      <c r="E20" s="122">
        <f>E10</f>
        <v>1286498.15453176</v>
      </c>
      <c r="F20" s="7">
        <f>E20/12</f>
        <v>107208.179544313</v>
      </c>
    </row>
    <row r="21" spans="1:6">
      <c r="A21" s="1" t="s">
        <v>124</v>
      </c>
      <c r="B21" s="122">
        <v>624585.9</v>
      </c>
      <c r="C21" s="122">
        <f t="shared" ref="C21:C24" si="2">B21/9*12</f>
        <v>832781.2</v>
      </c>
      <c r="D21" s="1">
        <f>C21/C25</f>
        <v>0.0198496824424993</v>
      </c>
      <c r="E21" s="122">
        <f>E20*D21</f>
        <v>25536.5798303169</v>
      </c>
      <c r="F21" s="7">
        <f t="shared" ref="F21:F24" si="3">E21/12</f>
        <v>2128.04831919307</v>
      </c>
    </row>
    <row r="22" spans="1:6">
      <c r="A22" s="1" t="s">
        <v>134</v>
      </c>
      <c r="B22" s="122">
        <v>2486552.85</v>
      </c>
      <c r="C22" s="122">
        <f t="shared" si="2"/>
        <v>3315403.8</v>
      </c>
      <c r="D22" s="1">
        <f>C22/C25</f>
        <v>0.079024013268618</v>
      </c>
      <c r="E22" s="122">
        <f>E20*D22</f>
        <v>101664.24723377</v>
      </c>
      <c r="F22" s="7">
        <f t="shared" si="3"/>
        <v>8472.0206028142</v>
      </c>
    </row>
    <row r="23" spans="1:6">
      <c r="A23" s="1" t="s">
        <v>69</v>
      </c>
      <c r="B23" s="122">
        <v>24370545.84</v>
      </c>
      <c r="C23" s="122">
        <f t="shared" si="2"/>
        <v>32494061.12</v>
      </c>
      <c r="D23" s="1">
        <f>C23/C25</f>
        <v>0.774509312288947</v>
      </c>
      <c r="E23" s="122">
        <f>E20*D23</f>
        <v>996404.800927394</v>
      </c>
      <c r="F23" s="7">
        <f t="shared" si="3"/>
        <v>83033.7334106162</v>
      </c>
    </row>
    <row r="24" spans="1:6">
      <c r="A24" s="1" t="s">
        <v>182</v>
      </c>
      <c r="B24" s="122">
        <v>3984103.43</v>
      </c>
      <c r="C24" s="122">
        <f t="shared" si="2"/>
        <v>5312137.90666667</v>
      </c>
      <c r="D24" s="1">
        <f>C24/C25</f>
        <v>0.126616991999935</v>
      </c>
      <c r="E24" s="122">
        <f>E20*D24</f>
        <v>162892.52654028</v>
      </c>
      <c r="F24" s="7">
        <f t="shared" si="3"/>
        <v>13574.37721169</v>
      </c>
    </row>
    <row r="25" spans="3:3">
      <c r="C25" s="122">
        <f>SUM(C21:C24)</f>
        <v>41954384.0266667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5"/>
  <sheetViews>
    <sheetView workbookViewId="0">
      <selection activeCell="G28" sqref="G28"/>
    </sheetView>
  </sheetViews>
  <sheetFormatPr defaultColWidth="9" defaultRowHeight="12" outlineLevelCol="6"/>
  <cols>
    <col min="1" max="1" width="10.5" style="1" customWidth="1"/>
    <col min="2" max="2" width="17.25" style="1" customWidth="1"/>
    <col min="3" max="3" width="10.25" style="1" customWidth="1"/>
    <col min="4" max="4" width="18" style="1" customWidth="1"/>
    <col min="5" max="5" width="12.25" style="1" customWidth="1"/>
    <col min="6" max="6" width="16.125" style="1" customWidth="1"/>
    <col min="7" max="7" width="14.125" style="1" customWidth="1"/>
    <col min="8" max="16384" width="9" style="1"/>
  </cols>
  <sheetData>
    <row r="2" spans="1:4">
      <c r="A2" s="2" t="s">
        <v>183</v>
      </c>
      <c r="B2" s="3" t="s">
        <v>184</v>
      </c>
      <c r="C2" s="4"/>
      <c r="D2" s="12" t="s">
        <v>185</v>
      </c>
    </row>
    <row r="3" spans="1:4">
      <c r="A3" s="2" t="s">
        <v>145</v>
      </c>
      <c r="B3" s="5">
        <v>6486443.2</v>
      </c>
      <c r="C3" s="6"/>
      <c r="D3" s="7">
        <f>B3/9*3</f>
        <v>2162147.73333333</v>
      </c>
    </row>
    <row r="4" spans="1:4">
      <c r="A4" s="2" t="s">
        <v>186</v>
      </c>
      <c r="B4" s="5">
        <v>26775732.75</v>
      </c>
      <c r="C4" s="6"/>
      <c r="D4" s="7">
        <f t="shared" ref="D4:D10" si="0">B4/9*3</f>
        <v>8925244.25</v>
      </c>
    </row>
    <row r="5" spans="1:4">
      <c r="A5" s="2" t="s">
        <v>146</v>
      </c>
      <c r="B5" s="5">
        <v>1596068.24</v>
      </c>
      <c r="C5" s="6"/>
      <c r="D5" s="7">
        <f t="shared" si="0"/>
        <v>532022.746666667</v>
      </c>
    </row>
    <row r="6" spans="1:4">
      <c r="A6" s="2" t="s">
        <v>147</v>
      </c>
      <c r="B6" s="5">
        <v>15593103</v>
      </c>
      <c r="C6" s="6"/>
      <c r="D6" s="7">
        <f t="shared" si="0"/>
        <v>5197701</v>
      </c>
    </row>
    <row r="7" spans="1:4">
      <c r="A7" s="2" t="s">
        <v>139</v>
      </c>
      <c r="B7" s="5">
        <v>4079866.43</v>
      </c>
      <c r="C7" s="6"/>
      <c r="D7" s="7">
        <f t="shared" si="0"/>
        <v>1359955.47666667</v>
      </c>
    </row>
    <row r="8" spans="1:4">
      <c r="A8" s="2" t="s">
        <v>187</v>
      </c>
      <c r="B8" s="5">
        <v>19883866.7</v>
      </c>
      <c r="C8" s="6"/>
      <c r="D8" s="7">
        <f t="shared" si="0"/>
        <v>6627955.56666667</v>
      </c>
    </row>
    <row r="9" spans="1:4">
      <c r="A9" s="2" t="s">
        <v>141</v>
      </c>
      <c r="B9" s="5">
        <v>7550361.14</v>
      </c>
      <c r="C9" s="6"/>
      <c r="D9" s="7">
        <f t="shared" si="0"/>
        <v>2516787.04666667</v>
      </c>
    </row>
    <row r="10" spans="1:4">
      <c r="A10" s="8" t="s">
        <v>133</v>
      </c>
      <c r="B10" s="5">
        <v>1465450.59</v>
      </c>
      <c r="C10" s="6"/>
      <c r="D10" s="7">
        <f t="shared" si="0"/>
        <v>488483.53</v>
      </c>
    </row>
    <row r="11" spans="1:5">
      <c r="A11" s="9" t="s">
        <v>148</v>
      </c>
      <c r="B11" s="10">
        <f>SUM(B3:B10)</f>
        <v>83430892.05</v>
      </c>
      <c r="C11" s="11"/>
      <c r="D11" s="7">
        <f>SUM(D3:D10)</f>
        <v>27810297.35</v>
      </c>
      <c r="E11" s="13"/>
    </row>
    <row r="13" spans="1:7">
      <c r="A13" s="12" t="s">
        <v>40</v>
      </c>
      <c r="B13" s="12" t="s">
        <v>188</v>
      </c>
      <c r="C13" s="12" t="s">
        <v>38</v>
      </c>
      <c r="D13" s="12" t="s">
        <v>189</v>
      </c>
      <c r="F13" s="12" t="s">
        <v>185</v>
      </c>
      <c r="G13" s="1" t="s">
        <v>190</v>
      </c>
    </row>
    <row r="14" spans="1:7">
      <c r="A14" s="12" t="s">
        <v>191</v>
      </c>
      <c r="B14" s="13">
        <f>'2019回款及耗煤量'!G3</f>
        <v>133023.16</v>
      </c>
      <c r="C14" s="13">
        <f>'2019回款及耗煤量'!O3</f>
        <v>1725.51049577428</v>
      </c>
      <c r="D14" s="7">
        <f>B14*C14</f>
        <v>229532858.761062</v>
      </c>
      <c r="E14" s="14">
        <f>$D$11/$D$24</f>
        <v>0.0307992450075571</v>
      </c>
      <c r="F14" s="7">
        <f>D14*E14</f>
        <v>7069438.75426695</v>
      </c>
      <c r="G14" s="13">
        <f>F14/3</f>
        <v>2356479.58475565</v>
      </c>
    </row>
    <row r="15" spans="1:7">
      <c r="A15" s="12" t="s">
        <v>192</v>
      </c>
      <c r="B15" s="13">
        <f>'2019回款及耗煤量'!G4</f>
        <v>290160.64</v>
      </c>
      <c r="C15" s="13">
        <f>'2019回款及耗煤量'!O4</f>
        <v>1805.30973451327</v>
      </c>
      <c r="D15" s="7">
        <f>B15*C15</f>
        <v>523829827.964602</v>
      </c>
      <c r="E15" s="14">
        <f>$D$11/$D$24</f>
        <v>0.0307992450075571</v>
      </c>
      <c r="F15" s="7">
        <f t="shared" ref="F15:F23" si="1">D15*E15</f>
        <v>16133563.2137483</v>
      </c>
      <c r="G15" s="13">
        <f t="shared" ref="G15:G23" si="2">F15/3</f>
        <v>5377854.40458275</v>
      </c>
    </row>
    <row r="16" spans="1:7">
      <c r="A16" s="12" t="s">
        <v>193</v>
      </c>
      <c r="B16" s="13">
        <v>4189.36</v>
      </c>
      <c r="C16" s="13">
        <f>'2019回款及耗煤量'!O5</f>
        <v>2337.16814159292</v>
      </c>
      <c r="D16" s="7">
        <f t="shared" ref="D16:D23" si="3">B16*C16</f>
        <v>9791238.72566372</v>
      </c>
      <c r="E16" s="14">
        <f t="shared" ref="E16:E23" si="4">$D$11/$D$24</f>
        <v>0.0307992450075571</v>
      </c>
      <c r="F16" s="7">
        <f t="shared" si="1"/>
        <v>301562.760439198</v>
      </c>
      <c r="G16" s="13">
        <f t="shared" si="2"/>
        <v>100520.920146399</v>
      </c>
    </row>
    <row r="17" spans="1:7">
      <c r="A17" s="12" t="s">
        <v>194</v>
      </c>
      <c r="B17" s="13">
        <v>10238.74</v>
      </c>
      <c r="C17" s="13">
        <f>C16</f>
        <v>2337.16814159292</v>
      </c>
      <c r="D17" s="7">
        <f t="shared" si="3"/>
        <v>23929656.9380531</v>
      </c>
      <c r="E17" s="14">
        <f t="shared" si="4"/>
        <v>0.0307992450075571</v>
      </c>
      <c r="F17" s="7">
        <f t="shared" si="1"/>
        <v>737015.366981886</v>
      </c>
      <c r="G17" s="13">
        <f t="shared" si="2"/>
        <v>245671.788993962</v>
      </c>
    </row>
    <row r="18" spans="1:7">
      <c r="A18" s="12" t="s">
        <v>195</v>
      </c>
      <c r="B18" s="13">
        <f>'2019回款及耗煤量'!G33</f>
        <v>1411.95</v>
      </c>
      <c r="C18" s="13">
        <f>'2019回款及耗煤量'!O6</f>
        <v>3961.06194690266</v>
      </c>
      <c r="D18" s="7">
        <f t="shared" si="3"/>
        <v>5592821.4159292</v>
      </c>
      <c r="E18" s="14">
        <f t="shared" si="4"/>
        <v>0.0307992450075571</v>
      </c>
      <c r="F18" s="7">
        <f t="shared" si="1"/>
        <v>172254.677072716</v>
      </c>
      <c r="G18" s="13">
        <f t="shared" si="2"/>
        <v>57418.2256909053</v>
      </c>
    </row>
    <row r="19" spans="1:7">
      <c r="A19" s="12" t="s">
        <v>196</v>
      </c>
      <c r="B19" s="13">
        <f>'2019回款及耗煤量'!G34</f>
        <v>3189.1</v>
      </c>
      <c r="C19" s="13">
        <f>C18</f>
        <v>3961.06194690266</v>
      </c>
      <c r="D19" s="7">
        <f t="shared" si="3"/>
        <v>12632222.6548673</v>
      </c>
      <c r="E19" s="14">
        <f t="shared" si="4"/>
        <v>0.0307992450075571</v>
      </c>
      <c r="F19" s="7">
        <f t="shared" si="1"/>
        <v>389062.92053727</v>
      </c>
      <c r="G19" s="13">
        <f t="shared" si="2"/>
        <v>129687.64017909</v>
      </c>
    </row>
    <row r="20" spans="1:7">
      <c r="A20" s="12" t="s">
        <v>197</v>
      </c>
      <c r="B20" s="13">
        <f>'2019回款及耗煤量'!G35</f>
        <v>1617.92</v>
      </c>
      <c r="C20" s="13">
        <f>'2019回款及耗煤量'!O7</f>
        <v>451.327433628319</v>
      </c>
      <c r="D20" s="7">
        <f t="shared" si="3"/>
        <v>730211.681415929</v>
      </c>
      <c r="E20" s="14">
        <f t="shared" si="4"/>
        <v>0.0307992450075571</v>
      </c>
      <c r="F20" s="7">
        <f t="shared" si="1"/>
        <v>22489.9684833094</v>
      </c>
      <c r="G20" s="13">
        <f t="shared" si="2"/>
        <v>7496.65616110314</v>
      </c>
    </row>
    <row r="21" spans="1:7">
      <c r="A21" s="12" t="s">
        <v>198</v>
      </c>
      <c r="B21" s="13">
        <f>'2019回款及耗煤量'!G36</f>
        <v>2936.13</v>
      </c>
      <c r="C21" s="13">
        <f>C20</f>
        <v>451.327433628319</v>
      </c>
      <c r="D21" s="7">
        <f t="shared" si="3"/>
        <v>1325156.01769912</v>
      </c>
      <c r="E21" s="14">
        <f t="shared" si="4"/>
        <v>0.0307992450075571</v>
      </c>
      <c r="F21" s="7">
        <f t="shared" si="1"/>
        <v>40813.8048623537</v>
      </c>
      <c r="G21" s="13">
        <f t="shared" si="2"/>
        <v>13604.6016207846</v>
      </c>
    </row>
    <row r="22" spans="1:7">
      <c r="A22" s="12" t="s">
        <v>46</v>
      </c>
      <c r="B22" s="13">
        <f>'2019回款及耗煤量'!G8</f>
        <v>41567.01</v>
      </c>
      <c r="C22" s="13">
        <f>'2019回款及耗煤量'!O8</f>
        <v>1699.11504424779</v>
      </c>
      <c r="D22" s="7">
        <f t="shared" si="3"/>
        <v>70627132.0353982</v>
      </c>
      <c r="E22" s="14">
        <f t="shared" si="4"/>
        <v>0.0307992450075571</v>
      </c>
      <c r="F22" s="7">
        <f t="shared" si="1"/>
        <v>2175262.34373931</v>
      </c>
      <c r="G22" s="13">
        <f t="shared" si="2"/>
        <v>725087.447913105</v>
      </c>
    </row>
    <row r="23" spans="1:7">
      <c r="A23" s="12" t="s">
        <v>47</v>
      </c>
      <c r="B23" s="13">
        <f>'2019回款及耗煤量'!G9</f>
        <v>12003.36</v>
      </c>
      <c r="C23" s="13">
        <f>'2019回款及耗煤量'!O9</f>
        <v>2079.64601769912</v>
      </c>
      <c r="D23" s="7">
        <f t="shared" si="3"/>
        <v>24962739.8230089</v>
      </c>
      <c r="E23" s="14">
        <f t="shared" si="4"/>
        <v>0.0307992450075571</v>
      </c>
      <c r="F23" s="7">
        <f t="shared" si="1"/>
        <v>768833.539868752</v>
      </c>
      <c r="G23" s="13">
        <f t="shared" si="2"/>
        <v>256277.846622917</v>
      </c>
    </row>
    <row r="24" spans="1:7">
      <c r="A24" s="15" t="s">
        <v>48</v>
      </c>
      <c r="D24" s="13">
        <f>SUM(D14:D23)</f>
        <v>902953866.017699</v>
      </c>
      <c r="F24" s="13">
        <f>SUM(F14:F23)</f>
        <v>27810297.35</v>
      </c>
      <c r="G24" s="13">
        <f>SUM(G14:G23)</f>
        <v>9270099.11666667</v>
      </c>
    </row>
    <row r="25" spans="6:6">
      <c r="F25" s="13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1"/>
  <sheetViews>
    <sheetView workbookViewId="0">
      <pane xSplit="2" ySplit="2" topLeftCell="Q9" activePane="bottomRight" state="frozen"/>
      <selection/>
      <selection pane="topRight"/>
      <selection pane="bottomLeft"/>
      <selection pane="bottomRight" activeCell="Z28" sqref="Z28"/>
    </sheetView>
  </sheetViews>
  <sheetFormatPr defaultColWidth="9" defaultRowHeight="14.25" customHeight="1"/>
  <cols>
    <col min="1" max="1" width="9.625" style="1" customWidth="1"/>
    <col min="2" max="2" width="5" style="1" customWidth="1"/>
    <col min="3" max="3" width="13.625" style="1" customWidth="1"/>
    <col min="4" max="6" width="13.125" style="1" customWidth="1"/>
    <col min="7" max="7" width="14" style="1" customWidth="1"/>
    <col min="8" max="14" width="13.125" style="1" customWidth="1"/>
    <col min="15" max="15" width="15.75" style="1" customWidth="1"/>
    <col min="16" max="27" width="11.375" style="1" customWidth="1"/>
    <col min="28" max="35" width="20.75" style="7" customWidth="1"/>
    <col min="36" max="36" width="23.25" style="7" customWidth="1"/>
    <col min="37" max="39" width="20.75" style="7" customWidth="1"/>
    <col min="40" max="40" width="23.25" style="7" customWidth="1"/>
    <col min="41" max="41" width="9.375" style="1" customWidth="1"/>
    <col min="42" max="42" width="20.5" style="1" customWidth="1"/>
    <col min="43" max="43" width="9" style="1" customWidth="1"/>
    <col min="44" max="44" width="20" style="1" customWidth="1"/>
    <col min="45" max="45" width="9" style="1" customWidth="1"/>
    <col min="46" max="46" width="16.875" style="1" customWidth="1"/>
    <col min="47" max="47" width="9" style="1"/>
    <col min="48" max="51" width="9.125" style="1" customWidth="1"/>
    <col min="52" max="52" width="10.25" style="1" customWidth="1"/>
    <col min="53" max="16384" width="9" style="1"/>
  </cols>
  <sheetData>
    <row r="1" customHeight="1" spans="12:40">
      <c r="L1" s="12" t="s">
        <v>37</v>
      </c>
      <c r="M1" s="12"/>
      <c r="N1" s="12"/>
      <c r="O1" s="12"/>
      <c r="P1" s="111" t="s">
        <v>199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K1" s="89" t="s">
        <v>39</v>
      </c>
      <c r="AL1" s="89"/>
      <c r="AM1" s="89"/>
      <c r="AN1" s="89"/>
    </row>
    <row r="2" customHeight="1" spans="1:51">
      <c r="A2" s="12" t="s">
        <v>200</v>
      </c>
      <c r="B2" s="12"/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5" t="s">
        <v>5</v>
      </c>
      <c r="P2" s="15">
        <v>1</v>
      </c>
      <c r="Q2" s="15">
        <v>2</v>
      </c>
      <c r="R2" s="15">
        <v>3</v>
      </c>
      <c r="S2" s="15">
        <v>4</v>
      </c>
      <c r="T2" s="15">
        <v>5</v>
      </c>
      <c r="U2" s="15">
        <v>6</v>
      </c>
      <c r="V2" s="15">
        <v>7</v>
      </c>
      <c r="W2" s="15">
        <v>8</v>
      </c>
      <c r="X2" s="15">
        <v>9</v>
      </c>
      <c r="Y2" s="15">
        <v>10</v>
      </c>
      <c r="Z2" s="15">
        <v>11</v>
      </c>
      <c r="AA2" s="15">
        <v>12</v>
      </c>
      <c r="AB2" s="12">
        <v>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12">
        <v>9</v>
      </c>
      <c r="AK2" s="12">
        <v>10</v>
      </c>
      <c r="AL2" s="12">
        <v>11</v>
      </c>
      <c r="AM2" s="12">
        <v>12</v>
      </c>
      <c r="AN2" s="91" t="s">
        <v>5</v>
      </c>
      <c r="AV2" s="1" t="s">
        <v>25</v>
      </c>
      <c r="AW2" s="1" t="s">
        <v>26</v>
      </c>
      <c r="AX2" s="1" t="s">
        <v>27</v>
      </c>
      <c r="AY2" s="1" t="s">
        <v>28</v>
      </c>
    </row>
    <row r="3" customHeight="1" spans="1:52">
      <c r="A3" s="12" t="s">
        <v>191</v>
      </c>
      <c r="B3" s="12"/>
      <c r="C3" s="17">
        <v>10</v>
      </c>
      <c r="D3" s="17">
        <v>10</v>
      </c>
      <c r="E3" s="17">
        <v>10</v>
      </c>
      <c r="F3" s="17">
        <v>10</v>
      </c>
      <c r="G3" s="17">
        <v>10</v>
      </c>
      <c r="H3" s="17">
        <v>10</v>
      </c>
      <c r="I3" s="17">
        <v>10</v>
      </c>
      <c r="J3" s="17">
        <v>10</v>
      </c>
      <c r="K3" s="17">
        <v>10</v>
      </c>
      <c r="L3" s="17">
        <v>10</v>
      </c>
      <c r="M3" s="17">
        <v>10</v>
      </c>
      <c r="N3" s="17">
        <v>10</v>
      </c>
      <c r="O3" s="106">
        <f>SUM(C3:N3)</f>
        <v>120</v>
      </c>
      <c r="P3" s="112">
        <v>100</v>
      </c>
      <c r="Q3" s="112">
        <v>100</v>
      </c>
      <c r="R3" s="112">
        <v>100</v>
      </c>
      <c r="S3" s="112">
        <v>100</v>
      </c>
      <c r="T3" s="112">
        <v>100</v>
      </c>
      <c r="U3" s="112">
        <v>100</v>
      </c>
      <c r="V3" s="112">
        <v>100</v>
      </c>
      <c r="W3" s="112">
        <v>100</v>
      </c>
      <c r="X3" s="112">
        <v>100</v>
      </c>
      <c r="Y3" s="112">
        <v>100</v>
      </c>
      <c r="Z3" s="112">
        <v>100</v>
      </c>
      <c r="AA3" s="112">
        <v>100</v>
      </c>
      <c r="AB3" s="89">
        <f>C3*P3</f>
        <v>1000</v>
      </c>
      <c r="AC3" s="89">
        <f t="shared" ref="AC3:AM9" si="0">D3*Q3</f>
        <v>1000</v>
      </c>
      <c r="AD3" s="89">
        <f t="shared" si="0"/>
        <v>1000</v>
      </c>
      <c r="AE3" s="89">
        <f t="shared" si="0"/>
        <v>1000</v>
      </c>
      <c r="AF3" s="89">
        <f t="shared" si="0"/>
        <v>1000</v>
      </c>
      <c r="AG3" s="89">
        <f t="shared" si="0"/>
        <v>1000</v>
      </c>
      <c r="AH3" s="89">
        <f t="shared" si="0"/>
        <v>1000</v>
      </c>
      <c r="AI3" s="89">
        <f>J3*W3</f>
        <v>1000</v>
      </c>
      <c r="AJ3" s="89">
        <f>K3*X3</f>
        <v>1000</v>
      </c>
      <c r="AK3" s="89">
        <f>L3*Y3</f>
        <v>1000</v>
      </c>
      <c r="AL3" s="89">
        <f>M3*Z3</f>
        <v>1000</v>
      </c>
      <c r="AM3" s="89">
        <f>N3*AA3</f>
        <v>1000</v>
      </c>
      <c r="AN3" s="108">
        <f>SUM(AB3:AM3)</f>
        <v>12000</v>
      </c>
      <c r="AO3" s="116">
        <f>AN3/O3</f>
        <v>100</v>
      </c>
      <c r="AV3" s="1">
        <f>(AB3+AB4+AC3+AC4+AD3+AD4)/10000</f>
        <v>1.5</v>
      </c>
      <c r="AW3" s="1">
        <f>(AE3+AE4+AF3+AF4+AG3+AG4)/10000</f>
        <v>1.5</v>
      </c>
      <c r="AX3" s="1">
        <f>(AH3+AH4+AI3+AI4+AJ3+AJ4)/10000</f>
        <v>1.5</v>
      </c>
      <c r="AY3" s="1">
        <f>(AK3+AK4+AL3+AL4+AM3+AM4)/10000</f>
        <v>1.5</v>
      </c>
      <c r="AZ3" s="1">
        <f>SUM(AV3:AY3)</f>
        <v>6</v>
      </c>
    </row>
    <row r="4" customHeight="1" spans="1:41">
      <c r="A4" s="12" t="s">
        <v>192</v>
      </c>
      <c r="B4" s="12"/>
      <c r="C4" s="17">
        <v>20</v>
      </c>
      <c r="D4" s="17">
        <v>20</v>
      </c>
      <c r="E4" s="17">
        <v>20</v>
      </c>
      <c r="F4" s="17">
        <v>20</v>
      </c>
      <c r="G4" s="17">
        <v>20</v>
      </c>
      <c r="H4" s="17">
        <v>20</v>
      </c>
      <c r="I4" s="17">
        <v>20</v>
      </c>
      <c r="J4" s="17">
        <v>20</v>
      </c>
      <c r="K4" s="17">
        <v>20</v>
      </c>
      <c r="L4" s="17">
        <v>20</v>
      </c>
      <c r="M4" s="17">
        <v>20</v>
      </c>
      <c r="N4" s="17">
        <v>20</v>
      </c>
      <c r="O4" s="106">
        <f t="shared" ref="O4:O9" si="1">SUM(C4:N4)</f>
        <v>240</v>
      </c>
      <c r="P4" s="112">
        <v>200</v>
      </c>
      <c r="Q4" s="112">
        <v>200</v>
      </c>
      <c r="R4" s="112">
        <v>200</v>
      </c>
      <c r="S4" s="112">
        <v>200</v>
      </c>
      <c r="T4" s="112">
        <v>200</v>
      </c>
      <c r="U4" s="112">
        <v>200</v>
      </c>
      <c r="V4" s="112">
        <v>200</v>
      </c>
      <c r="W4" s="112">
        <v>200</v>
      </c>
      <c r="X4" s="112">
        <v>200</v>
      </c>
      <c r="Y4" s="112">
        <v>200</v>
      </c>
      <c r="Z4" s="112">
        <v>200</v>
      </c>
      <c r="AA4" s="112">
        <v>200</v>
      </c>
      <c r="AB4" s="89">
        <f t="shared" ref="AB4:AB9" si="2">C4*P4</f>
        <v>4000</v>
      </c>
      <c r="AC4" s="89">
        <f t="shared" si="0"/>
        <v>4000</v>
      </c>
      <c r="AD4" s="89">
        <f t="shared" si="0"/>
        <v>4000</v>
      </c>
      <c r="AE4" s="89">
        <f t="shared" si="0"/>
        <v>4000</v>
      </c>
      <c r="AF4" s="89">
        <f t="shared" si="0"/>
        <v>4000</v>
      </c>
      <c r="AG4" s="89">
        <f t="shared" si="0"/>
        <v>4000</v>
      </c>
      <c r="AH4" s="89">
        <f t="shared" si="0"/>
        <v>4000</v>
      </c>
      <c r="AI4" s="89">
        <f t="shared" si="0"/>
        <v>4000</v>
      </c>
      <c r="AJ4" s="89">
        <f t="shared" si="0"/>
        <v>4000</v>
      </c>
      <c r="AK4" s="89">
        <f t="shared" si="0"/>
        <v>4000</v>
      </c>
      <c r="AL4" s="89">
        <f t="shared" si="0"/>
        <v>4000</v>
      </c>
      <c r="AM4" s="89">
        <f t="shared" si="0"/>
        <v>4000</v>
      </c>
      <c r="AN4" s="108">
        <f>SUM(AB4:AM4)</f>
        <v>48000</v>
      </c>
      <c r="AO4" s="116">
        <f t="shared" ref="AO4:AO9" si="3">AN4/O4</f>
        <v>200</v>
      </c>
    </row>
    <row r="5" customHeight="1" spans="1:52">
      <c r="A5" s="12" t="s">
        <v>43</v>
      </c>
      <c r="B5" s="12"/>
      <c r="C5" s="17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1</v>
      </c>
      <c r="O5" s="106">
        <f t="shared" si="1"/>
        <v>12</v>
      </c>
      <c r="P5" s="112">
        <v>10</v>
      </c>
      <c r="Q5" s="112">
        <v>10</v>
      </c>
      <c r="R5" s="112">
        <v>10</v>
      </c>
      <c r="S5" s="112">
        <v>10</v>
      </c>
      <c r="T5" s="112">
        <v>10</v>
      </c>
      <c r="U5" s="112">
        <v>10</v>
      </c>
      <c r="V5" s="112">
        <v>10</v>
      </c>
      <c r="W5" s="112">
        <v>10</v>
      </c>
      <c r="X5" s="112">
        <v>10</v>
      </c>
      <c r="Y5" s="112">
        <v>10</v>
      </c>
      <c r="Z5" s="112">
        <v>10</v>
      </c>
      <c r="AA5" s="112">
        <v>10</v>
      </c>
      <c r="AB5" s="89">
        <f t="shared" si="2"/>
        <v>10</v>
      </c>
      <c r="AC5" s="89">
        <f t="shared" si="0"/>
        <v>10</v>
      </c>
      <c r="AD5" s="89">
        <f t="shared" si="0"/>
        <v>10</v>
      </c>
      <c r="AE5" s="89">
        <f t="shared" si="0"/>
        <v>10</v>
      </c>
      <c r="AF5" s="89">
        <f t="shared" si="0"/>
        <v>10</v>
      </c>
      <c r="AG5" s="89">
        <f t="shared" si="0"/>
        <v>10</v>
      </c>
      <c r="AH5" s="89">
        <f t="shared" si="0"/>
        <v>10</v>
      </c>
      <c r="AI5" s="89">
        <f t="shared" si="0"/>
        <v>10</v>
      </c>
      <c r="AJ5" s="89">
        <f t="shared" si="0"/>
        <v>10</v>
      </c>
      <c r="AK5" s="89">
        <f t="shared" si="0"/>
        <v>10</v>
      </c>
      <c r="AL5" s="89">
        <f t="shared" si="0"/>
        <v>10</v>
      </c>
      <c r="AM5" s="89">
        <f t="shared" si="0"/>
        <v>10</v>
      </c>
      <c r="AN5" s="108">
        <f t="shared" ref="AN5:AN9" si="4">SUM(AB5:AM5)</f>
        <v>120</v>
      </c>
      <c r="AO5" s="116">
        <f t="shared" si="3"/>
        <v>10</v>
      </c>
      <c r="AV5" s="1">
        <f>(AB5+AC5+AD5)/10000</f>
        <v>0.003</v>
      </c>
      <c r="AW5" s="1">
        <f>(AE5+AF5+AG5)/10000</f>
        <v>0.003</v>
      </c>
      <c r="AX5" s="1">
        <f>(AH5+AI5+AJ5)/10000</f>
        <v>0.003</v>
      </c>
      <c r="AY5" s="1">
        <f>(AK5+AL5+AM5)/10000</f>
        <v>0.003</v>
      </c>
      <c r="AZ5" s="1">
        <f>SUM(AV5:AY5)</f>
        <v>0.012</v>
      </c>
    </row>
    <row r="6" customHeight="1" spans="1:52">
      <c r="A6" s="12" t="s">
        <v>44</v>
      </c>
      <c r="B6" s="12"/>
      <c r="C6" s="17">
        <v>1</v>
      </c>
      <c r="D6" s="17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06">
        <f t="shared" si="1"/>
        <v>12</v>
      </c>
      <c r="P6" s="112">
        <v>10</v>
      </c>
      <c r="Q6" s="112">
        <v>10</v>
      </c>
      <c r="R6" s="112">
        <v>10</v>
      </c>
      <c r="S6" s="112">
        <v>10</v>
      </c>
      <c r="T6" s="112">
        <v>10</v>
      </c>
      <c r="U6" s="112">
        <v>10</v>
      </c>
      <c r="V6" s="112">
        <v>10</v>
      </c>
      <c r="W6" s="112">
        <v>10</v>
      </c>
      <c r="X6" s="112">
        <v>10</v>
      </c>
      <c r="Y6" s="112">
        <v>10</v>
      </c>
      <c r="Z6" s="112">
        <v>10</v>
      </c>
      <c r="AA6" s="112">
        <v>10</v>
      </c>
      <c r="AB6" s="89">
        <f t="shared" si="2"/>
        <v>10</v>
      </c>
      <c r="AC6" s="89">
        <f t="shared" si="0"/>
        <v>10</v>
      </c>
      <c r="AD6" s="89">
        <f t="shared" si="0"/>
        <v>10</v>
      </c>
      <c r="AE6" s="89">
        <f t="shared" si="0"/>
        <v>10</v>
      </c>
      <c r="AF6" s="89">
        <f t="shared" si="0"/>
        <v>10</v>
      </c>
      <c r="AG6" s="89">
        <f t="shared" si="0"/>
        <v>10</v>
      </c>
      <c r="AH6" s="89">
        <f t="shared" si="0"/>
        <v>10</v>
      </c>
      <c r="AI6" s="89">
        <f t="shared" si="0"/>
        <v>10</v>
      </c>
      <c r="AJ6" s="89">
        <f t="shared" si="0"/>
        <v>10</v>
      </c>
      <c r="AK6" s="89">
        <f t="shared" si="0"/>
        <v>10</v>
      </c>
      <c r="AL6" s="89">
        <f t="shared" si="0"/>
        <v>10</v>
      </c>
      <c r="AM6" s="89">
        <f t="shared" si="0"/>
        <v>10</v>
      </c>
      <c r="AN6" s="108">
        <f t="shared" si="4"/>
        <v>120</v>
      </c>
      <c r="AO6" s="116">
        <f t="shared" si="3"/>
        <v>10</v>
      </c>
      <c r="AV6" s="1">
        <f t="shared" ref="AV6:AV9" si="5">(AB6+AC6+AD6)/10000</f>
        <v>0.003</v>
      </c>
      <c r="AW6" s="1">
        <f t="shared" ref="AW6:AW9" si="6">(AE6+AF6+AG6)/10000</f>
        <v>0.003</v>
      </c>
      <c r="AX6" s="1">
        <f t="shared" ref="AX6:AX9" si="7">(AH6+AI6+AJ6)/10000</f>
        <v>0.003</v>
      </c>
      <c r="AY6" s="1">
        <f t="shared" ref="AY6:AY9" si="8">(AK6+AL6+AM6)/10000</f>
        <v>0.003</v>
      </c>
      <c r="AZ6" s="1">
        <f t="shared" ref="AZ6:AZ9" si="9">SUM(AV6:AY6)</f>
        <v>0.012</v>
      </c>
    </row>
    <row r="7" customHeight="1" spans="1:52">
      <c r="A7" s="12" t="s">
        <v>45</v>
      </c>
      <c r="B7" s="12"/>
      <c r="C7" s="17">
        <v>1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06">
        <f t="shared" si="1"/>
        <v>12</v>
      </c>
      <c r="P7" s="112">
        <v>10</v>
      </c>
      <c r="Q7" s="112">
        <v>10</v>
      </c>
      <c r="R7" s="112">
        <v>10</v>
      </c>
      <c r="S7" s="112">
        <v>10</v>
      </c>
      <c r="T7" s="112">
        <v>10</v>
      </c>
      <c r="U7" s="112">
        <v>10</v>
      </c>
      <c r="V7" s="112">
        <v>10</v>
      </c>
      <c r="W7" s="112">
        <v>10</v>
      </c>
      <c r="X7" s="112">
        <v>10</v>
      </c>
      <c r="Y7" s="112">
        <v>10</v>
      </c>
      <c r="Z7" s="112">
        <v>10</v>
      </c>
      <c r="AA7" s="112">
        <v>10</v>
      </c>
      <c r="AB7" s="89">
        <f t="shared" si="2"/>
        <v>10</v>
      </c>
      <c r="AC7" s="89">
        <f t="shared" si="0"/>
        <v>10</v>
      </c>
      <c r="AD7" s="89">
        <f t="shared" si="0"/>
        <v>10</v>
      </c>
      <c r="AE7" s="89">
        <f t="shared" si="0"/>
        <v>10</v>
      </c>
      <c r="AF7" s="89">
        <f t="shared" si="0"/>
        <v>10</v>
      </c>
      <c r="AG7" s="89">
        <f t="shared" si="0"/>
        <v>10</v>
      </c>
      <c r="AH7" s="89">
        <f t="shared" si="0"/>
        <v>10</v>
      </c>
      <c r="AI7" s="89">
        <f t="shared" si="0"/>
        <v>10</v>
      </c>
      <c r="AJ7" s="89">
        <f t="shared" si="0"/>
        <v>10</v>
      </c>
      <c r="AK7" s="89">
        <f t="shared" si="0"/>
        <v>10</v>
      </c>
      <c r="AL7" s="89">
        <f t="shared" si="0"/>
        <v>10</v>
      </c>
      <c r="AM7" s="89">
        <f t="shared" si="0"/>
        <v>10</v>
      </c>
      <c r="AN7" s="108">
        <f t="shared" si="4"/>
        <v>120</v>
      </c>
      <c r="AO7" s="116">
        <f t="shared" si="3"/>
        <v>10</v>
      </c>
      <c r="AV7" s="1">
        <f t="shared" si="5"/>
        <v>0.003</v>
      </c>
      <c r="AW7" s="1">
        <f t="shared" si="6"/>
        <v>0.003</v>
      </c>
      <c r="AX7" s="1">
        <f t="shared" si="7"/>
        <v>0.003</v>
      </c>
      <c r="AY7" s="1">
        <f t="shared" si="8"/>
        <v>0.003</v>
      </c>
      <c r="AZ7" s="1">
        <f t="shared" si="9"/>
        <v>0.012</v>
      </c>
    </row>
    <row r="8" customHeight="1" spans="1:52">
      <c r="A8" s="12" t="s">
        <v>46</v>
      </c>
      <c r="B8" s="12"/>
      <c r="C8" s="17">
        <v>2</v>
      </c>
      <c r="D8" s="17">
        <v>2</v>
      </c>
      <c r="E8" s="17">
        <v>2</v>
      </c>
      <c r="F8" s="17">
        <v>2</v>
      </c>
      <c r="G8" s="17">
        <v>2</v>
      </c>
      <c r="H8" s="17">
        <v>2</v>
      </c>
      <c r="I8" s="17">
        <v>2</v>
      </c>
      <c r="J8" s="17">
        <v>2</v>
      </c>
      <c r="K8" s="17">
        <v>2</v>
      </c>
      <c r="L8" s="17">
        <v>2</v>
      </c>
      <c r="M8" s="17">
        <v>2</v>
      </c>
      <c r="N8" s="17">
        <v>2</v>
      </c>
      <c r="O8" s="106">
        <f t="shared" si="1"/>
        <v>24</v>
      </c>
      <c r="P8" s="112">
        <v>200</v>
      </c>
      <c r="Q8" s="112">
        <v>200</v>
      </c>
      <c r="R8" s="112">
        <v>200</v>
      </c>
      <c r="S8" s="112">
        <v>200</v>
      </c>
      <c r="T8" s="112">
        <v>200</v>
      </c>
      <c r="U8" s="112">
        <v>200</v>
      </c>
      <c r="V8" s="112">
        <v>200</v>
      </c>
      <c r="W8" s="112">
        <v>200</v>
      </c>
      <c r="X8" s="112">
        <v>200</v>
      </c>
      <c r="Y8" s="112">
        <v>200</v>
      </c>
      <c r="Z8" s="112">
        <v>200</v>
      </c>
      <c r="AA8" s="112">
        <v>200</v>
      </c>
      <c r="AB8" s="89">
        <f t="shared" si="2"/>
        <v>400</v>
      </c>
      <c r="AC8" s="89">
        <f t="shared" si="0"/>
        <v>400</v>
      </c>
      <c r="AD8" s="89">
        <f t="shared" si="0"/>
        <v>400</v>
      </c>
      <c r="AE8" s="89">
        <f t="shared" si="0"/>
        <v>400</v>
      </c>
      <c r="AF8" s="89">
        <f t="shared" si="0"/>
        <v>400</v>
      </c>
      <c r="AG8" s="89">
        <f t="shared" si="0"/>
        <v>400</v>
      </c>
      <c r="AH8" s="89">
        <f t="shared" si="0"/>
        <v>400</v>
      </c>
      <c r="AI8" s="89">
        <f t="shared" si="0"/>
        <v>400</v>
      </c>
      <c r="AJ8" s="89">
        <f t="shared" si="0"/>
        <v>400</v>
      </c>
      <c r="AK8" s="89">
        <f t="shared" si="0"/>
        <v>400</v>
      </c>
      <c r="AL8" s="89">
        <f t="shared" si="0"/>
        <v>400</v>
      </c>
      <c r="AM8" s="89">
        <f t="shared" si="0"/>
        <v>400</v>
      </c>
      <c r="AN8" s="108">
        <f t="shared" si="4"/>
        <v>4800</v>
      </c>
      <c r="AO8" s="116">
        <f t="shared" si="3"/>
        <v>200</v>
      </c>
      <c r="AV8" s="1">
        <f t="shared" si="5"/>
        <v>0.12</v>
      </c>
      <c r="AW8" s="1">
        <f t="shared" si="6"/>
        <v>0.12</v>
      </c>
      <c r="AX8" s="1">
        <f t="shared" si="7"/>
        <v>0.12</v>
      </c>
      <c r="AY8" s="1">
        <f t="shared" si="8"/>
        <v>0.12</v>
      </c>
      <c r="AZ8" s="1">
        <f t="shared" si="9"/>
        <v>0.48</v>
      </c>
    </row>
    <row r="9" customHeight="1" spans="1:52">
      <c r="A9" s="12" t="s">
        <v>47</v>
      </c>
      <c r="B9" s="12"/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7">
        <v>1</v>
      </c>
      <c r="O9" s="106">
        <f t="shared" si="1"/>
        <v>12</v>
      </c>
      <c r="P9" s="112">
        <v>200</v>
      </c>
      <c r="Q9" s="112">
        <v>200</v>
      </c>
      <c r="R9" s="112">
        <v>200</v>
      </c>
      <c r="S9" s="112">
        <v>200</v>
      </c>
      <c r="T9" s="112">
        <v>200</v>
      </c>
      <c r="U9" s="112">
        <v>200</v>
      </c>
      <c r="V9" s="112">
        <v>200</v>
      </c>
      <c r="W9" s="112">
        <v>200</v>
      </c>
      <c r="X9" s="112">
        <v>200</v>
      </c>
      <c r="Y9" s="112">
        <v>200</v>
      </c>
      <c r="Z9" s="112">
        <v>200</v>
      </c>
      <c r="AA9" s="112">
        <v>200</v>
      </c>
      <c r="AB9" s="89">
        <f t="shared" si="2"/>
        <v>200</v>
      </c>
      <c r="AC9" s="89">
        <f t="shared" si="0"/>
        <v>200</v>
      </c>
      <c r="AD9" s="89">
        <f t="shared" si="0"/>
        <v>200</v>
      </c>
      <c r="AE9" s="89">
        <f t="shared" si="0"/>
        <v>200</v>
      </c>
      <c r="AF9" s="89">
        <f t="shared" si="0"/>
        <v>200</v>
      </c>
      <c r="AG9" s="89">
        <f t="shared" si="0"/>
        <v>200</v>
      </c>
      <c r="AH9" s="89">
        <f t="shared" si="0"/>
        <v>200</v>
      </c>
      <c r="AI9" s="89">
        <f t="shared" si="0"/>
        <v>200</v>
      </c>
      <c r="AJ9" s="89">
        <f t="shared" si="0"/>
        <v>200</v>
      </c>
      <c r="AK9" s="89">
        <f t="shared" si="0"/>
        <v>200</v>
      </c>
      <c r="AL9" s="89">
        <f t="shared" si="0"/>
        <v>200</v>
      </c>
      <c r="AM9" s="89">
        <f t="shared" si="0"/>
        <v>200</v>
      </c>
      <c r="AN9" s="108">
        <f t="shared" si="4"/>
        <v>2400</v>
      </c>
      <c r="AO9" s="116">
        <f t="shared" si="3"/>
        <v>200</v>
      </c>
      <c r="AP9" s="13">
        <f>'2019回款及耗煤量'!N10/1.13</f>
        <v>902953866.017699</v>
      </c>
      <c r="AR9" s="117">
        <v>10000000</v>
      </c>
      <c r="AS9" s="118">
        <v>0.04</v>
      </c>
      <c r="AT9" s="117">
        <f>AR9*AS9</f>
        <v>400000</v>
      </c>
      <c r="AV9" s="1">
        <f t="shared" si="5"/>
        <v>0.06</v>
      </c>
      <c r="AW9" s="1">
        <f t="shared" si="6"/>
        <v>0.06</v>
      </c>
      <c r="AX9" s="1">
        <f t="shared" si="7"/>
        <v>0.06</v>
      </c>
      <c r="AY9" s="1">
        <f t="shared" si="8"/>
        <v>0.06</v>
      </c>
      <c r="AZ9" s="1">
        <f t="shared" si="9"/>
        <v>0.24</v>
      </c>
    </row>
    <row r="10" customHeight="1" spans="1:46">
      <c r="A10" s="15" t="s">
        <v>48</v>
      </c>
      <c r="B10" s="15"/>
      <c r="C10" s="102">
        <f>C4/I4</f>
        <v>1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AB10" s="108">
        <f t="shared" ref="AB10:AK10" si="10">SUM(AB3:AB9)</f>
        <v>5630</v>
      </c>
      <c r="AC10" s="108">
        <f t="shared" si="10"/>
        <v>5630</v>
      </c>
      <c r="AD10" s="108">
        <f t="shared" si="10"/>
        <v>5630</v>
      </c>
      <c r="AE10" s="108">
        <f t="shared" si="10"/>
        <v>5630</v>
      </c>
      <c r="AF10" s="108">
        <f t="shared" si="10"/>
        <v>5630</v>
      </c>
      <c r="AG10" s="108">
        <f t="shared" si="10"/>
        <v>5630</v>
      </c>
      <c r="AH10" s="108">
        <f t="shared" si="10"/>
        <v>5630</v>
      </c>
      <c r="AI10" s="108">
        <f t="shared" si="10"/>
        <v>5630</v>
      </c>
      <c r="AJ10" s="108">
        <f t="shared" si="10"/>
        <v>5630</v>
      </c>
      <c r="AK10" s="108">
        <f t="shared" si="10"/>
        <v>5630</v>
      </c>
      <c r="AL10" s="108">
        <f t="shared" ref="AL10:AN10" si="11">SUM(AL3:AL9)</f>
        <v>5630</v>
      </c>
      <c r="AM10" s="108">
        <f t="shared" si="11"/>
        <v>5630</v>
      </c>
      <c r="AN10" s="108">
        <f t="shared" si="11"/>
        <v>67560</v>
      </c>
      <c r="AP10" s="119">
        <v>2843900385.51</v>
      </c>
      <c r="AR10" s="117">
        <v>90000000</v>
      </c>
      <c r="AS10" s="118">
        <v>0.02</v>
      </c>
      <c r="AT10" s="117">
        <f t="shared" ref="AT10:AT12" si="12">AR10*AS10</f>
        <v>1800000</v>
      </c>
    </row>
    <row r="11" customHeight="1" spans="1:46">
      <c r="A11" s="12" t="s">
        <v>49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AB11" s="7">
        <f>AB10/1.13*0.0003</f>
        <v>1.49469026548673</v>
      </c>
      <c r="AC11" s="7">
        <f t="shared" ref="AC11:AK11" si="13">AC10/1.13*0.0003</f>
        <v>1.49469026548673</v>
      </c>
      <c r="AD11" s="7">
        <f t="shared" si="13"/>
        <v>1.49469026548673</v>
      </c>
      <c r="AE11" s="7">
        <f t="shared" si="13"/>
        <v>1.49469026548673</v>
      </c>
      <c r="AF11" s="7">
        <f t="shared" si="13"/>
        <v>1.49469026548673</v>
      </c>
      <c r="AG11" s="7">
        <f t="shared" si="13"/>
        <v>1.49469026548673</v>
      </c>
      <c r="AH11" s="7">
        <f t="shared" si="13"/>
        <v>1.49469026548673</v>
      </c>
      <c r="AI11" s="7">
        <f t="shared" si="13"/>
        <v>1.49469026548673</v>
      </c>
      <c r="AJ11" s="7">
        <f t="shared" si="13"/>
        <v>1.49469026548673</v>
      </c>
      <c r="AK11" s="7">
        <f t="shared" si="13"/>
        <v>1.49469026548673</v>
      </c>
      <c r="AL11" s="7">
        <f t="shared" ref="AL11:AM11" si="14">AL10/1.13*0.0003</f>
        <v>1.49469026548673</v>
      </c>
      <c r="AM11" s="7">
        <f t="shared" si="14"/>
        <v>1.49469026548673</v>
      </c>
      <c r="AN11" s="7">
        <f>SUM(AB11:AM11)</f>
        <v>17.9362831858407</v>
      </c>
      <c r="AP11" s="13">
        <f>SUM(AP9:AP10)</f>
        <v>3746854251.5277</v>
      </c>
      <c r="AR11" s="117">
        <v>900000000</v>
      </c>
      <c r="AS11" s="118">
        <v>0.005</v>
      </c>
      <c r="AT11" s="117">
        <f t="shared" si="12"/>
        <v>4500000</v>
      </c>
    </row>
    <row r="12" customHeight="1" spans="39:46">
      <c r="AM12" s="7">
        <f>AM10/1.13*0.045</f>
        <v>224.203539823009</v>
      </c>
      <c r="AR12" s="117">
        <f>AP11-AR9-AR10-AR11</f>
        <v>2746854251.5277</v>
      </c>
      <c r="AS12" s="118">
        <v>0.002</v>
      </c>
      <c r="AT12" s="117">
        <f t="shared" si="12"/>
        <v>5493708.5030554</v>
      </c>
    </row>
    <row r="13" customHeight="1" spans="1:46">
      <c r="A13" s="12" t="s">
        <v>50</v>
      </c>
      <c r="B13" s="12"/>
      <c r="C13" s="103">
        <f>C19/C3</f>
        <v>8.6</v>
      </c>
      <c r="D13" s="7">
        <f t="shared" ref="C13:L13" si="15">D19/D3</f>
        <v>8.6</v>
      </c>
      <c r="E13" s="7">
        <f t="shared" si="15"/>
        <v>8.6</v>
      </c>
      <c r="F13" s="7">
        <f t="shared" si="15"/>
        <v>8.6</v>
      </c>
      <c r="G13" s="7">
        <f t="shared" si="15"/>
        <v>8.6</v>
      </c>
      <c r="H13" s="7">
        <f t="shared" si="15"/>
        <v>8.6</v>
      </c>
      <c r="I13" s="7">
        <f t="shared" si="15"/>
        <v>8.6</v>
      </c>
      <c r="J13" s="7">
        <f t="shared" si="15"/>
        <v>8.6</v>
      </c>
      <c r="K13" s="7">
        <f t="shared" si="15"/>
        <v>8.6</v>
      </c>
      <c r="L13" s="7">
        <f t="shared" si="15"/>
        <v>8.6</v>
      </c>
      <c r="M13" s="7">
        <f t="shared" ref="M13:N13" si="16">M19/M3</f>
        <v>8.6</v>
      </c>
      <c r="N13" s="7">
        <f t="shared" si="16"/>
        <v>8.6</v>
      </c>
      <c r="O13" s="15" t="s">
        <v>5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89"/>
      <c r="AC13" s="89"/>
      <c r="AD13" s="89"/>
      <c r="AE13" s="89"/>
      <c r="AF13" s="89"/>
      <c r="AG13" s="89"/>
      <c r="AH13" s="89"/>
      <c r="AI13" s="89"/>
      <c r="AJ13" s="89"/>
      <c r="AP13" s="13">
        <f>AN10/1.13</f>
        <v>59787.610619469</v>
      </c>
      <c r="AR13" s="118"/>
      <c r="AS13" s="118"/>
      <c r="AT13" s="120">
        <f>SUM(AT9:AT12)</f>
        <v>12193708.5030554</v>
      </c>
    </row>
    <row r="14" customHeight="1" spans="1:52">
      <c r="A14" s="12" t="s">
        <v>51</v>
      </c>
      <c r="B14" s="104">
        <f>O14/O19</f>
        <v>0.465116279069767</v>
      </c>
      <c r="C14" s="17">
        <v>40</v>
      </c>
      <c r="D14" s="17">
        <v>40</v>
      </c>
      <c r="E14" s="17">
        <v>40</v>
      </c>
      <c r="F14" s="17">
        <v>40</v>
      </c>
      <c r="G14" s="17">
        <v>40</v>
      </c>
      <c r="H14" s="17">
        <v>40</v>
      </c>
      <c r="I14" s="17">
        <v>40</v>
      </c>
      <c r="J14" s="17">
        <v>40</v>
      </c>
      <c r="K14" s="17">
        <v>40</v>
      </c>
      <c r="L14" s="17">
        <v>40</v>
      </c>
      <c r="M14" s="17">
        <v>40</v>
      </c>
      <c r="N14" s="17">
        <v>40</v>
      </c>
      <c r="O14" s="106">
        <f>SUM(C14:N14)</f>
        <v>480</v>
      </c>
      <c r="P14" s="113">
        <v>80</v>
      </c>
      <c r="Q14" s="113">
        <v>80</v>
      </c>
      <c r="R14" s="113">
        <v>80</v>
      </c>
      <c r="S14" s="113">
        <v>80</v>
      </c>
      <c r="T14" s="113">
        <v>80</v>
      </c>
      <c r="U14" s="113">
        <v>80</v>
      </c>
      <c r="V14" s="113">
        <v>80</v>
      </c>
      <c r="W14" s="113">
        <v>80</v>
      </c>
      <c r="X14" s="113">
        <v>80</v>
      </c>
      <c r="Y14" s="113">
        <v>80</v>
      </c>
      <c r="Z14" s="113">
        <v>80</v>
      </c>
      <c r="AA14" s="113">
        <v>80</v>
      </c>
      <c r="AB14" s="89">
        <f>C14*P14</f>
        <v>3200</v>
      </c>
      <c r="AC14" s="89">
        <f t="shared" ref="AC14:AJ18" si="17">D14*Q14</f>
        <v>3200</v>
      </c>
      <c r="AD14" s="89">
        <f t="shared" si="17"/>
        <v>3200</v>
      </c>
      <c r="AE14" s="89">
        <f t="shared" si="17"/>
        <v>3200</v>
      </c>
      <c r="AF14" s="89">
        <f t="shared" si="17"/>
        <v>3200</v>
      </c>
      <c r="AG14" s="89">
        <f t="shared" si="17"/>
        <v>3200</v>
      </c>
      <c r="AH14" s="89">
        <f t="shared" si="17"/>
        <v>3200</v>
      </c>
      <c r="AI14" s="89">
        <f t="shared" si="17"/>
        <v>3200</v>
      </c>
      <c r="AJ14" s="89">
        <f t="shared" si="17"/>
        <v>3200</v>
      </c>
      <c r="AK14" s="89">
        <f t="shared" ref="AK14" si="18">L14*Y14</f>
        <v>3200</v>
      </c>
      <c r="AL14" s="89">
        <f t="shared" ref="AL14" si="19">M14*Z14</f>
        <v>3200</v>
      </c>
      <c r="AM14" s="89">
        <f t="shared" ref="AM14" si="20">N14*AA14</f>
        <v>3200</v>
      </c>
      <c r="AN14" s="108">
        <f t="shared" ref="AN14:AN18" si="21">SUM(AB14:AM14)</f>
        <v>38400</v>
      </c>
      <c r="AP14" s="7"/>
      <c r="AR14" s="118"/>
      <c r="AS14" s="118"/>
      <c r="AT14" s="120">
        <f>AT13/12</f>
        <v>1016142.37525462</v>
      </c>
      <c r="AV14" s="1">
        <f>(AB14+AC14+AD14)/10000</f>
        <v>0.96</v>
      </c>
      <c r="AW14" s="1">
        <f>(AE14+AF14+AG14)/10000</f>
        <v>0.96</v>
      </c>
      <c r="AX14" s="1">
        <f>(AH14+AI14+AJ14)/10000</f>
        <v>0.96</v>
      </c>
      <c r="AY14" s="1">
        <f>(AK14+AL14+AM14)/10000</f>
        <v>0.96</v>
      </c>
      <c r="AZ14" s="1">
        <f>SUM(AV14:AY14)</f>
        <v>3.84</v>
      </c>
    </row>
    <row r="15" customHeight="1" spans="1:52">
      <c r="A15" s="12" t="s">
        <v>52</v>
      </c>
      <c r="B15" s="104">
        <f>O15/O19</f>
        <v>0.0930232558139535</v>
      </c>
      <c r="C15" s="17">
        <v>8</v>
      </c>
      <c r="D15" s="17">
        <v>8</v>
      </c>
      <c r="E15" s="17">
        <v>8</v>
      </c>
      <c r="F15" s="17">
        <v>8</v>
      </c>
      <c r="G15" s="17">
        <v>8</v>
      </c>
      <c r="H15" s="17">
        <v>8</v>
      </c>
      <c r="I15" s="17">
        <v>8</v>
      </c>
      <c r="J15" s="17">
        <v>8</v>
      </c>
      <c r="K15" s="17">
        <v>8</v>
      </c>
      <c r="L15" s="17">
        <v>8</v>
      </c>
      <c r="M15" s="17">
        <v>8</v>
      </c>
      <c r="N15" s="17">
        <v>8</v>
      </c>
      <c r="O15" s="106">
        <f t="shared" ref="O15:O20" si="22">SUM(C15:N15)</f>
        <v>96</v>
      </c>
      <c r="P15" s="113">
        <v>50</v>
      </c>
      <c r="Q15" s="113">
        <v>50</v>
      </c>
      <c r="R15" s="113">
        <v>50</v>
      </c>
      <c r="S15" s="113">
        <v>50</v>
      </c>
      <c r="T15" s="113">
        <v>50</v>
      </c>
      <c r="U15" s="113">
        <v>50</v>
      </c>
      <c r="V15" s="113">
        <v>50</v>
      </c>
      <c r="W15" s="113">
        <v>50</v>
      </c>
      <c r="X15" s="113">
        <v>50</v>
      </c>
      <c r="Y15" s="113">
        <v>50</v>
      </c>
      <c r="Z15" s="113">
        <v>50</v>
      </c>
      <c r="AA15" s="113">
        <v>50</v>
      </c>
      <c r="AB15" s="89">
        <f t="shared" ref="AB15:AB18" si="23">C15*P15</f>
        <v>400</v>
      </c>
      <c r="AC15" s="89">
        <f t="shared" si="17"/>
        <v>400</v>
      </c>
      <c r="AD15" s="89">
        <f t="shared" si="17"/>
        <v>400</v>
      </c>
      <c r="AE15" s="89">
        <f t="shared" si="17"/>
        <v>400</v>
      </c>
      <c r="AF15" s="89">
        <f t="shared" si="17"/>
        <v>400</v>
      </c>
      <c r="AG15" s="89">
        <f t="shared" si="17"/>
        <v>400</v>
      </c>
      <c r="AH15" s="89">
        <f t="shared" si="17"/>
        <v>400</v>
      </c>
      <c r="AI15" s="89">
        <f t="shared" ref="AI15:AI18" si="24">J15*W15</f>
        <v>400</v>
      </c>
      <c r="AJ15" s="89">
        <f t="shared" ref="AJ15:AJ18" si="25">K15*X15</f>
        <v>400</v>
      </c>
      <c r="AK15" s="89">
        <f t="shared" ref="AK15:AK18" si="26">L15*Y15</f>
        <v>400</v>
      </c>
      <c r="AL15" s="89">
        <f t="shared" ref="AL15:AL18" si="27">M15*Z15</f>
        <v>400</v>
      </c>
      <c r="AM15" s="89">
        <f t="shared" ref="AM15:AM18" si="28">N15*AA15</f>
        <v>400</v>
      </c>
      <c r="AN15" s="108">
        <f t="shared" si="21"/>
        <v>4800</v>
      </c>
      <c r="AP15" s="7"/>
      <c r="AV15" s="1">
        <f>(AB15+AC15+AD15)/10000</f>
        <v>0.12</v>
      </c>
      <c r="AW15" s="1">
        <f>(AE15+AF15+AG15)/10000</f>
        <v>0.12</v>
      </c>
      <c r="AX15" s="1">
        <f>(AH15+AI15+AJ15)/10000</f>
        <v>0.12</v>
      </c>
      <c r="AY15" s="1">
        <f>(AK15+AL15+AM15)/10000</f>
        <v>0.12</v>
      </c>
      <c r="AZ15" s="1">
        <f>SUM(AV15:AY15)</f>
        <v>0.48</v>
      </c>
    </row>
    <row r="16" customHeight="1" spans="1:52">
      <c r="A16" s="12" t="s">
        <v>53</v>
      </c>
      <c r="B16" s="104">
        <f>O16/O19</f>
        <v>0.0930232558139535</v>
      </c>
      <c r="C16" s="17">
        <v>8</v>
      </c>
      <c r="D16" s="17">
        <v>8</v>
      </c>
      <c r="E16" s="17">
        <v>8</v>
      </c>
      <c r="F16" s="17">
        <v>8</v>
      </c>
      <c r="G16" s="17">
        <v>8</v>
      </c>
      <c r="H16" s="17">
        <v>8</v>
      </c>
      <c r="I16" s="17">
        <v>8</v>
      </c>
      <c r="J16" s="17">
        <v>8</v>
      </c>
      <c r="K16" s="17">
        <v>8</v>
      </c>
      <c r="L16" s="17">
        <v>8</v>
      </c>
      <c r="M16" s="17">
        <v>8</v>
      </c>
      <c r="N16" s="17">
        <v>8</v>
      </c>
      <c r="O16" s="106">
        <f t="shared" si="22"/>
        <v>96</v>
      </c>
      <c r="P16" s="113">
        <v>50</v>
      </c>
      <c r="Q16" s="113">
        <v>50</v>
      </c>
      <c r="R16" s="113">
        <v>50</v>
      </c>
      <c r="S16" s="113">
        <v>50</v>
      </c>
      <c r="T16" s="113">
        <v>50</v>
      </c>
      <c r="U16" s="113">
        <v>50</v>
      </c>
      <c r="V16" s="113">
        <v>50</v>
      </c>
      <c r="W16" s="113">
        <v>50</v>
      </c>
      <c r="X16" s="113">
        <v>50</v>
      </c>
      <c r="Y16" s="113">
        <v>50</v>
      </c>
      <c r="Z16" s="113">
        <v>50</v>
      </c>
      <c r="AA16" s="113">
        <v>50</v>
      </c>
      <c r="AB16" s="89">
        <f t="shared" si="23"/>
        <v>400</v>
      </c>
      <c r="AC16" s="89">
        <f t="shared" si="17"/>
        <v>400</v>
      </c>
      <c r="AD16" s="89">
        <f t="shared" si="17"/>
        <v>400</v>
      </c>
      <c r="AE16" s="89">
        <f t="shared" si="17"/>
        <v>400</v>
      </c>
      <c r="AF16" s="89">
        <f t="shared" si="17"/>
        <v>400</v>
      </c>
      <c r="AG16" s="89">
        <f t="shared" si="17"/>
        <v>400</v>
      </c>
      <c r="AH16" s="89">
        <f t="shared" si="17"/>
        <v>400</v>
      </c>
      <c r="AI16" s="89">
        <f t="shared" si="24"/>
        <v>400</v>
      </c>
      <c r="AJ16" s="89">
        <f t="shared" si="25"/>
        <v>400</v>
      </c>
      <c r="AK16" s="89">
        <f t="shared" si="26"/>
        <v>400</v>
      </c>
      <c r="AL16" s="89">
        <f t="shared" si="27"/>
        <v>400</v>
      </c>
      <c r="AM16" s="89">
        <f t="shared" si="28"/>
        <v>400</v>
      </c>
      <c r="AN16" s="108">
        <f t="shared" si="21"/>
        <v>4800</v>
      </c>
      <c r="AP16" s="7"/>
      <c r="AV16" s="1">
        <f>(AB16+AC16+AD16)/10000</f>
        <v>0.12</v>
      </c>
      <c r="AW16" s="1">
        <f>(AE16+AF16+AG16)/10000</f>
        <v>0.12</v>
      </c>
      <c r="AX16" s="1">
        <f>(AH16+AI16+AJ16)/10000</f>
        <v>0.12</v>
      </c>
      <c r="AY16" s="1">
        <f>(AK16+AL16+AM16)/10000</f>
        <v>0.12</v>
      </c>
      <c r="AZ16" s="1">
        <f>SUM(AV16:AY16)</f>
        <v>0.48</v>
      </c>
    </row>
    <row r="17" customHeight="1" spans="1:52">
      <c r="A17" s="12" t="s">
        <v>54</v>
      </c>
      <c r="B17" s="104">
        <f>O17/O19</f>
        <v>0.232558139534884</v>
      </c>
      <c r="C17" s="17">
        <v>20</v>
      </c>
      <c r="D17" s="17">
        <v>20</v>
      </c>
      <c r="E17" s="17">
        <v>20</v>
      </c>
      <c r="F17" s="17">
        <v>20</v>
      </c>
      <c r="G17" s="17">
        <v>20</v>
      </c>
      <c r="H17" s="17">
        <v>20</v>
      </c>
      <c r="I17" s="17">
        <v>20</v>
      </c>
      <c r="J17" s="17">
        <v>20</v>
      </c>
      <c r="K17" s="17">
        <v>20</v>
      </c>
      <c r="L17" s="17">
        <v>20</v>
      </c>
      <c r="M17" s="17">
        <v>20</v>
      </c>
      <c r="N17" s="17">
        <v>20</v>
      </c>
      <c r="O17" s="106">
        <f t="shared" si="22"/>
        <v>240</v>
      </c>
      <c r="P17" s="113">
        <v>70</v>
      </c>
      <c r="Q17" s="113">
        <v>70</v>
      </c>
      <c r="R17" s="113">
        <v>70</v>
      </c>
      <c r="S17" s="113">
        <v>70</v>
      </c>
      <c r="T17" s="113">
        <v>70</v>
      </c>
      <c r="U17" s="113">
        <v>70</v>
      </c>
      <c r="V17" s="113">
        <v>70</v>
      </c>
      <c r="W17" s="113">
        <v>70</v>
      </c>
      <c r="X17" s="113">
        <v>70</v>
      </c>
      <c r="Y17" s="113">
        <v>70</v>
      </c>
      <c r="Z17" s="113">
        <v>70</v>
      </c>
      <c r="AA17" s="113">
        <v>70</v>
      </c>
      <c r="AB17" s="89">
        <f t="shared" si="23"/>
        <v>1400</v>
      </c>
      <c r="AC17" s="89">
        <f t="shared" si="17"/>
        <v>1400</v>
      </c>
      <c r="AD17" s="89">
        <f t="shared" si="17"/>
        <v>1400</v>
      </c>
      <c r="AE17" s="89">
        <f t="shared" si="17"/>
        <v>1400</v>
      </c>
      <c r="AF17" s="89">
        <f t="shared" si="17"/>
        <v>1400</v>
      </c>
      <c r="AG17" s="89">
        <f t="shared" si="17"/>
        <v>1400</v>
      </c>
      <c r="AH17" s="89">
        <f t="shared" si="17"/>
        <v>1400</v>
      </c>
      <c r="AI17" s="89">
        <f t="shared" si="24"/>
        <v>1400</v>
      </c>
      <c r="AJ17" s="89">
        <f t="shared" si="25"/>
        <v>1400</v>
      </c>
      <c r="AK17" s="89">
        <f t="shared" si="26"/>
        <v>1400</v>
      </c>
      <c r="AL17" s="89">
        <f t="shared" si="27"/>
        <v>1400</v>
      </c>
      <c r="AM17" s="89">
        <f t="shared" si="28"/>
        <v>1400</v>
      </c>
      <c r="AN17" s="108">
        <f t="shared" si="21"/>
        <v>16800</v>
      </c>
      <c r="AP17" s="7"/>
      <c r="AV17" s="1">
        <f>(AB17+AC17+AD17)/10000</f>
        <v>0.42</v>
      </c>
      <c r="AW17" s="1">
        <f>(AE17+AF17+AG17)/10000</f>
        <v>0.42</v>
      </c>
      <c r="AX17" s="1">
        <f>(AH17+AI17+AJ17)/10000</f>
        <v>0.42</v>
      </c>
      <c r="AY17" s="1">
        <f>(AK17+AL17+AM17)/10000</f>
        <v>0.42</v>
      </c>
      <c r="AZ17" s="1">
        <f>SUM(AV17:AY17)</f>
        <v>1.68</v>
      </c>
    </row>
    <row r="18" customHeight="1" spans="1:52">
      <c r="A18" s="12" t="s">
        <v>55</v>
      </c>
      <c r="B18" s="104">
        <f>O18/O19</f>
        <v>0.116279069767442</v>
      </c>
      <c r="C18" s="17">
        <v>10</v>
      </c>
      <c r="D18" s="17">
        <v>10</v>
      </c>
      <c r="E18" s="17">
        <v>10</v>
      </c>
      <c r="F18" s="17">
        <v>10</v>
      </c>
      <c r="G18" s="17">
        <v>10</v>
      </c>
      <c r="H18" s="17">
        <v>10</v>
      </c>
      <c r="I18" s="17">
        <v>10</v>
      </c>
      <c r="J18" s="17">
        <v>10</v>
      </c>
      <c r="K18" s="17">
        <v>10</v>
      </c>
      <c r="L18" s="17">
        <v>10</v>
      </c>
      <c r="M18" s="17">
        <v>10</v>
      </c>
      <c r="N18" s="17">
        <v>10</v>
      </c>
      <c r="O18" s="106">
        <f t="shared" si="22"/>
        <v>120</v>
      </c>
      <c r="P18" s="113">
        <v>60</v>
      </c>
      <c r="Q18" s="113">
        <v>60</v>
      </c>
      <c r="R18" s="113">
        <v>60</v>
      </c>
      <c r="S18" s="113">
        <v>60</v>
      </c>
      <c r="T18" s="113">
        <v>60</v>
      </c>
      <c r="U18" s="113">
        <v>60</v>
      </c>
      <c r="V18" s="113">
        <v>60</v>
      </c>
      <c r="W18" s="113">
        <v>60</v>
      </c>
      <c r="X18" s="113">
        <v>60</v>
      </c>
      <c r="Y18" s="113">
        <v>60</v>
      </c>
      <c r="Z18" s="113">
        <v>60</v>
      </c>
      <c r="AA18" s="113">
        <v>60</v>
      </c>
      <c r="AB18" s="89">
        <f t="shared" si="23"/>
        <v>600</v>
      </c>
      <c r="AC18" s="89">
        <f t="shared" si="17"/>
        <v>600</v>
      </c>
      <c r="AD18" s="89">
        <f t="shared" si="17"/>
        <v>600</v>
      </c>
      <c r="AE18" s="89">
        <f t="shared" si="17"/>
        <v>600</v>
      </c>
      <c r="AF18" s="89">
        <f t="shared" si="17"/>
        <v>600</v>
      </c>
      <c r="AG18" s="89">
        <f t="shared" si="17"/>
        <v>600</v>
      </c>
      <c r="AH18" s="89">
        <f t="shared" si="17"/>
        <v>600</v>
      </c>
      <c r="AI18" s="89">
        <f t="shared" si="24"/>
        <v>600</v>
      </c>
      <c r="AJ18" s="89">
        <f t="shared" si="25"/>
        <v>600</v>
      </c>
      <c r="AK18" s="89">
        <f t="shared" si="26"/>
        <v>600</v>
      </c>
      <c r="AL18" s="89">
        <f t="shared" si="27"/>
        <v>600</v>
      </c>
      <c r="AM18" s="89">
        <f t="shared" si="28"/>
        <v>600</v>
      </c>
      <c r="AN18" s="108">
        <f t="shared" si="21"/>
        <v>7200</v>
      </c>
      <c r="AP18" s="7"/>
      <c r="AV18" s="1">
        <f>(AB18+AC18+AD18)/10000</f>
        <v>0.18</v>
      </c>
      <c r="AW18" s="1">
        <f>(AE18+AF18+AG18)/10000</f>
        <v>0.18</v>
      </c>
      <c r="AX18" s="1">
        <f>(AH18+AI18+AJ18)/10000</f>
        <v>0.18</v>
      </c>
      <c r="AY18" s="1">
        <f>(AK18+AL18+AM18)/10000</f>
        <v>0.18</v>
      </c>
      <c r="AZ18" s="1">
        <f>SUM(AV18:AY18)</f>
        <v>0.72</v>
      </c>
    </row>
    <row r="19" s="100" customFormat="1" customHeight="1" spans="1:40">
      <c r="A19" s="15" t="s">
        <v>56</v>
      </c>
      <c r="B19" s="105"/>
      <c r="C19" s="106">
        <f t="shared" ref="C19:L19" si="29">SUM(C14:C18)</f>
        <v>86</v>
      </c>
      <c r="D19" s="106">
        <f t="shared" si="29"/>
        <v>86</v>
      </c>
      <c r="E19" s="106">
        <f t="shared" si="29"/>
        <v>86</v>
      </c>
      <c r="F19" s="106">
        <f t="shared" si="29"/>
        <v>86</v>
      </c>
      <c r="G19" s="106">
        <f t="shared" si="29"/>
        <v>86</v>
      </c>
      <c r="H19" s="106">
        <f t="shared" si="29"/>
        <v>86</v>
      </c>
      <c r="I19" s="106">
        <f t="shared" si="29"/>
        <v>86</v>
      </c>
      <c r="J19" s="106">
        <f t="shared" si="29"/>
        <v>86</v>
      </c>
      <c r="K19" s="106">
        <f t="shared" si="29"/>
        <v>86</v>
      </c>
      <c r="L19" s="106">
        <f t="shared" si="29"/>
        <v>86</v>
      </c>
      <c r="M19" s="106">
        <f t="shared" ref="M19:N19" si="30">SUM(M14:M18)</f>
        <v>86</v>
      </c>
      <c r="N19" s="106">
        <f t="shared" si="30"/>
        <v>86</v>
      </c>
      <c r="O19" s="106">
        <f t="shared" si="22"/>
        <v>1032</v>
      </c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8"/>
      <c r="AB19" s="108">
        <f t="shared" ref="AB19:AN19" si="31">SUM(AB14:AB18)</f>
        <v>6000</v>
      </c>
      <c r="AC19" s="108">
        <f t="shared" si="31"/>
        <v>6000</v>
      </c>
      <c r="AD19" s="108">
        <f t="shared" si="31"/>
        <v>6000</v>
      </c>
      <c r="AE19" s="108">
        <f t="shared" si="31"/>
        <v>6000</v>
      </c>
      <c r="AF19" s="108">
        <f t="shared" si="31"/>
        <v>6000</v>
      </c>
      <c r="AG19" s="108">
        <f t="shared" si="31"/>
        <v>6000</v>
      </c>
      <c r="AH19" s="108">
        <f t="shared" si="31"/>
        <v>6000</v>
      </c>
      <c r="AI19" s="108">
        <f t="shared" si="31"/>
        <v>6000</v>
      </c>
      <c r="AJ19" s="108">
        <f t="shared" si="31"/>
        <v>6000</v>
      </c>
      <c r="AK19" s="108">
        <f t="shared" si="31"/>
        <v>6000</v>
      </c>
      <c r="AL19" s="108">
        <f t="shared" si="31"/>
        <v>6000</v>
      </c>
      <c r="AM19" s="108">
        <f t="shared" si="31"/>
        <v>6000</v>
      </c>
      <c r="AN19" s="108">
        <f t="shared" si="31"/>
        <v>72000</v>
      </c>
    </row>
    <row r="20" s="100" customFormat="1" customHeight="1" spans="1:52">
      <c r="A20" s="15" t="s">
        <v>57</v>
      </c>
      <c r="B20" s="107"/>
      <c r="C20" s="108">
        <v>2</v>
      </c>
      <c r="D20" s="108">
        <v>1.9</v>
      </c>
      <c r="E20" s="108">
        <v>1.7</v>
      </c>
      <c r="F20" s="108">
        <v>1.3</v>
      </c>
      <c r="G20" s="108">
        <v>1.4</v>
      </c>
      <c r="H20" s="108">
        <v>1.3</v>
      </c>
      <c r="I20" s="108">
        <v>1.3</v>
      </c>
      <c r="J20" s="108">
        <v>1.3</v>
      </c>
      <c r="K20" s="108">
        <v>1.3</v>
      </c>
      <c r="L20" s="108">
        <v>1.5</v>
      </c>
      <c r="M20" s="108">
        <v>1.9</v>
      </c>
      <c r="N20" s="108">
        <v>2</v>
      </c>
      <c r="O20" s="106">
        <f t="shared" si="22"/>
        <v>18.9</v>
      </c>
      <c r="P20" s="106">
        <v>20</v>
      </c>
      <c r="Q20" s="106">
        <v>20</v>
      </c>
      <c r="R20" s="106">
        <v>20</v>
      </c>
      <c r="S20" s="106">
        <v>20</v>
      </c>
      <c r="T20" s="106">
        <v>20</v>
      </c>
      <c r="U20" s="106">
        <v>20</v>
      </c>
      <c r="V20" s="106">
        <v>20</v>
      </c>
      <c r="W20" s="106">
        <v>20</v>
      </c>
      <c r="X20" s="106">
        <v>20</v>
      </c>
      <c r="Y20" s="106">
        <v>20</v>
      </c>
      <c r="Z20" s="106">
        <v>20</v>
      </c>
      <c r="AA20" s="106">
        <v>20</v>
      </c>
      <c r="AB20" s="91">
        <f>C20*P20</f>
        <v>40</v>
      </c>
      <c r="AC20" s="91">
        <f t="shared" ref="AC20:AM20" si="32">D20*Q20</f>
        <v>38</v>
      </c>
      <c r="AD20" s="91">
        <f t="shared" si="32"/>
        <v>34</v>
      </c>
      <c r="AE20" s="91">
        <f t="shared" si="32"/>
        <v>26</v>
      </c>
      <c r="AF20" s="91">
        <f t="shared" si="32"/>
        <v>28</v>
      </c>
      <c r="AG20" s="91">
        <f t="shared" si="32"/>
        <v>26</v>
      </c>
      <c r="AH20" s="91">
        <f t="shared" si="32"/>
        <v>26</v>
      </c>
      <c r="AI20" s="91">
        <f t="shared" si="32"/>
        <v>26</v>
      </c>
      <c r="AJ20" s="91">
        <f t="shared" si="32"/>
        <v>26</v>
      </c>
      <c r="AK20" s="91">
        <f t="shared" si="32"/>
        <v>30</v>
      </c>
      <c r="AL20" s="91">
        <f t="shared" si="32"/>
        <v>38</v>
      </c>
      <c r="AM20" s="91">
        <f t="shared" si="32"/>
        <v>40</v>
      </c>
      <c r="AN20" s="108">
        <f>SUM(AB20:AM20)</f>
        <v>378</v>
      </c>
      <c r="AV20" s="1">
        <f>(AB20+AC20+AD20)/10000</f>
        <v>0.0112</v>
      </c>
      <c r="AW20" s="1">
        <f>(AE20+AF20+AG20)/10000</f>
        <v>0.008</v>
      </c>
      <c r="AX20" s="1">
        <f>(AH20+AI20+AJ20)/10000</f>
        <v>0.0078</v>
      </c>
      <c r="AY20" s="1">
        <f>(AK20+AL20+AM20)/10000</f>
        <v>0.0108</v>
      </c>
      <c r="AZ20" s="100">
        <f>SUM(AV20:AY20)</f>
        <v>0.0378</v>
      </c>
    </row>
    <row r="21" customHeight="1" spans="1:36">
      <c r="A21" s="12" t="s">
        <v>58</v>
      </c>
      <c r="B21" s="12"/>
      <c r="C21" s="103">
        <f t="shared" ref="C21:L21" si="33">C27/C4</f>
        <v>10</v>
      </c>
      <c r="D21" s="7">
        <f t="shared" si="33"/>
        <v>10</v>
      </c>
      <c r="E21" s="7">
        <f t="shared" si="33"/>
        <v>10</v>
      </c>
      <c r="F21" s="7">
        <f t="shared" si="33"/>
        <v>10</v>
      </c>
      <c r="G21" s="7">
        <f t="shared" si="33"/>
        <v>10</v>
      </c>
      <c r="H21" s="7">
        <f t="shared" si="33"/>
        <v>10</v>
      </c>
      <c r="I21" s="7">
        <f t="shared" si="33"/>
        <v>10</v>
      </c>
      <c r="J21" s="7">
        <f t="shared" si="33"/>
        <v>10</v>
      </c>
      <c r="K21" s="7">
        <f t="shared" si="33"/>
        <v>10</v>
      </c>
      <c r="L21" s="7">
        <f t="shared" si="33"/>
        <v>10</v>
      </c>
      <c r="M21" s="7">
        <f t="shared" ref="M21:N21" si="34">M27/M4</f>
        <v>10</v>
      </c>
      <c r="N21" s="7">
        <f t="shared" si="34"/>
        <v>10</v>
      </c>
      <c r="AA21" s="7"/>
      <c r="AB21" s="89"/>
      <c r="AC21" s="89"/>
      <c r="AD21" s="89"/>
      <c r="AE21" s="89"/>
      <c r="AF21" s="89"/>
      <c r="AG21" s="89"/>
      <c r="AH21" s="89"/>
      <c r="AI21" s="89"/>
      <c r="AJ21" s="89"/>
    </row>
    <row r="22" customHeight="1" spans="1:52">
      <c r="A22" s="12" t="s">
        <v>51</v>
      </c>
      <c r="B22" s="104">
        <f>O22/O27</f>
        <v>0.4</v>
      </c>
      <c r="C22" s="17">
        <v>80</v>
      </c>
      <c r="D22" s="17">
        <v>80</v>
      </c>
      <c r="E22" s="17">
        <v>80</v>
      </c>
      <c r="F22" s="17">
        <v>80</v>
      </c>
      <c r="G22" s="17">
        <v>80</v>
      </c>
      <c r="H22" s="17">
        <v>80</v>
      </c>
      <c r="I22" s="17">
        <v>80</v>
      </c>
      <c r="J22" s="17">
        <v>80</v>
      </c>
      <c r="K22" s="17">
        <v>80</v>
      </c>
      <c r="L22" s="17">
        <v>80</v>
      </c>
      <c r="M22" s="17">
        <v>80</v>
      </c>
      <c r="N22" s="17">
        <v>80</v>
      </c>
      <c r="O22" s="106">
        <f>SUM(C22:N22)</f>
        <v>960</v>
      </c>
      <c r="P22" s="113">
        <v>80</v>
      </c>
      <c r="Q22" s="113">
        <v>80</v>
      </c>
      <c r="R22" s="113">
        <v>80</v>
      </c>
      <c r="S22" s="113">
        <v>80</v>
      </c>
      <c r="T22" s="113">
        <v>80</v>
      </c>
      <c r="U22" s="113">
        <v>80</v>
      </c>
      <c r="V22" s="113">
        <v>80</v>
      </c>
      <c r="W22" s="113">
        <v>80</v>
      </c>
      <c r="X22" s="113">
        <v>80</v>
      </c>
      <c r="Y22" s="113">
        <v>80</v>
      </c>
      <c r="Z22" s="113">
        <v>80</v>
      </c>
      <c r="AA22" s="113">
        <v>80</v>
      </c>
      <c r="AB22" s="89">
        <f>C22*P22</f>
        <v>6400</v>
      </c>
      <c r="AC22" s="89">
        <f t="shared" ref="AC22:AM26" si="35">D22*Q22</f>
        <v>6400</v>
      </c>
      <c r="AD22" s="89">
        <f t="shared" si="35"/>
        <v>6400</v>
      </c>
      <c r="AE22" s="89">
        <f t="shared" si="35"/>
        <v>6400</v>
      </c>
      <c r="AF22" s="89">
        <f t="shared" si="35"/>
        <v>6400</v>
      </c>
      <c r="AG22" s="89">
        <f t="shared" si="35"/>
        <v>6400</v>
      </c>
      <c r="AH22" s="89">
        <f t="shared" si="35"/>
        <v>6400</v>
      </c>
      <c r="AI22" s="89">
        <f t="shared" si="35"/>
        <v>6400</v>
      </c>
      <c r="AJ22" s="89">
        <f t="shared" si="35"/>
        <v>6400</v>
      </c>
      <c r="AK22" s="89">
        <f t="shared" si="35"/>
        <v>6400</v>
      </c>
      <c r="AL22" s="89">
        <f t="shared" si="35"/>
        <v>6400</v>
      </c>
      <c r="AM22" s="89">
        <f t="shared" si="35"/>
        <v>6400</v>
      </c>
      <c r="AN22" s="108">
        <f>SUM(AB22:AM22)</f>
        <v>76800</v>
      </c>
      <c r="AP22" s="7"/>
      <c r="AV22" s="1">
        <f>(AB22+AC22+AD22)/10000</f>
        <v>1.92</v>
      </c>
      <c r="AW22" s="1">
        <f>(AE22+AF22+AG22)/10000</f>
        <v>1.92</v>
      </c>
      <c r="AX22" s="1">
        <f>(AH22+AI22+AJ22)/10000</f>
        <v>1.92</v>
      </c>
      <c r="AY22" s="1">
        <f>(AK22+AL22+AM22)/10000</f>
        <v>1.92</v>
      </c>
      <c r="AZ22" s="1">
        <f>SUM(AV22:AY22)</f>
        <v>7.68</v>
      </c>
    </row>
    <row r="23" customHeight="1" spans="1:52">
      <c r="A23" s="12" t="s">
        <v>52</v>
      </c>
      <c r="B23" s="104">
        <f>O23/O27</f>
        <v>0.075</v>
      </c>
      <c r="C23" s="17">
        <v>15</v>
      </c>
      <c r="D23" s="17">
        <v>15</v>
      </c>
      <c r="E23" s="17">
        <v>15</v>
      </c>
      <c r="F23" s="17">
        <v>15</v>
      </c>
      <c r="G23" s="17">
        <v>15</v>
      </c>
      <c r="H23" s="17">
        <v>15</v>
      </c>
      <c r="I23" s="17">
        <v>15</v>
      </c>
      <c r="J23" s="17">
        <v>15</v>
      </c>
      <c r="K23" s="17">
        <v>15</v>
      </c>
      <c r="L23" s="17">
        <v>15</v>
      </c>
      <c r="M23" s="17">
        <v>15</v>
      </c>
      <c r="N23" s="17">
        <v>15</v>
      </c>
      <c r="O23" s="106">
        <f t="shared" ref="O23:O27" si="36">SUM(C23:N23)</f>
        <v>180</v>
      </c>
      <c r="P23" s="113">
        <v>50</v>
      </c>
      <c r="Q23" s="113">
        <v>50</v>
      </c>
      <c r="R23" s="113">
        <v>50</v>
      </c>
      <c r="S23" s="113">
        <v>50</v>
      </c>
      <c r="T23" s="113">
        <v>50</v>
      </c>
      <c r="U23" s="113">
        <v>50</v>
      </c>
      <c r="V23" s="113">
        <v>50</v>
      </c>
      <c r="W23" s="113">
        <v>50</v>
      </c>
      <c r="X23" s="113">
        <v>50</v>
      </c>
      <c r="Y23" s="113">
        <v>50</v>
      </c>
      <c r="Z23" s="113">
        <v>50</v>
      </c>
      <c r="AA23" s="113">
        <v>50</v>
      </c>
      <c r="AB23" s="89">
        <f t="shared" ref="AB23:AB26" si="37">C23*P23</f>
        <v>750</v>
      </c>
      <c r="AC23" s="89">
        <f t="shared" si="35"/>
        <v>750</v>
      </c>
      <c r="AD23" s="89">
        <f t="shared" si="35"/>
        <v>750</v>
      </c>
      <c r="AE23" s="89">
        <f t="shared" si="35"/>
        <v>750</v>
      </c>
      <c r="AF23" s="89">
        <f t="shared" si="35"/>
        <v>750</v>
      </c>
      <c r="AG23" s="89">
        <f t="shared" si="35"/>
        <v>750</v>
      </c>
      <c r="AH23" s="89">
        <f t="shared" si="35"/>
        <v>750</v>
      </c>
      <c r="AI23" s="89">
        <f t="shared" si="35"/>
        <v>750</v>
      </c>
      <c r="AJ23" s="89">
        <f t="shared" si="35"/>
        <v>750</v>
      </c>
      <c r="AK23" s="89">
        <f t="shared" si="35"/>
        <v>750</v>
      </c>
      <c r="AL23" s="89">
        <f t="shared" si="35"/>
        <v>750</v>
      </c>
      <c r="AM23" s="89">
        <f t="shared" si="35"/>
        <v>750</v>
      </c>
      <c r="AN23" s="108">
        <f t="shared" ref="AN23:AN26" si="38">SUM(AB23:AM23)</f>
        <v>9000</v>
      </c>
      <c r="AP23" s="7"/>
      <c r="AV23" s="1">
        <f>(AB23+AC23+AD23)/10000</f>
        <v>0.225</v>
      </c>
      <c r="AW23" s="1">
        <f>(AE23+AF23+AG23)/10000</f>
        <v>0.225</v>
      </c>
      <c r="AX23" s="1">
        <f>(AH23+AI23+AJ23)/10000</f>
        <v>0.225</v>
      </c>
      <c r="AY23" s="1">
        <f>(AK23+AL23+AM23)/10000</f>
        <v>0.225</v>
      </c>
      <c r="AZ23" s="1">
        <f>SUM(AV23:AY23)</f>
        <v>0.9</v>
      </c>
    </row>
    <row r="24" customHeight="1" spans="1:52">
      <c r="A24" s="12" t="s">
        <v>53</v>
      </c>
      <c r="B24" s="104">
        <f>O24/O27</f>
        <v>0.075</v>
      </c>
      <c r="C24" s="17">
        <v>15</v>
      </c>
      <c r="D24" s="17">
        <v>15</v>
      </c>
      <c r="E24" s="17">
        <v>15</v>
      </c>
      <c r="F24" s="17">
        <v>15</v>
      </c>
      <c r="G24" s="17">
        <v>15</v>
      </c>
      <c r="H24" s="17">
        <v>15</v>
      </c>
      <c r="I24" s="17">
        <v>15</v>
      </c>
      <c r="J24" s="17">
        <v>15</v>
      </c>
      <c r="K24" s="17">
        <v>15</v>
      </c>
      <c r="L24" s="17">
        <v>15</v>
      </c>
      <c r="M24" s="17">
        <v>15</v>
      </c>
      <c r="N24" s="17">
        <v>15</v>
      </c>
      <c r="O24" s="106">
        <f t="shared" si="36"/>
        <v>180</v>
      </c>
      <c r="P24" s="113">
        <v>50</v>
      </c>
      <c r="Q24" s="113">
        <v>50</v>
      </c>
      <c r="R24" s="113">
        <v>50</v>
      </c>
      <c r="S24" s="113">
        <v>50</v>
      </c>
      <c r="T24" s="113">
        <v>50</v>
      </c>
      <c r="U24" s="113">
        <v>50</v>
      </c>
      <c r="V24" s="113">
        <v>50</v>
      </c>
      <c r="W24" s="113">
        <v>50</v>
      </c>
      <c r="X24" s="113">
        <v>50</v>
      </c>
      <c r="Y24" s="113">
        <v>50</v>
      </c>
      <c r="Z24" s="113">
        <v>50</v>
      </c>
      <c r="AA24" s="113">
        <v>50</v>
      </c>
      <c r="AB24" s="89">
        <f t="shared" si="37"/>
        <v>750</v>
      </c>
      <c r="AC24" s="89">
        <f t="shared" si="35"/>
        <v>750</v>
      </c>
      <c r="AD24" s="89">
        <f t="shared" si="35"/>
        <v>750</v>
      </c>
      <c r="AE24" s="89">
        <f t="shared" si="35"/>
        <v>750</v>
      </c>
      <c r="AF24" s="89">
        <f t="shared" si="35"/>
        <v>750</v>
      </c>
      <c r="AG24" s="89">
        <f t="shared" si="35"/>
        <v>750</v>
      </c>
      <c r="AH24" s="89">
        <f t="shared" si="35"/>
        <v>750</v>
      </c>
      <c r="AI24" s="89">
        <f t="shared" si="35"/>
        <v>750</v>
      </c>
      <c r="AJ24" s="89">
        <f t="shared" si="35"/>
        <v>750</v>
      </c>
      <c r="AK24" s="89">
        <f t="shared" si="35"/>
        <v>750</v>
      </c>
      <c r="AL24" s="89">
        <f t="shared" si="35"/>
        <v>750</v>
      </c>
      <c r="AM24" s="89">
        <f t="shared" si="35"/>
        <v>750</v>
      </c>
      <c r="AN24" s="108">
        <f t="shared" si="38"/>
        <v>9000</v>
      </c>
      <c r="AP24" s="7"/>
      <c r="AV24" s="1">
        <f>(AB24+AC24+AD24)/10000</f>
        <v>0.225</v>
      </c>
      <c r="AW24" s="1">
        <f>(AE24+AF24+AG24)/10000</f>
        <v>0.225</v>
      </c>
      <c r="AX24" s="1">
        <f>(AH24+AI24+AJ24)/10000</f>
        <v>0.225</v>
      </c>
      <c r="AY24" s="1">
        <f>(AK24+AL24+AM24)/10000</f>
        <v>0.225</v>
      </c>
      <c r="AZ24" s="1">
        <f>SUM(AV24:AY24)</f>
        <v>0.9</v>
      </c>
    </row>
    <row r="25" customHeight="1" spans="1:52">
      <c r="A25" s="12" t="s">
        <v>54</v>
      </c>
      <c r="B25" s="104">
        <f>O25/O27</f>
        <v>0.2</v>
      </c>
      <c r="C25" s="17">
        <v>40</v>
      </c>
      <c r="D25" s="17">
        <v>40</v>
      </c>
      <c r="E25" s="17">
        <v>40</v>
      </c>
      <c r="F25" s="17">
        <v>40</v>
      </c>
      <c r="G25" s="17">
        <v>40</v>
      </c>
      <c r="H25" s="17">
        <v>40</v>
      </c>
      <c r="I25" s="17">
        <v>40</v>
      </c>
      <c r="J25" s="17">
        <v>40</v>
      </c>
      <c r="K25" s="17">
        <v>40</v>
      </c>
      <c r="L25" s="17">
        <v>40</v>
      </c>
      <c r="M25" s="17">
        <v>40</v>
      </c>
      <c r="N25" s="17">
        <v>40</v>
      </c>
      <c r="O25" s="106">
        <f t="shared" si="36"/>
        <v>480</v>
      </c>
      <c r="P25" s="113">
        <v>70</v>
      </c>
      <c r="Q25" s="113">
        <v>70</v>
      </c>
      <c r="R25" s="113">
        <v>70</v>
      </c>
      <c r="S25" s="113">
        <v>70</v>
      </c>
      <c r="T25" s="113">
        <v>70</v>
      </c>
      <c r="U25" s="113">
        <v>70</v>
      </c>
      <c r="V25" s="113">
        <v>70</v>
      </c>
      <c r="W25" s="113">
        <v>70</v>
      </c>
      <c r="X25" s="113">
        <v>70</v>
      </c>
      <c r="Y25" s="113">
        <v>70</v>
      </c>
      <c r="Z25" s="113">
        <v>70</v>
      </c>
      <c r="AA25" s="113">
        <v>70</v>
      </c>
      <c r="AB25" s="89">
        <f t="shared" si="37"/>
        <v>2800</v>
      </c>
      <c r="AC25" s="89">
        <f t="shared" si="35"/>
        <v>2800</v>
      </c>
      <c r="AD25" s="89">
        <f t="shared" si="35"/>
        <v>2800</v>
      </c>
      <c r="AE25" s="89">
        <f t="shared" si="35"/>
        <v>2800</v>
      </c>
      <c r="AF25" s="89">
        <f t="shared" si="35"/>
        <v>2800</v>
      </c>
      <c r="AG25" s="89">
        <f t="shared" si="35"/>
        <v>2800</v>
      </c>
      <c r="AH25" s="89">
        <f t="shared" si="35"/>
        <v>2800</v>
      </c>
      <c r="AI25" s="89">
        <f t="shared" si="35"/>
        <v>2800</v>
      </c>
      <c r="AJ25" s="89">
        <f t="shared" si="35"/>
        <v>2800</v>
      </c>
      <c r="AK25" s="89">
        <f t="shared" si="35"/>
        <v>2800</v>
      </c>
      <c r="AL25" s="89">
        <f t="shared" si="35"/>
        <v>2800</v>
      </c>
      <c r="AM25" s="89">
        <f t="shared" si="35"/>
        <v>2800</v>
      </c>
      <c r="AN25" s="108">
        <f t="shared" si="38"/>
        <v>33600</v>
      </c>
      <c r="AP25" s="7"/>
      <c r="AV25" s="1">
        <f>(AB25+AC25+AD25)/10000</f>
        <v>0.84</v>
      </c>
      <c r="AW25" s="1">
        <f>(AE25+AF25+AG25)/10000</f>
        <v>0.84</v>
      </c>
      <c r="AX25" s="1">
        <f>(AH25+AI25+AJ25)/10000</f>
        <v>0.84</v>
      </c>
      <c r="AY25" s="1">
        <f>(AK25+AL25+AM25)/10000</f>
        <v>0.84</v>
      </c>
      <c r="AZ25" s="1">
        <f>SUM(AV25:AY25)</f>
        <v>3.36</v>
      </c>
    </row>
    <row r="26" customHeight="1" spans="1:52">
      <c r="A26" s="12" t="s">
        <v>55</v>
      </c>
      <c r="B26" s="104">
        <f>O26/O27</f>
        <v>0.25</v>
      </c>
      <c r="C26" s="17">
        <v>50</v>
      </c>
      <c r="D26" s="17">
        <v>50</v>
      </c>
      <c r="E26" s="17">
        <v>50</v>
      </c>
      <c r="F26" s="17">
        <v>50</v>
      </c>
      <c r="G26" s="17">
        <v>50</v>
      </c>
      <c r="H26" s="17">
        <v>50</v>
      </c>
      <c r="I26" s="17">
        <v>50</v>
      </c>
      <c r="J26" s="17">
        <v>50</v>
      </c>
      <c r="K26" s="17">
        <v>50</v>
      </c>
      <c r="L26" s="17">
        <v>50</v>
      </c>
      <c r="M26" s="17">
        <v>50</v>
      </c>
      <c r="N26" s="17">
        <v>50</v>
      </c>
      <c r="O26" s="106">
        <f t="shared" si="36"/>
        <v>600</v>
      </c>
      <c r="P26" s="113">
        <v>60</v>
      </c>
      <c r="Q26" s="113">
        <v>60</v>
      </c>
      <c r="R26" s="113">
        <v>60</v>
      </c>
      <c r="S26" s="113">
        <v>60</v>
      </c>
      <c r="T26" s="113">
        <v>60</v>
      </c>
      <c r="U26" s="113">
        <v>60</v>
      </c>
      <c r="V26" s="113">
        <v>60</v>
      </c>
      <c r="W26" s="113">
        <v>60</v>
      </c>
      <c r="X26" s="113">
        <v>60</v>
      </c>
      <c r="Y26" s="113">
        <v>60</v>
      </c>
      <c r="Z26" s="113">
        <v>60</v>
      </c>
      <c r="AA26" s="113">
        <v>60</v>
      </c>
      <c r="AB26" s="89">
        <f t="shared" si="37"/>
        <v>3000</v>
      </c>
      <c r="AC26" s="89">
        <f t="shared" si="35"/>
        <v>3000</v>
      </c>
      <c r="AD26" s="89">
        <f t="shared" si="35"/>
        <v>3000</v>
      </c>
      <c r="AE26" s="89">
        <f t="shared" si="35"/>
        <v>3000</v>
      </c>
      <c r="AF26" s="89">
        <f t="shared" si="35"/>
        <v>3000</v>
      </c>
      <c r="AG26" s="89">
        <f t="shared" si="35"/>
        <v>3000</v>
      </c>
      <c r="AH26" s="89">
        <f t="shared" si="35"/>
        <v>3000</v>
      </c>
      <c r="AI26" s="89">
        <f t="shared" si="35"/>
        <v>3000</v>
      </c>
      <c r="AJ26" s="89">
        <f t="shared" si="35"/>
        <v>3000</v>
      </c>
      <c r="AK26" s="89">
        <f t="shared" si="35"/>
        <v>3000</v>
      </c>
      <c r="AL26" s="89">
        <f t="shared" si="35"/>
        <v>3000</v>
      </c>
      <c r="AM26" s="89">
        <f t="shared" si="35"/>
        <v>3000</v>
      </c>
      <c r="AN26" s="108">
        <f t="shared" si="38"/>
        <v>36000</v>
      </c>
      <c r="AP26" s="7"/>
      <c r="AV26" s="1">
        <f>(AB26+AC26+AD26)/10000</f>
        <v>0.9</v>
      </c>
      <c r="AW26" s="1">
        <f>(AE26+AF26+AG26)/10000</f>
        <v>0.9</v>
      </c>
      <c r="AX26" s="1">
        <f>(AH26+AI26+AJ26)/10000</f>
        <v>0.9</v>
      </c>
      <c r="AY26" s="1">
        <f>(AK26+AL26+AM26)/10000</f>
        <v>0.9</v>
      </c>
      <c r="AZ26" s="1">
        <f>SUM(AV26:AY26)</f>
        <v>3.6</v>
      </c>
    </row>
    <row r="27" s="100" customFormat="1" customHeight="1" spans="1:42">
      <c r="A27" s="15" t="s">
        <v>56</v>
      </c>
      <c r="C27" s="106">
        <f>SUM(C22:C26)</f>
        <v>200</v>
      </c>
      <c r="D27" s="106">
        <f t="shared" ref="D27:L27" si="39">SUM(D22:D26)</f>
        <v>200</v>
      </c>
      <c r="E27" s="106">
        <f t="shared" si="39"/>
        <v>200</v>
      </c>
      <c r="F27" s="106">
        <f t="shared" si="39"/>
        <v>200</v>
      </c>
      <c r="G27" s="106">
        <f t="shared" si="39"/>
        <v>200</v>
      </c>
      <c r="H27" s="106">
        <f t="shared" si="39"/>
        <v>200</v>
      </c>
      <c r="I27" s="106">
        <f t="shared" si="39"/>
        <v>200</v>
      </c>
      <c r="J27" s="106">
        <f t="shared" si="39"/>
        <v>200</v>
      </c>
      <c r="K27" s="106">
        <f t="shared" si="39"/>
        <v>200</v>
      </c>
      <c r="L27" s="106">
        <f t="shared" si="39"/>
        <v>200</v>
      </c>
      <c r="M27" s="106">
        <f t="shared" ref="M27:N27" si="40">SUM(M22:M26)</f>
        <v>200</v>
      </c>
      <c r="N27" s="106">
        <f t="shared" si="40"/>
        <v>200</v>
      </c>
      <c r="O27" s="106">
        <f t="shared" si="36"/>
        <v>2400</v>
      </c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B27" s="108">
        <f t="shared" ref="AB27:AK27" si="41">SUM(AB22:AB26)</f>
        <v>13700</v>
      </c>
      <c r="AC27" s="108">
        <f t="shared" si="41"/>
        <v>13700</v>
      </c>
      <c r="AD27" s="108">
        <f t="shared" si="41"/>
        <v>13700</v>
      </c>
      <c r="AE27" s="108">
        <f t="shared" si="41"/>
        <v>13700</v>
      </c>
      <c r="AF27" s="108">
        <f t="shared" si="41"/>
        <v>13700</v>
      </c>
      <c r="AG27" s="108">
        <f t="shared" si="41"/>
        <v>13700</v>
      </c>
      <c r="AH27" s="108">
        <f t="shared" si="41"/>
        <v>13700</v>
      </c>
      <c r="AI27" s="108">
        <f t="shared" si="41"/>
        <v>13700</v>
      </c>
      <c r="AJ27" s="108">
        <f t="shared" si="41"/>
        <v>13700</v>
      </c>
      <c r="AK27" s="108">
        <f t="shared" si="41"/>
        <v>13700</v>
      </c>
      <c r="AL27" s="108">
        <f t="shared" ref="AL27:AN27" si="42">SUM(AL22:AL26)</f>
        <v>13700</v>
      </c>
      <c r="AM27" s="108">
        <f t="shared" si="42"/>
        <v>13700</v>
      </c>
      <c r="AN27" s="108">
        <f t="shared" si="42"/>
        <v>164400</v>
      </c>
      <c r="AP27" s="106"/>
    </row>
    <row r="28" s="101" customFormat="1" customHeight="1" spans="1:42">
      <c r="A28" s="109" t="s">
        <v>59</v>
      </c>
      <c r="AB28" s="115">
        <f>AB19+AB20+AB27</f>
        <v>19740</v>
      </c>
      <c r="AC28" s="115">
        <f t="shared" ref="AC28:AL28" si="43">AC19+AC20+AC27</f>
        <v>19738</v>
      </c>
      <c r="AD28" s="115">
        <f t="shared" si="43"/>
        <v>19734</v>
      </c>
      <c r="AE28" s="115">
        <f t="shared" si="43"/>
        <v>19726</v>
      </c>
      <c r="AF28" s="115">
        <f t="shared" si="43"/>
        <v>19728</v>
      </c>
      <c r="AG28" s="115">
        <f t="shared" si="43"/>
        <v>19726</v>
      </c>
      <c r="AH28" s="115">
        <f t="shared" si="43"/>
        <v>19726</v>
      </c>
      <c r="AI28" s="115">
        <f t="shared" si="43"/>
        <v>19726</v>
      </c>
      <c r="AJ28" s="115">
        <f t="shared" si="43"/>
        <v>19726</v>
      </c>
      <c r="AK28" s="115">
        <f t="shared" si="43"/>
        <v>19730</v>
      </c>
      <c r="AL28" s="115">
        <f t="shared" si="43"/>
        <v>19738</v>
      </c>
      <c r="AM28" s="115">
        <f t="shared" ref="AM28:AN28" si="44">AM19+AM20+AM27</f>
        <v>19740</v>
      </c>
      <c r="AN28" s="115">
        <f t="shared" si="44"/>
        <v>236778</v>
      </c>
      <c r="AP28" s="121"/>
    </row>
    <row r="29" customHeight="1" spans="1:40">
      <c r="A29" s="12" t="s">
        <v>60</v>
      </c>
      <c r="AB29" s="7">
        <f>AB28/1.13*0.0003</f>
        <v>5.24070796460177</v>
      </c>
      <c r="AC29" s="7">
        <f t="shared" ref="AC29:AL29" si="45">AC28/1.13*0.0003</f>
        <v>5.24017699115044</v>
      </c>
      <c r="AD29" s="7">
        <f t="shared" si="45"/>
        <v>5.23911504424779</v>
      </c>
      <c r="AE29" s="7">
        <f t="shared" si="45"/>
        <v>5.23699115044248</v>
      </c>
      <c r="AF29" s="7">
        <f t="shared" si="45"/>
        <v>5.2375221238938</v>
      </c>
      <c r="AG29" s="7">
        <f t="shared" si="45"/>
        <v>5.23699115044248</v>
      </c>
      <c r="AH29" s="7">
        <f t="shared" si="45"/>
        <v>5.23699115044248</v>
      </c>
      <c r="AI29" s="7">
        <f t="shared" si="45"/>
        <v>5.23699115044248</v>
      </c>
      <c r="AJ29" s="7">
        <f t="shared" si="45"/>
        <v>5.23699115044248</v>
      </c>
      <c r="AK29" s="7">
        <f t="shared" si="45"/>
        <v>5.23805309734513</v>
      </c>
      <c r="AL29" s="7">
        <f t="shared" si="45"/>
        <v>5.24017699115044</v>
      </c>
      <c r="AM29" s="7">
        <f t="shared" ref="AM29" si="46">AM28/1.13*0.0003</f>
        <v>5.24070796460177</v>
      </c>
      <c r="AN29" s="7">
        <f>SUM(AB29:AM29)</f>
        <v>62.8614159292035</v>
      </c>
    </row>
    <row r="30" customHeight="1" spans="1:40">
      <c r="A30" s="1" t="s">
        <v>61</v>
      </c>
      <c r="AB30" s="7">
        <f t="shared" ref="AB30:AM30" si="47">C19*2.8311</f>
        <v>243.4746</v>
      </c>
      <c r="AC30" s="7">
        <f t="shared" si="47"/>
        <v>243.4746</v>
      </c>
      <c r="AD30" s="7">
        <f t="shared" si="47"/>
        <v>243.4746</v>
      </c>
      <c r="AE30" s="7">
        <f t="shared" si="47"/>
        <v>243.4746</v>
      </c>
      <c r="AF30" s="7">
        <f t="shared" si="47"/>
        <v>243.4746</v>
      </c>
      <c r="AG30" s="7">
        <f t="shared" si="47"/>
        <v>243.4746</v>
      </c>
      <c r="AH30" s="7">
        <f t="shared" si="47"/>
        <v>243.4746</v>
      </c>
      <c r="AI30" s="7">
        <f t="shared" si="47"/>
        <v>243.4746</v>
      </c>
      <c r="AJ30" s="7">
        <f t="shared" si="47"/>
        <v>243.4746</v>
      </c>
      <c r="AK30" s="7">
        <f t="shared" si="47"/>
        <v>243.4746</v>
      </c>
      <c r="AL30" s="7">
        <f t="shared" si="47"/>
        <v>243.4746</v>
      </c>
      <c r="AM30" s="7">
        <f t="shared" si="47"/>
        <v>243.4746</v>
      </c>
      <c r="AN30" s="7">
        <f>SUM(AB30:AM30)</f>
        <v>2921.6952</v>
      </c>
    </row>
    <row r="31" customHeight="1" spans="1:40">
      <c r="A31" s="1" t="s">
        <v>62</v>
      </c>
      <c r="AB31" s="7">
        <f t="shared" ref="AB31:AM31" si="48">(C3+C4)*1.4849</f>
        <v>44.547</v>
      </c>
      <c r="AC31" s="7">
        <f t="shared" si="48"/>
        <v>44.547</v>
      </c>
      <c r="AD31" s="7">
        <f t="shared" si="48"/>
        <v>44.547</v>
      </c>
      <c r="AE31" s="7">
        <f t="shared" si="48"/>
        <v>44.547</v>
      </c>
      <c r="AF31" s="7">
        <f t="shared" si="48"/>
        <v>44.547</v>
      </c>
      <c r="AG31" s="7">
        <f t="shared" si="48"/>
        <v>44.547</v>
      </c>
      <c r="AH31" s="7">
        <f t="shared" si="48"/>
        <v>44.547</v>
      </c>
      <c r="AI31" s="7">
        <f t="shared" si="48"/>
        <v>44.547</v>
      </c>
      <c r="AJ31" s="7">
        <f t="shared" si="48"/>
        <v>44.547</v>
      </c>
      <c r="AK31" s="7">
        <f t="shared" si="48"/>
        <v>44.547</v>
      </c>
      <c r="AL31" s="7">
        <f t="shared" si="48"/>
        <v>44.547</v>
      </c>
      <c r="AM31" s="7">
        <f t="shared" si="48"/>
        <v>44.547</v>
      </c>
      <c r="AN31" s="7">
        <f>SUM(AB31:AM31)</f>
        <v>534.564</v>
      </c>
    </row>
    <row r="33" customHeight="1" spans="1:52">
      <c r="A33" s="110" t="s">
        <v>63</v>
      </c>
      <c r="B33" s="1" t="s">
        <v>64</v>
      </c>
      <c r="C33" s="17">
        <v>0.5</v>
      </c>
      <c r="D33" s="17">
        <v>0.5</v>
      </c>
      <c r="E33" s="17">
        <v>0.5</v>
      </c>
      <c r="F33" s="17">
        <v>0.5</v>
      </c>
      <c r="G33" s="17">
        <v>0.5</v>
      </c>
      <c r="H33" s="17">
        <v>0.5</v>
      </c>
      <c r="I33" s="17">
        <v>0.5</v>
      </c>
      <c r="J33" s="17">
        <v>0.5</v>
      </c>
      <c r="K33" s="17">
        <v>0.5</v>
      </c>
      <c r="L33" s="17">
        <v>0.5</v>
      </c>
      <c r="M33" s="17">
        <v>0.5</v>
      </c>
      <c r="N33" s="17">
        <v>0.5</v>
      </c>
      <c r="O33" s="13">
        <f>SUM(C33:N33)</f>
        <v>6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93">
        <v>10</v>
      </c>
      <c r="AB33" s="89">
        <f>C33*AA33</f>
        <v>5</v>
      </c>
      <c r="AC33" s="89">
        <f>D33*AA33</f>
        <v>5</v>
      </c>
      <c r="AD33" s="89">
        <f>E33*AA33</f>
        <v>5</v>
      </c>
      <c r="AE33" s="89">
        <f>F33*AA33</f>
        <v>5</v>
      </c>
      <c r="AF33" s="89">
        <f>G33*AA33</f>
        <v>5</v>
      </c>
      <c r="AG33" s="89">
        <f>H33*AA33</f>
        <v>5</v>
      </c>
      <c r="AH33" s="89">
        <f>I33*AA33</f>
        <v>5</v>
      </c>
      <c r="AI33" s="89">
        <f>J33*AA33</f>
        <v>5</v>
      </c>
      <c r="AJ33" s="89">
        <f>K33*AA33</f>
        <v>5</v>
      </c>
      <c r="AK33" s="7">
        <f>L33*AA33</f>
        <v>5</v>
      </c>
      <c r="AL33" s="7">
        <f>M33*AA33</f>
        <v>5</v>
      </c>
      <c r="AM33" s="7">
        <f>N33*AA33</f>
        <v>5</v>
      </c>
      <c r="AN33" s="108">
        <f t="shared" ref="AN33:AN38" si="49">SUM(AB33:AM33)</f>
        <v>60</v>
      </c>
      <c r="AO33" s="7"/>
      <c r="AV33" s="7">
        <f t="shared" ref="AV33:AV38" si="50">(AB33+AC33+AD33)/10000</f>
        <v>0.0015</v>
      </c>
      <c r="AW33" s="7">
        <f t="shared" ref="AW33:AW38" si="51">(AE33+AF33+AG33)/10000</f>
        <v>0.0015</v>
      </c>
      <c r="AX33" s="7">
        <f t="shared" ref="AX33:AX38" si="52">(AH33+AI33+AJ33)/10000</f>
        <v>0.0015</v>
      </c>
      <c r="AY33" s="7">
        <f t="shared" ref="AY33:AY38" si="53">(AK33+AL33+AM33)/10000</f>
        <v>0.0015</v>
      </c>
      <c r="AZ33" s="7">
        <f t="shared" ref="AZ33:AZ38" si="54">SUM(AV33:AY33)</f>
        <v>0.006</v>
      </c>
    </row>
    <row r="34" customHeight="1" spans="1:52">
      <c r="A34" s="110" t="s">
        <v>65</v>
      </c>
      <c r="B34" s="1" t="s">
        <v>64</v>
      </c>
      <c r="C34" s="17">
        <v>0.5</v>
      </c>
      <c r="D34" s="17">
        <v>0.5</v>
      </c>
      <c r="E34" s="17">
        <v>0.5</v>
      </c>
      <c r="F34" s="17">
        <v>0.5</v>
      </c>
      <c r="G34" s="17">
        <v>0.5</v>
      </c>
      <c r="H34" s="17">
        <v>0.5</v>
      </c>
      <c r="I34" s="17">
        <v>0.5</v>
      </c>
      <c r="J34" s="17">
        <v>0.5</v>
      </c>
      <c r="K34" s="17">
        <v>0.5</v>
      </c>
      <c r="L34" s="17">
        <v>0.5</v>
      </c>
      <c r="M34" s="17">
        <v>0.5</v>
      </c>
      <c r="N34" s="17">
        <v>0.5</v>
      </c>
      <c r="O34" s="13">
        <f t="shared" ref="O34:O37" si="55">SUM(C34:N34)</f>
        <v>6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93">
        <v>10</v>
      </c>
      <c r="AB34" s="89">
        <f t="shared" ref="AB34:AB38" si="56">C34*AA34</f>
        <v>5</v>
      </c>
      <c r="AC34" s="89">
        <f t="shared" ref="AC34:AC38" si="57">D34*AA34</f>
        <v>5</v>
      </c>
      <c r="AD34" s="89">
        <f t="shared" ref="AD34:AD38" si="58">E34*AA34</f>
        <v>5</v>
      </c>
      <c r="AE34" s="89">
        <f t="shared" ref="AE34:AE38" si="59">F34*AA34</f>
        <v>5</v>
      </c>
      <c r="AF34" s="89">
        <f t="shared" ref="AF34:AF38" si="60">G34*AA34</f>
        <v>5</v>
      </c>
      <c r="AG34" s="89">
        <f t="shared" ref="AG34:AG38" si="61">H34*AA34</f>
        <v>5</v>
      </c>
      <c r="AH34" s="89">
        <f t="shared" ref="AH34:AH38" si="62">I34*AA34</f>
        <v>5</v>
      </c>
      <c r="AI34" s="89">
        <f t="shared" ref="AI34:AI38" si="63">J34*AA34</f>
        <v>5</v>
      </c>
      <c r="AJ34" s="89">
        <f t="shared" ref="AJ34:AJ38" si="64">K34*AA34</f>
        <v>5</v>
      </c>
      <c r="AK34" s="7">
        <f t="shared" ref="AK34:AK38" si="65">L34*AA34</f>
        <v>5</v>
      </c>
      <c r="AL34" s="7">
        <f t="shared" ref="AL34:AL38" si="66">M34*AA34</f>
        <v>5</v>
      </c>
      <c r="AM34" s="7">
        <f t="shared" ref="AM34:AM38" si="67">N34*AA34</f>
        <v>5</v>
      </c>
      <c r="AN34" s="108">
        <f t="shared" si="49"/>
        <v>60</v>
      </c>
      <c r="AO34" s="7"/>
      <c r="AV34" s="7">
        <f t="shared" si="50"/>
        <v>0.0015</v>
      </c>
      <c r="AW34" s="7">
        <f t="shared" si="51"/>
        <v>0.0015</v>
      </c>
      <c r="AX34" s="7">
        <f t="shared" si="52"/>
        <v>0.0015</v>
      </c>
      <c r="AY34" s="7">
        <f t="shared" si="53"/>
        <v>0.0015</v>
      </c>
      <c r="AZ34" s="7">
        <f t="shared" si="54"/>
        <v>0.006</v>
      </c>
    </row>
    <row r="35" customHeight="1" spans="1:52">
      <c r="A35" s="110" t="s">
        <v>66</v>
      </c>
      <c r="B35" s="1" t="s">
        <v>67</v>
      </c>
      <c r="C35" s="17">
        <v>0.5</v>
      </c>
      <c r="D35" s="17">
        <v>0.5</v>
      </c>
      <c r="E35" s="17">
        <v>0.5</v>
      </c>
      <c r="F35" s="17">
        <v>0.5</v>
      </c>
      <c r="G35" s="17">
        <v>0.5</v>
      </c>
      <c r="H35" s="17">
        <v>0.5</v>
      </c>
      <c r="I35" s="17">
        <v>0.5</v>
      </c>
      <c r="J35" s="17">
        <v>0.5</v>
      </c>
      <c r="K35" s="17">
        <v>0.5</v>
      </c>
      <c r="L35" s="17">
        <v>0.5</v>
      </c>
      <c r="M35" s="17">
        <v>0.5</v>
      </c>
      <c r="N35" s="17">
        <v>0.5</v>
      </c>
      <c r="O35" s="13">
        <f t="shared" si="55"/>
        <v>6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93">
        <v>2</v>
      </c>
      <c r="AB35" s="89">
        <f t="shared" si="56"/>
        <v>1</v>
      </c>
      <c r="AC35" s="89">
        <f t="shared" si="57"/>
        <v>1</v>
      </c>
      <c r="AD35" s="89">
        <f t="shared" si="58"/>
        <v>1</v>
      </c>
      <c r="AE35" s="89">
        <f t="shared" si="59"/>
        <v>1</v>
      </c>
      <c r="AF35" s="89">
        <f t="shared" si="60"/>
        <v>1</v>
      </c>
      <c r="AG35" s="89">
        <f t="shared" si="61"/>
        <v>1</v>
      </c>
      <c r="AH35" s="89">
        <f t="shared" si="62"/>
        <v>1</v>
      </c>
      <c r="AI35" s="89">
        <f t="shared" si="63"/>
        <v>1</v>
      </c>
      <c r="AJ35" s="89">
        <f t="shared" si="64"/>
        <v>1</v>
      </c>
      <c r="AK35" s="7">
        <f t="shared" si="65"/>
        <v>1</v>
      </c>
      <c r="AL35" s="7">
        <f t="shared" si="66"/>
        <v>1</v>
      </c>
      <c r="AM35" s="7">
        <f t="shared" si="67"/>
        <v>1</v>
      </c>
      <c r="AN35" s="108">
        <f t="shared" si="49"/>
        <v>12</v>
      </c>
      <c r="AO35" s="7"/>
      <c r="AV35" s="7">
        <f t="shared" si="50"/>
        <v>0.0003</v>
      </c>
      <c r="AW35" s="7">
        <f t="shared" si="51"/>
        <v>0.0003</v>
      </c>
      <c r="AX35" s="7">
        <f t="shared" si="52"/>
        <v>0.0003</v>
      </c>
      <c r="AY35" s="7">
        <f t="shared" si="53"/>
        <v>0.0003</v>
      </c>
      <c r="AZ35" s="7">
        <f t="shared" si="54"/>
        <v>0.0012</v>
      </c>
    </row>
    <row r="36" customHeight="1" spans="1:52">
      <c r="A36" s="110" t="s">
        <v>68</v>
      </c>
      <c r="B36" s="1" t="s">
        <v>67</v>
      </c>
      <c r="C36" s="17">
        <v>0.5</v>
      </c>
      <c r="D36" s="17">
        <v>0.5</v>
      </c>
      <c r="E36" s="17">
        <v>0.5</v>
      </c>
      <c r="F36" s="17">
        <v>0.5</v>
      </c>
      <c r="G36" s="17">
        <v>0.5</v>
      </c>
      <c r="H36" s="17">
        <v>0.5</v>
      </c>
      <c r="I36" s="17">
        <v>0.5</v>
      </c>
      <c r="J36" s="17">
        <v>0.5</v>
      </c>
      <c r="K36" s="17">
        <v>0.5</v>
      </c>
      <c r="L36" s="17">
        <v>0.5</v>
      </c>
      <c r="M36" s="17">
        <v>0.5</v>
      </c>
      <c r="N36" s="17">
        <v>0.5</v>
      </c>
      <c r="O36" s="13">
        <f t="shared" si="55"/>
        <v>6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93">
        <v>2</v>
      </c>
      <c r="AB36" s="89">
        <f t="shared" si="56"/>
        <v>1</v>
      </c>
      <c r="AC36" s="89">
        <f t="shared" si="57"/>
        <v>1</v>
      </c>
      <c r="AD36" s="89">
        <f t="shared" si="58"/>
        <v>1</v>
      </c>
      <c r="AE36" s="89">
        <f t="shared" si="59"/>
        <v>1</v>
      </c>
      <c r="AF36" s="89">
        <f t="shared" si="60"/>
        <v>1</v>
      </c>
      <c r="AG36" s="89">
        <f t="shared" si="61"/>
        <v>1</v>
      </c>
      <c r="AH36" s="89">
        <f t="shared" si="62"/>
        <v>1</v>
      </c>
      <c r="AI36" s="89">
        <f t="shared" si="63"/>
        <v>1</v>
      </c>
      <c r="AJ36" s="89">
        <f t="shared" si="64"/>
        <v>1</v>
      </c>
      <c r="AK36" s="7">
        <f t="shared" si="65"/>
        <v>1</v>
      </c>
      <c r="AL36" s="7">
        <f t="shared" si="66"/>
        <v>1</v>
      </c>
      <c r="AM36" s="7">
        <f t="shared" si="67"/>
        <v>1</v>
      </c>
      <c r="AN36" s="108">
        <f t="shared" si="49"/>
        <v>12</v>
      </c>
      <c r="AO36" s="7"/>
      <c r="AV36" s="7">
        <f t="shared" si="50"/>
        <v>0.0003</v>
      </c>
      <c r="AW36" s="7">
        <f t="shared" si="51"/>
        <v>0.0003</v>
      </c>
      <c r="AX36" s="7">
        <f t="shared" si="52"/>
        <v>0.0003</v>
      </c>
      <c r="AY36" s="7">
        <f t="shared" si="53"/>
        <v>0.0003</v>
      </c>
      <c r="AZ36" s="7">
        <f t="shared" si="54"/>
        <v>0.0012</v>
      </c>
    </row>
    <row r="37" customHeight="1" spans="1:52">
      <c r="A37" s="110" t="s">
        <v>69</v>
      </c>
      <c r="B37" s="1" t="s">
        <v>70</v>
      </c>
      <c r="C37" s="17">
        <v>2</v>
      </c>
      <c r="D37" s="17">
        <v>2</v>
      </c>
      <c r="E37" s="17">
        <v>2</v>
      </c>
      <c r="F37" s="17">
        <v>2</v>
      </c>
      <c r="G37" s="17">
        <v>2</v>
      </c>
      <c r="H37" s="17">
        <v>2</v>
      </c>
      <c r="I37" s="17">
        <v>2</v>
      </c>
      <c r="J37" s="17">
        <v>2</v>
      </c>
      <c r="K37" s="17">
        <v>2</v>
      </c>
      <c r="L37" s="17">
        <v>2</v>
      </c>
      <c r="M37" s="17">
        <v>2</v>
      </c>
      <c r="N37" s="17">
        <v>2</v>
      </c>
      <c r="O37" s="13">
        <f t="shared" si="55"/>
        <v>24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93">
        <v>0.1</v>
      </c>
      <c r="AB37" s="89">
        <f t="shared" si="56"/>
        <v>0.2</v>
      </c>
      <c r="AC37" s="89">
        <f t="shared" si="57"/>
        <v>0.2</v>
      </c>
      <c r="AD37" s="89">
        <f t="shared" si="58"/>
        <v>0.2</v>
      </c>
      <c r="AE37" s="89">
        <f t="shared" si="59"/>
        <v>0.2</v>
      </c>
      <c r="AF37" s="89">
        <f t="shared" si="60"/>
        <v>0.2</v>
      </c>
      <c r="AG37" s="89">
        <f t="shared" si="61"/>
        <v>0.2</v>
      </c>
      <c r="AH37" s="89">
        <f t="shared" si="62"/>
        <v>0.2</v>
      </c>
      <c r="AI37" s="89">
        <f t="shared" si="63"/>
        <v>0.2</v>
      </c>
      <c r="AJ37" s="89">
        <f t="shared" si="64"/>
        <v>0.2</v>
      </c>
      <c r="AK37" s="7">
        <f t="shared" si="65"/>
        <v>0.2</v>
      </c>
      <c r="AL37" s="7">
        <f t="shared" si="66"/>
        <v>0.2</v>
      </c>
      <c r="AM37" s="7">
        <f t="shared" si="67"/>
        <v>0.2</v>
      </c>
      <c r="AN37" s="108">
        <f t="shared" si="49"/>
        <v>2.4</v>
      </c>
      <c r="AO37" s="7"/>
      <c r="AV37" s="7">
        <f t="shared" si="50"/>
        <v>6e-5</v>
      </c>
      <c r="AW37" s="7">
        <f t="shared" si="51"/>
        <v>6e-5</v>
      </c>
      <c r="AX37" s="7">
        <f t="shared" si="52"/>
        <v>6e-5</v>
      </c>
      <c r="AY37" s="7">
        <f t="shared" si="53"/>
        <v>6e-5</v>
      </c>
      <c r="AZ37" s="7">
        <f t="shared" si="54"/>
        <v>0.00024</v>
      </c>
    </row>
    <row r="38" customHeight="1" spans="1:52">
      <c r="A38" s="110" t="s">
        <v>69</v>
      </c>
      <c r="B38" s="1" t="s">
        <v>71</v>
      </c>
      <c r="C38" s="17">
        <v>2</v>
      </c>
      <c r="D38" s="17">
        <v>2</v>
      </c>
      <c r="E38" s="17">
        <v>2</v>
      </c>
      <c r="F38" s="17">
        <v>2</v>
      </c>
      <c r="G38" s="17">
        <v>2</v>
      </c>
      <c r="H38" s="17">
        <v>2</v>
      </c>
      <c r="I38" s="17">
        <v>2</v>
      </c>
      <c r="J38" s="17">
        <v>2</v>
      </c>
      <c r="K38" s="17">
        <v>2</v>
      </c>
      <c r="L38" s="17">
        <v>2</v>
      </c>
      <c r="M38" s="17">
        <v>2</v>
      </c>
      <c r="N38" s="17">
        <v>2</v>
      </c>
      <c r="O38" s="13">
        <f t="shared" ref="O38" si="68">SUM(C38:N38)</f>
        <v>24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93">
        <v>0.5</v>
      </c>
      <c r="AB38" s="89">
        <f t="shared" si="56"/>
        <v>1</v>
      </c>
      <c r="AC38" s="89">
        <f t="shared" si="57"/>
        <v>1</v>
      </c>
      <c r="AD38" s="89">
        <f t="shared" si="58"/>
        <v>1</v>
      </c>
      <c r="AE38" s="89">
        <f t="shared" si="59"/>
        <v>1</v>
      </c>
      <c r="AF38" s="89">
        <f t="shared" si="60"/>
        <v>1</v>
      </c>
      <c r="AG38" s="89">
        <f t="shared" si="61"/>
        <v>1</v>
      </c>
      <c r="AH38" s="89">
        <f t="shared" si="62"/>
        <v>1</v>
      </c>
      <c r="AI38" s="89">
        <f t="shared" si="63"/>
        <v>1</v>
      </c>
      <c r="AJ38" s="89">
        <f t="shared" si="64"/>
        <v>1</v>
      </c>
      <c r="AK38" s="7">
        <f t="shared" si="65"/>
        <v>1</v>
      </c>
      <c r="AL38" s="7">
        <f t="shared" si="66"/>
        <v>1</v>
      </c>
      <c r="AM38" s="7">
        <f t="shared" si="67"/>
        <v>1</v>
      </c>
      <c r="AN38" s="108">
        <f t="shared" si="49"/>
        <v>12</v>
      </c>
      <c r="AV38" s="7">
        <f t="shared" si="50"/>
        <v>0.0003</v>
      </c>
      <c r="AW38" s="7">
        <f t="shared" si="51"/>
        <v>0.0003</v>
      </c>
      <c r="AX38" s="7">
        <f t="shared" si="52"/>
        <v>0.0003</v>
      </c>
      <c r="AY38" s="7">
        <f t="shared" si="53"/>
        <v>0.0003</v>
      </c>
      <c r="AZ38" s="7">
        <f t="shared" si="54"/>
        <v>0.0012</v>
      </c>
    </row>
    <row r="39" customHeight="1" spans="40:52">
      <c r="AN39" s="7">
        <f>SUM(AN33:AN38)</f>
        <v>158.4</v>
      </c>
      <c r="AV39" s="13">
        <f>AV33+AV34</f>
        <v>0.003</v>
      </c>
      <c r="AW39" s="13">
        <f t="shared" ref="AW39:AZ39" si="69">AW33+AW34</f>
        <v>0.003</v>
      </c>
      <c r="AX39" s="13">
        <f t="shared" si="69"/>
        <v>0.003</v>
      </c>
      <c r="AY39" s="13">
        <f t="shared" si="69"/>
        <v>0.003</v>
      </c>
      <c r="AZ39" s="13">
        <f t="shared" si="69"/>
        <v>0.012</v>
      </c>
    </row>
    <row r="40" customHeight="1" spans="48:52">
      <c r="AV40" s="13">
        <f>AV35+AV36</f>
        <v>0.0006</v>
      </c>
      <c r="AW40" s="13">
        <f t="shared" ref="AW40:AZ40" si="70">AW35+AW36</f>
        <v>0.0006</v>
      </c>
      <c r="AX40" s="13">
        <f t="shared" si="70"/>
        <v>0.0006</v>
      </c>
      <c r="AY40" s="13">
        <f t="shared" si="70"/>
        <v>0.0006</v>
      </c>
      <c r="AZ40" s="13">
        <f t="shared" si="70"/>
        <v>0.0024</v>
      </c>
    </row>
    <row r="42" customHeight="1" spans="1:46">
      <c r="A42" s="12" t="s">
        <v>50</v>
      </c>
      <c r="B42" s="12"/>
      <c r="C42" s="10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5" t="s">
        <v>5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B42" s="89"/>
      <c r="AC42" s="89"/>
      <c r="AD42" s="89"/>
      <c r="AE42" s="89"/>
      <c r="AF42" s="89"/>
      <c r="AG42" s="89"/>
      <c r="AH42" s="89"/>
      <c r="AI42" s="89"/>
      <c r="AJ42" s="89"/>
      <c r="AR42" s="118"/>
      <c r="AS42" s="118"/>
      <c r="AT42" s="120">
        <f>SUM(AT38:AT41)</f>
        <v>0</v>
      </c>
    </row>
    <row r="43" customHeight="1" spans="1:46">
      <c r="A43" s="12" t="s">
        <v>51</v>
      </c>
      <c r="B43" s="104"/>
      <c r="C43" s="17">
        <v>40</v>
      </c>
      <c r="D43" s="17">
        <v>40</v>
      </c>
      <c r="E43" s="17">
        <v>40</v>
      </c>
      <c r="F43" s="17">
        <v>40</v>
      </c>
      <c r="G43" s="17">
        <v>40</v>
      </c>
      <c r="H43" s="17">
        <v>40</v>
      </c>
      <c r="I43" s="17">
        <v>40</v>
      </c>
      <c r="J43" s="17">
        <v>40</v>
      </c>
      <c r="K43" s="17">
        <v>40</v>
      </c>
      <c r="L43" s="17">
        <v>40</v>
      </c>
      <c r="M43" s="17">
        <v>40</v>
      </c>
      <c r="N43" s="17">
        <v>40</v>
      </c>
      <c r="O43" s="106">
        <f>SUM(C43:N43)</f>
        <v>480</v>
      </c>
      <c r="P43" s="113">
        <v>0.1</v>
      </c>
      <c r="Q43" s="113">
        <v>0.1</v>
      </c>
      <c r="R43" s="113">
        <v>0.1</v>
      </c>
      <c r="S43" s="113">
        <v>0.1</v>
      </c>
      <c r="T43" s="113">
        <v>0.1</v>
      </c>
      <c r="U43" s="113">
        <v>0.1</v>
      </c>
      <c r="V43" s="113">
        <v>0.1</v>
      </c>
      <c r="W43" s="113">
        <v>0.1</v>
      </c>
      <c r="X43" s="113">
        <v>0.1</v>
      </c>
      <c r="Y43" s="113">
        <v>0.1</v>
      </c>
      <c r="Z43" s="113">
        <v>0.1</v>
      </c>
      <c r="AA43" s="113">
        <v>0.1</v>
      </c>
      <c r="AB43" s="89">
        <f>C43*P43</f>
        <v>4</v>
      </c>
      <c r="AC43" s="89">
        <f t="shared" ref="AC43:AC46" si="71">D43*Q43</f>
        <v>4</v>
      </c>
      <c r="AD43" s="89">
        <f t="shared" ref="AD43:AD46" si="72">E43*R43</f>
        <v>4</v>
      </c>
      <c r="AE43" s="89">
        <f t="shared" ref="AE43:AE46" si="73">F43*S43</f>
        <v>4</v>
      </c>
      <c r="AF43" s="89">
        <f t="shared" ref="AF43:AF46" si="74">G43*T43</f>
        <v>4</v>
      </c>
      <c r="AG43" s="89">
        <f t="shared" ref="AG43:AG46" si="75">H43*U43</f>
        <v>4</v>
      </c>
      <c r="AH43" s="89">
        <f t="shared" ref="AH43:AH46" si="76">I43*V43</f>
        <v>4</v>
      </c>
      <c r="AI43" s="89">
        <f t="shared" ref="AI43:AI46" si="77">J43*W43</f>
        <v>4</v>
      </c>
      <c r="AJ43" s="89">
        <f t="shared" ref="AJ43:AJ46" si="78">K43*X43</f>
        <v>4</v>
      </c>
      <c r="AK43" s="89">
        <f t="shared" ref="AK43:AK46" si="79">L43*Y43</f>
        <v>4</v>
      </c>
      <c r="AL43" s="89">
        <f t="shared" ref="AL43:AL46" si="80">M43*Z43</f>
        <v>4</v>
      </c>
      <c r="AM43" s="89">
        <f t="shared" ref="AM43:AM46" si="81">N43*AA43</f>
        <v>4</v>
      </c>
      <c r="AN43" s="108">
        <f t="shared" ref="AN43:AN46" si="82">SUM(AB43:AM43)</f>
        <v>48</v>
      </c>
      <c r="AP43" s="7"/>
      <c r="AR43" s="118"/>
      <c r="AS43" s="118"/>
      <c r="AT43" s="120">
        <f>AT42/12</f>
        <v>0</v>
      </c>
    </row>
    <row r="44" customHeight="1" spans="1:42">
      <c r="A44" s="12" t="s">
        <v>52</v>
      </c>
      <c r="B44" s="104"/>
      <c r="C44" s="17">
        <v>8</v>
      </c>
      <c r="D44" s="17">
        <v>8</v>
      </c>
      <c r="E44" s="17">
        <v>8</v>
      </c>
      <c r="F44" s="17">
        <v>8</v>
      </c>
      <c r="G44" s="17">
        <v>8</v>
      </c>
      <c r="H44" s="17">
        <v>8</v>
      </c>
      <c r="I44" s="17">
        <v>8</v>
      </c>
      <c r="J44" s="17">
        <v>8</v>
      </c>
      <c r="K44" s="17">
        <v>8</v>
      </c>
      <c r="L44" s="17">
        <v>8</v>
      </c>
      <c r="M44" s="17">
        <v>8</v>
      </c>
      <c r="N44" s="17">
        <v>8</v>
      </c>
      <c r="O44" s="106">
        <f t="shared" ref="O44:O47" si="83">SUM(C44:N44)</f>
        <v>96</v>
      </c>
      <c r="P44" s="114">
        <v>0.5</v>
      </c>
      <c r="Q44" s="114">
        <v>0.5</v>
      </c>
      <c r="R44" s="114">
        <v>0.5</v>
      </c>
      <c r="S44" s="114">
        <v>0.5</v>
      </c>
      <c r="T44" s="114">
        <v>0.5</v>
      </c>
      <c r="U44" s="114">
        <v>0.5</v>
      </c>
      <c r="V44" s="114">
        <v>0.5</v>
      </c>
      <c r="W44" s="114">
        <v>0.5</v>
      </c>
      <c r="X44" s="114">
        <v>0.5</v>
      </c>
      <c r="Y44" s="114">
        <v>0.5</v>
      </c>
      <c r="Z44" s="114">
        <v>0.5</v>
      </c>
      <c r="AA44" s="114">
        <v>0.5</v>
      </c>
      <c r="AB44" s="89">
        <f t="shared" ref="AB44:AB46" si="84">C44*P44</f>
        <v>4</v>
      </c>
      <c r="AC44" s="89">
        <f t="shared" si="71"/>
        <v>4</v>
      </c>
      <c r="AD44" s="89">
        <f t="shared" si="72"/>
        <v>4</v>
      </c>
      <c r="AE44" s="89">
        <f t="shared" si="73"/>
        <v>4</v>
      </c>
      <c r="AF44" s="89">
        <f t="shared" si="74"/>
        <v>4</v>
      </c>
      <c r="AG44" s="89">
        <f t="shared" si="75"/>
        <v>4</v>
      </c>
      <c r="AH44" s="89">
        <f t="shared" si="76"/>
        <v>4</v>
      </c>
      <c r="AI44" s="89">
        <f t="shared" si="77"/>
        <v>4</v>
      </c>
      <c r="AJ44" s="89">
        <f t="shared" si="78"/>
        <v>4</v>
      </c>
      <c r="AK44" s="89">
        <f t="shared" si="79"/>
        <v>4</v>
      </c>
      <c r="AL44" s="89">
        <f t="shared" si="80"/>
        <v>4</v>
      </c>
      <c r="AM44" s="89">
        <f t="shared" si="81"/>
        <v>4</v>
      </c>
      <c r="AN44" s="108">
        <f t="shared" si="82"/>
        <v>48</v>
      </c>
      <c r="AP44" s="7"/>
    </row>
    <row r="45" customHeight="1" spans="1:42">
      <c r="A45" s="12" t="s">
        <v>53</v>
      </c>
      <c r="B45" s="104"/>
      <c r="C45" s="17">
        <v>8</v>
      </c>
      <c r="D45" s="17">
        <v>8</v>
      </c>
      <c r="E45" s="17">
        <v>8</v>
      </c>
      <c r="F45" s="17">
        <v>8</v>
      </c>
      <c r="G45" s="17">
        <v>8</v>
      </c>
      <c r="H45" s="17">
        <v>8</v>
      </c>
      <c r="I45" s="17">
        <v>8</v>
      </c>
      <c r="J45" s="17">
        <v>8</v>
      </c>
      <c r="K45" s="17">
        <v>8</v>
      </c>
      <c r="L45" s="17">
        <v>8</v>
      </c>
      <c r="M45" s="17">
        <v>8</v>
      </c>
      <c r="N45" s="17">
        <v>8</v>
      </c>
      <c r="O45" s="106">
        <f t="shared" si="83"/>
        <v>96</v>
      </c>
      <c r="P45" s="114">
        <v>0.5</v>
      </c>
      <c r="Q45" s="114">
        <v>0.5</v>
      </c>
      <c r="R45" s="114">
        <v>0.5</v>
      </c>
      <c r="S45" s="114">
        <v>0.5</v>
      </c>
      <c r="T45" s="114">
        <v>0.5</v>
      </c>
      <c r="U45" s="114">
        <v>0.5</v>
      </c>
      <c r="V45" s="114">
        <v>0.5</v>
      </c>
      <c r="W45" s="114">
        <v>0.5</v>
      </c>
      <c r="X45" s="114">
        <v>0.5</v>
      </c>
      <c r="Y45" s="114">
        <v>0.5</v>
      </c>
      <c r="Z45" s="114">
        <v>0.5</v>
      </c>
      <c r="AA45" s="114">
        <v>0.5</v>
      </c>
      <c r="AB45" s="89">
        <f t="shared" si="84"/>
        <v>4</v>
      </c>
      <c r="AC45" s="89">
        <f t="shared" si="71"/>
        <v>4</v>
      </c>
      <c r="AD45" s="89">
        <f t="shared" si="72"/>
        <v>4</v>
      </c>
      <c r="AE45" s="89">
        <f t="shared" si="73"/>
        <v>4</v>
      </c>
      <c r="AF45" s="89">
        <f t="shared" si="74"/>
        <v>4</v>
      </c>
      <c r="AG45" s="89">
        <f t="shared" si="75"/>
        <v>4</v>
      </c>
      <c r="AH45" s="89">
        <f t="shared" si="76"/>
        <v>4</v>
      </c>
      <c r="AI45" s="89">
        <f t="shared" si="77"/>
        <v>4</v>
      </c>
      <c r="AJ45" s="89">
        <f t="shared" si="78"/>
        <v>4</v>
      </c>
      <c r="AK45" s="89">
        <f t="shared" si="79"/>
        <v>4</v>
      </c>
      <c r="AL45" s="89">
        <f t="shared" si="80"/>
        <v>4</v>
      </c>
      <c r="AM45" s="89">
        <f t="shared" si="81"/>
        <v>4</v>
      </c>
      <c r="AN45" s="108">
        <f t="shared" si="82"/>
        <v>48</v>
      </c>
      <c r="AP45" s="7"/>
    </row>
    <row r="46" customHeight="1" spans="1:42">
      <c r="A46" s="12" t="s">
        <v>54</v>
      </c>
      <c r="B46" s="104"/>
      <c r="C46" s="17">
        <v>20</v>
      </c>
      <c r="D46" s="17">
        <v>20</v>
      </c>
      <c r="E46" s="17">
        <v>20</v>
      </c>
      <c r="F46" s="17">
        <v>20</v>
      </c>
      <c r="G46" s="17">
        <v>20</v>
      </c>
      <c r="H46" s="17">
        <v>20</v>
      </c>
      <c r="I46" s="17">
        <v>20</v>
      </c>
      <c r="J46" s="17">
        <v>20</v>
      </c>
      <c r="K46" s="17">
        <v>20</v>
      </c>
      <c r="L46" s="17">
        <v>20</v>
      </c>
      <c r="M46" s="17">
        <v>20</v>
      </c>
      <c r="N46" s="17">
        <v>20</v>
      </c>
      <c r="O46" s="106">
        <f t="shared" si="83"/>
        <v>240</v>
      </c>
      <c r="P46" s="113">
        <v>0.5</v>
      </c>
      <c r="Q46" s="113">
        <v>0.5</v>
      </c>
      <c r="R46" s="113">
        <v>0.5</v>
      </c>
      <c r="S46" s="113">
        <v>0.5</v>
      </c>
      <c r="T46" s="113">
        <v>0.5</v>
      </c>
      <c r="U46" s="113">
        <v>0.5</v>
      </c>
      <c r="V46" s="113">
        <v>0.5</v>
      </c>
      <c r="W46" s="113">
        <v>0.5</v>
      </c>
      <c r="X46" s="113">
        <v>0.5</v>
      </c>
      <c r="Y46" s="113">
        <v>0.5</v>
      </c>
      <c r="Z46" s="113">
        <v>0.5</v>
      </c>
      <c r="AA46" s="113">
        <v>0.5</v>
      </c>
      <c r="AB46" s="89">
        <f t="shared" si="84"/>
        <v>10</v>
      </c>
      <c r="AC46" s="89">
        <f t="shared" si="71"/>
        <v>10</v>
      </c>
      <c r="AD46" s="89">
        <f t="shared" si="72"/>
        <v>10</v>
      </c>
      <c r="AE46" s="89">
        <f t="shared" si="73"/>
        <v>10</v>
      </c>
      <c r="AF46" s="89">
        <f t="shared" si="74"/>
        <v>10</v>
      </c>
      <c r="AG46" s="89">
        <f t="shared" si="75"/>
        <v>10</v>
      </c>
      <c r="AH46" s="89">
        <f t="shared" si="76"/>
        <v>10</v>
      </c>
      <c r="AI46" s="89">
        <f t="shared" si="77"/>
        <v>10</v>
      </c>
      <c r="AJ46" s="89">
        <f t="shared" si="78"/>
        <v>10</v>
      </c>
      <c r="AK46" s="89">
        <f t="shared" si="79"/>
        <v>10</v>
      </c>
      <c r="AL46" s="89">
        <f t="shared" si="80"/>
        <v>10</v>
      </c>
      <c r="AM46" s="89">
        <f t="shared" si="81"/>
        <v>10</v>
      </c>
      <c r="AN46" s="108">
        <f t="shared" si="82"/>
        <v>120</v>
      </c>
      <c r="AP46" s="7"/>
    </row>
    <row r="47" s="100" customFormat="1" customHeight="1" spans="1:40">
      <c r="A47" s="15" t="s">
        <v>56</v>
      </c>
      <c r="B47" s="105"/>
      <c r="C47" s="106">
        <f t="shared" ref="C47:N47" si="85">SUM(C43:C46)</f>
        <v>76</v>
      </c>
      <c r="D47" s="106">
        <f t="shared" si="85"/>
        <v>76</v>
      </c>
      <c r="E47" s="106">
        <f t="shared" si="85"/>
        <v>76</v>
      </c>
      <c r="F47" s="106">
        <f t="shared" si="85"/>
        <v>76</v>
      </c>
      <c r="G47" s="106">
        <f t="shared" si="85"/>
        <v>76</v>
      </c>
      <c r="H47" s="106">
        <f t="shared" si="85"/>
        <v>76</v>
      </c>
      <c r="I47" s="106">
        <f t="shared" si="85"/>
        <v>76</v>
      </c>
      <c r="J47" s="106">
        <f t="shared" si="85"/>
        <v>76</v>
      </c>
      <c r="K47" s="106">
        <f t="shared" si="85"/>
        <v>76</v>
      </c>
      <c r="L47" s="106">
        <f t="shared" si="85"/>
        <v>76</v>
      </c>
      <c r="M47" s="106">
        <f t="shared" si="85"/>
        <v>76</v>
      </c>
      <c r="N47" s="106">
        <f t="shared" si="85"/>
        <v>76</v>
      </c>
      <c r="O47" s="106">
        <f t="shared" si="83"/>
        <v>912</v>
      </c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8"/>
      <c r="AB47" s="108">
        <f t="shared" ref="AB47:AN47" si="86">SUM(AB43:AB46)</f>
        <v>22</v>
      </c>
      <c r="AC47" s="108">
        <f t="shared" si="86"/>
        <v>22</v>
      </c>
      <c r="AD47" s="108">
        <f t="shared" si="86"/>
        <v>22</v>
      </c>
      <c r="AE47" s="108">
        <f t="shared" si="86"/>
        <v>22</v>
      </c>
      <c r="AF47" s="108">
        <f t="shared" si="86"/>
        <v>22</v>
      </c>
      <c r="AG47" s="108">
        <f t="shared" si="86"/>
        <v>22</v>
      </c>
      <c r="AH47" s="108">
        <f t="shared" si="86"/>
        <v>22</v>
      </c>
      <c r="AI47" s="108">
        <f t="shared" si="86"/>
        <v>22</v>
      </c>
      <c r="AJ47" s="108">
        <f t="shared" si="86"/>
        <v>22</v>
      </c>
      <c r="AK47" s="108">
        <f t="shared" si="86"/>
        <v>22</v>
      </c>
      <c r="AL47" s="108">
        <f t="shared" si="86"/>
        <v>22</v>
      </c>
      <c r="AM47" s="108">
        <f t="shared" si="86"/>
        <v>22</v>
      </c>
      <c r="AN47" s="108">
        <f t="shared" si="86"/>
        <v>264</v>
      </c>
    </row>
    <row r="49" customHeight="1" spans="1:36">
      <c r="A49" s="12" t="s">
        <v>58</v>
      </c>
      <c r="B49" s="12"/>
      <c r="C49" s="10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AA49" s="7"/>
      <c r="AB49" s="89"/>
      <c r="AC49" s="89"/>
      <c r="AD49" s="89"/>
      <c r="AE49" s="89"/>
      <c r="AF49" s="89"/>
      <c r="AG49" s="89"/>
      <c r="AH49" s="89"/>
      <c r="AI49" s="89"/>
      <c r="AJ49" s="89"/>
    </row>
    <row r="50" customHeight="1" spans="1:42">
      <c r="A50" s="12" t="s">
        <v>51</v>
      </c>
      <c r="B50" s="104"/>
      <c r="C50" s="17">
        <v>80</v>
      </c>
      <c r="D50" s="17">
        <v>80</v>
      </c>
      <c r="E50" s="17">
        <v>80</v>
      </c>
      <c r="F50" s="17">
        <v>80</v>
      </c>
      <c r="G50" s="17">
        <v>80</v>
      </c>
      <c r="H50" s="17">
        <v>80</v>
      </c>
      <c r="I50" s="17">
        <v>80</v>
      </c>
      <c r="J50" s="17">
        <v>80</v>
      </c>
      <c r="K50" s="17">
        <v>80</v>
      </c>
      <c r="L50" s="17">
        <v>80</v>
      </c>
      <c r="M50" s="17">
        <v>80</v>
      </c>
      <c r="N50" s="17">
        <v>80</v>
      </c>
      <c r="O50" s="106">
        <f>SUM(C50:N50)</f>
        <v>960</v>
      </c>
      <c r="P50" s="113">
        <v>0.1</v>
      </c>
      <c r="Q50" s="113">
        <v>0.1</v>
      </c>
      <c r="R50" s="113">
        <v>0.1</v>
      </c>
      <c r="S50" s="113">
        <v>0.1</v>
      </c>
      <c r="T50" s="113">
        <v>0.1</v>
      </c>
      <c r="U50" s="113">
        <v>0.1</v>
      </c>
      <c r="V50" s="113">
        <v>0.1</v>
      </c>
      <c r="W50" s="113">
        <v>0.1</v>
      </c>
      <c r="X50" s="113">
        <v>0.1</v>
      </c>
      <c r="Y50" s="113">
        <v>0.1</v>
      </c>
      <c r="Z50" s="113">
        <v>0.1</v>
      </c>
      <c r="AA50" s="113">
        <v>0.1</v>
      </c>
      <c r="AB50" s="89">
        <f>C50*P50</f>
        <v>8</v>
      </c>
      <c r="AC50" s="89">
        <f t="shared" ref="AC50:AC53" si="87">D50*Q50</f>
        <v>8</v>
      </c>
      <c r="AD50" s="89">
        <f t="shared" ref="AD50:AD53" si="88">E50*R50</f>
        <v>8</v>
      </c>
      <c r="AE50" s="89">
        <f t="shared" ref="AE50:AE53" si="89">F50*S50</f>
        <v>8</v>
      </c>
      <c r="AF50" s="89">
        <f t="shared" ref="AF50:AF53" si="90">G50*T50</f>
        <v>8</v>
      </c>
      <c r="AG50" s="89">
        <f t="shared" ref="AG50:AG53" si="91">H50*U50</f>
        <v>8</v>
      </c>
      <c r="AH50" s="89">
        <f t="shared" ref="AH50:AH53" si="92">I50*V50</f>
        <v>8</v>
      </c>
      <c r="AI50" s="89">
        <f t="shared" ref="AI50:AI53" si="93">J50*W50</f>
        <v>8</v>
      </c>
      <c r="AJ50" s="89">
        <f t="shared" ref="AJ50:AJ53" si="94">K50*X50</f>
        <v>8</v>
      </c>
      <c r="AK50" s="89">
        <f t="shared" ref="AK50:AK53" si="95">L50*Y50</f>
        <v>8</v>
      </c>
      <c r="AL50" s="89">
        <f t="shared" ref="AL50:AL53" si="96">M50*Z50</f>
        <v>8</v>
      </c>
      <c r="AM50" s="89">
        <f t="shared" ref="AM50:AM53" si="97">N50*AA50</f>
        <v>8</v>
      </c>
      <c r="AN50" s="108">
        <f t="shared" ref="AN50:AN53" si="98">SUM(AB50:AM50)</f>
        <v>96</v>
      </c>
      <c r="AP50" s="7"/>
    </row>
    <row r="51" customHeight="1" spans="1:42">
      <c r="A51" s="12" t="s">
        <v>52</v>
      </c>
      <c r="B51" s="104"/>
      <c r="C51" s="17">
        <v>15</v>
      </c>
      <c r="D51" s="17">
        <v>15</v>
      </c>
      <c r="E51" s="17">
        <v>15</v>
      </c>
      <c r="F51" s="17">
        <v>15</v>
      </c>
      <c r="G51" s="17">
        <v>15</v>
      </c>
      <c r="H51" s="17">
        <v>15</v>
      </c>
      <c r="I51" s="17">
        <v>15</v>
      </c>
      <c r="J51" s="17">
        <v>15</v>
      </c>
      <c r="K51" s="17">
        <v>15</v>
      </c>
      <c r="L51" s="17">
        <v>15</v>
      </c>
      <c r="M51" s="17">
        <v>15</v>
      </c>
      <c r="N51" s="17">
        <v>15</v>
      </c>
      <c r="O51" s="106">
        <f t="shared" ref="O51:O54" si="99">SUM(C51:N51)</f>
        <v>180</v>
      </c>
      <c r="P51" s="114">
        <v>0.5</v>
      </c>
      <c r="Q51" s="114">
        <v>0.5</v>
      </c>
      <c r="R51" s="114">
        <v>0.5</v>
      </c>
      <c r="S51" s="114">
        <v>0.5</v>
      </c>
      <c r="T51" s="114">
        <v>0.5</v>
      </c>
      <c r="U51" s="114">
        <v>0.5</v>
      </c>
      <c r="V51" s="114">
        <v>0.5</v>
      </c>
      <c r="W51" s="114">
        <v>0.5</v>
      </c>
      <c r="X51" s="114">
        <v>0.5</v>
      </c>
      <c r="Y51" s="114">
        <v>0.5</v>
      </c>
      <c r="Z51" s="114">
        <v>0.5</v>
      </c>
      <c r="AA51" s="114">
        <v>0.5</v>
      </c>
      <c r="AB51" s="89">
        <f t="shared" ref="AB51:AB53" si="100">C51*P51</f>
        <v>7.5</v>
      </c>
      <c r="AC51" s="89">
        <f t="shared" si="87"/>
        <v>7.5</v>
      </c>
      <c r="AD51" s="89">
        <f t="shared" si="88"/>
        <v>7.5</v>
      </c>
      <c r="AE51" s="89">
        <f t="shared" si="89"/>
        <v>7.5</v>
      </c>
      <c r="AF51" s="89">
        <f t="shared" si="90"/>
        <v>7.5</v>
      </c>
      <c r="AG51" s="89">
        <f t="shared" si="91"/>
        <v>7.5</v>
      </c>
      <c r="AH51" s="89">
        <f t="shared" si="92"/>
        <v>7.5</v>
      </c>
      <c r="AI51" s="89">
        <f t="shared" si="93"/>
        <v>7.5</v>
      </c>
      <c r="AJ51" s="89">
        <f t="shared" si="94"/>
        <v>7.5</v>
      </c>
      <c r="AK51" s="89">
        <f t="shared" si="95"/>
        <v>7.5</v>
      </c>
      <c r="AL51" s="89">
        <f t="shared" si="96"/>
        <v>7.5</v>
      </c>
      <c r="AM51" s="89">
        <f t="shared" si="97"/>
        <v>7.5</v>
      </c>
      <c r="AN51" s="108">
        <f t="shared" si="98"/>
        <v>90</v>
      </c>
      <c r="AP51" s="7"/>
    </row>
    <row r="52" customHeight="1" spans="1:42">
      <c r="A52" s="12" t="s">
        <v>53</v>
      </c>
      <c r="B52" s="104"/>
      <c r="C52" s="17">
        <v>15</v>
      </c>
      <c r="D52" s="17">
        <v>15</v>
      </c>
      <c r="E52" s="17">
        <v>15</v>
      </c>
      <c r="F52" s="17">
        <v>15</v>
      </c>
      <c r="G52" s="17">
        <v>15</v>
      </c>
      <c r="H52" s="17">
        <v>15</v>
      </c>
      <c r="I52" s="17">
        <v>15</v>
      </c>
      <c r="J52" s="17">
        <v>15</v>
      </c>
      <c r="K52" s="17">
        <v>15</v>
      </c>
      <c r="L52" s="17">
        <v>15</v>
      </c>
      <c r="M52" s="17">
        <v>15</v>
      </c>
      <c r="N52" s="17">
        <v>15</v>
      </c>
      <c r="O52" s="106">
        <f t="shared" si="99"/>
        <v>180</v>
      </c>
      <c r="P52" s="114">
        <v>0.5</v>
      </c>
      <c r="Q52" s="114">
        <v>0.5</v>
      </c>
      <c r="R52" s="114">
        <v>0.5</v>
      </c>
      <c r="S52" s="114">
        <v>0.5</v>
      </c>
      <c r="T52" s="114">
        <v>0.5</v>
      </c>
      <c r="U52" s="114">
        <v>0.5</v>
      </c>
      <c r="V52" s="114">
        <v>0.5</v>
      </c>
      <c r="W52" s="114">
        <v>0.5</v>
      </c>
      <c r="X52" s="114">
        <v>0.5</v>
      </c>
      <c r="Y52" s="114">
        <v>0.5</v>
      </c>
      <c r="Z52" s="114">
        <v>0.5</v>
      </c>
      <c r="AA52" s="114">
        <v>0.5</v>
      </c>
      <c r="AB52" s="89">
        <f t="shared" si="100"/>
        <v>7.5</v>
      </c>
      <c r="AC52" s="89">
        <f t="shared" si="87"/>
        <v>7.5</v>
      </c>
      <c r="AD52" s="89">
        <f t="shared" si="88"/>
        <v>7.5</v>
      </c>
      <c r="AE52" s="89">
        <f t="shared" si="89"/>
        <v>7.5</v>
      </c>
      <c r="AF52" s="89">
        <f t="shared" si="90"/>
        <v>7.5</v>
      </c>
      <c r="AG52" s="89">
        <f t="shared" si="91"/>
        <v>7.5</v>
      </c>
      <c r="AH52" s="89">
        <f t="shared" si="92"/>
        <v>7.5</v>
      </c>
      <c r="AI52" s="89">
        <f t="shared" si="93"/>
        <v>7.5</v>
      </c>
      <c r="AJ52" s="89">
        <f t="shared" si="94"/>
        <v>7.5</v>
      </c>
      <c r="AK52" s="89">
        <f t="shared" si="95"/>
        <v>7.5</v>
      </c>
      <c r="AL52" s="89">
        <f t="shared" si="96"/>
        <v>7.5</v>
      </c>
      <c r="AM52" s="89">
        <f t="shared" si="97"/>
        <v>7.5</v>
      </c>
      <c r="AN52" s="108">
        <f t="shared" si="98"/>
        <v>90</v>
      </c>
      <c r="AP52" s="7"/>
    </row>
    <row r="53" customHeight="1" spans="1:42">
      <c r="A53" s="12" t="s">
        <v>54</v>
      </c>
      <c r="B53" s="104"/>
      <c r="C53" s="17">
        <v>40</v>
      </c>
      <c r="D53" s="17">
        <v>40</v>
      </c>
      <c r="E53" s="17">
        <v>40</v>
      </c>
      <c r="F53" s="17">
        <v>40</v>
      </c>
      <c r="G53" s="17">
        <v>40</v>
      </c>
      <c r="H53" s="17">
        <v>40</v>
      </c>
      <c r="I53" s="17">
        <v>40</v>
      </c>
      <c r="J53" s="17">
        <v>40</v>
      </c>
      <c r="K53" s="17">
        <v>40</v>
      </c>
      <c r="L53" s="17">
        <v>40</v>
      </c>
      <c r="M53" s="17">
        <v>40</v>
      </c>
      <c r="N53" s="17">
        <v>40</v>
      </c>
      <c r="O53" s="106">
        <f t="shared" si="99"/>
        <v>480</v>
      </c>
      <c r="P53" s="113">
        <v>0.5</v>
      </c>
      <c r="Q53" s="113">
        <v>0.5</v>
      </c>
      <c r="R53" s="113">
        <v>0.5</v>
      </c>
      <c r="S53" s="113">
        <v>0.5</v>
      </c>
      <c r="T53" s="113">
        <v>0.5</v>
      </c>
      <c r="U53" s="113">
        <v>0.5</v>
      </c>
      <c r="V53" s="113">
        <v>0.5</v>
      </c>
      <c r="W53" s="113">
        <v>0.5</v>
      </c>
      <c r="X53" s="113">
        <v>0.5</v>
      </c>
      <c r="Y53" s="113">
        <v>0.5</v>
      </c>
      <c r="Z53" s="113">
        <v>0.5</v>
      </c>
      <c r="AA53" s="113">
        <v>0.5</v>
      </c>
      <c r="AB53" s="89">
        <f t="shared" si="100"/>
        <v>20</v>
      </c>
      <c r="AC53" s="89">
        <f t="shared" si="87"/>
        <v>20</v>
      </c>
      <c r="AD53" s="89">
        <f t="shared" si="88"/>
        <v>20</v>
      </c>
      <c r="AE53" s="89">
        <f t="shared" si="89"/>
        <v>20</v>
      </c>
      <c r="AF53" s="89">
        <f t="shared" si="90"/>
        <v>20</v>
      </c>
      <c r="AG53" s="89">
        <f t="shared" si="91"/>
        <v>20</v>
      </c>
      <c r="AH53" s="89">
        <f t="shared" si="92"/>
        <v>20</v>
      </c>
      <c r="AI53" s="89">
        <f t="shared" si="93"/>
        <v>20</v>
      </c>
      <c r="AJ53" s="89">
        <f t="shared" si="94"/>
        <v>20</v>
      </c>
      <c r="AK53" s="89">
        <f t="shared" si="95"/>
        <v>20</v>
      </c>
      <c r="AL53" s="89">
        <f t="shared" si="96"/>
        <v>20</v>
      </c>
      <c r="AM53" s="89">
        <f t="shared" si="97"/>
        <v>20</v>
      </c>
      <c r="AN53" s="108">
        <f t="shared" si="98"/>
        <v>240</v>
      </c>
      <c r="AP53" s="7"/>
    </row>
    <row r="54" s="100" customFormat="1" customHeight="1" spans="1:42">
      <c r="A54" s="15" t="s">
        <v>56</v>
      </c>
      <c r="C54" s="106">
        <f t="shared" ref="C54:N54" si="101">SUM(C50:C53)</f>
        <v>150</v>
      </c>
      <c r="D54" s="106">
        <f t="shared" si="101"/>
        <v>150</v>
      </c>
      <c r="E54" s="106">
        <f t="shared" si="101"/>
        <v>150</v>
      </c>
      <c r="F54" s="106">
        <f t="shared" si="101"/>
        <v>150</v>
      </c>
      <c r="G54" s="106">
        <f t="shared" si="101"/>
        <v>150</v>
      </c>
      <c r="H54" s="106">
        <f t="shared" si="101"/>
        <v>150</v>
      </c>
      <c r="I54" s="106">
        <f t="shared" si="101"/>
        <v>150</v>
      </c>
      <c r="J54" s="106">
        <f t="shared" si="101"/>
        <v>150</v>
      </c>
      <c r="K54" s="106">
        <f t="shared" si="101"/>
        <v>150</v>
      </c>
      <c r="L54" s="106">
        <f t="shared" si="101"/>
        <v>150</v>
      </c>
      <c r="M54" s="106">
        <f t="shared" si="101"/>
        <v>150</v>
      </c>
      <c r="N54" s="106">
        <f t="shared" si="101"/>
        <v>150</v>
      </c>
      <c r="O54" s="106">
        <f t="shared" si="99"/>
        <v>1800</v>
      </c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B54" s="108">
        <f t="shared" ref="AB54:AN54" si="102">SUM(AB50:AB53)</f>
        <v>43</v>
      </c>
      <c r="AC54" s="108">
        <f t="shared" si="102"/>
        <v>43</v>
      </c>
      <c r="AD54" s="108">
        <f t="shared" si="102"/>
        <v>43</v>
      </c>
      <c r="AE54" s="108">
        <f t="shared" si="102"/>
        <v>43</v>
      </c>
      <c r="AF54" s="108">
        <f t="shared" si="102"/>
        <v>43</v>
      </c>
      <c r="AG54" s="108">
        <f t="shared" si="102"/>
        <v>43</v>
      </c>
      <c r="AH54" s="108">
        <f t="shared" si="102"/>
        <v>43</v>
      </c>
      <c r="AI54" s="108">
        <f t="shared" si="102"/>
        <v>43</v>
      </c>
      <c r="AJ54" s="108">
        <f t="shared" si="102"/>
        <v>43</v>
      </c>
      <c r="AK54" s="108">
        <f t="shared" si="102"/>
        <v>43</v>
      </c>
      <c r="AL54" s="108">
        <f t="shared" si="102"/>
        <v>43</v>
      </c>
      <c r="AM54" s="108">
        <f t="shared" si="102"/>
        <v>43</v>
      </c>
      <c r="AN54" s="108">
        <f t="shared" si="102"/>
        <v>516</v>
      </c>
      <c r="AP54" s="106"/>
    </row>
    <row r="55" customHeight="1" spans="1:40">
      <c r="A55" s="1" t="s">
        <v>72</v>
      </c>
      <c r="AB55" s="7">
        <f>(AB47+AB54)/1.09*0.0005</f>
        <v>0.0298165137614679</v>
      </c>
      <c r="AC55" s="7">
        <f t="shared" ref="AC55:AM55" si="103">(AC47+AC54)/1.09*0.0005</f>
        <v>0.0298165137614679</v>
      </c>
      <c r="AD55" s="7">
        <f t="shared" si="103"/>
        <v>0.0298165137614679</v>
      </c>
      <c r="AE55" s="7">
        <f t="shared" si="103"/>
        <v>0.0298165137614679</v>
      </c>
      <c r="AF55" s="7">
        <f t="shared" si="103"/>
        <v>0.0298165137614679</v>
      </c>
      <c r="AG55" s="7">
        <f t="shared" si="103"/>
        <v>0.0298165137614679</v>
      </c>
      <c r="AH55" s="7">
        <f t="shared" si="103"/>
        <v>0.0298165137614679</v>
      </c>
      <c r="AI55" s="7">
        <f t="shared" si="103"/>
        <v>0.0298165137614679</v>
      </c>
      <c r="AJ55" s="7">
        <f t="shared" si="103"/>
        <v>0.0298165137614679</v>
      </c>
      <c r="AK55" s="7">
        <f t="shared" si="103"/>
        <v>0.0298165137614679</v>
      </c>
      <c r="AL55" s="7">
        <f t="shared" si="103"/>
        <v>0.0298165137614679</v>
      </c>
      <c r="AM55" s="7">
        <f t="shared" si="103"/>
        <v>0.0298165137614679</v>
      </c>
      <c r="AN55" s="108">
        <f>SUM(AB55:AM55)</f>
        <v>0.357798165137615</v>
      </c>
    </row>
    <row r="57" customHeight="1" spans="1:52">
      <c r="A57" s="1" t="s">
        <v>51</v>
      </c>
      <c r="C57" s="13">
        <f>C14+C22</f>
        <v>120</v>
      </c>
      <c r="D57" s="13">
        <f t="shared" ref="D57:N57" si="104">D14+D22</f>
        <v>120</v>
      </c>
      <c r="E57" s="13">
        <f t="shared" si="104"/>
        <v>120</v>
      </c>
      <c r="F57" s="13">
        <f t="shared" si="104"/>
        <v>120</v>
      </c>
      <c r="G57" s="13">
        <f t="shared" si="104"/>
        <v>120</v>
      </c>
      <c r="H57" s="13">
        <f t="shared" si="104"/>
        <v>120</v>
      </c>
      <c r="I57" s="13">
        <f t="shared" si="104"/>
        <v>120</v>
      </c>
      <c r="J57" s="13">
        <f t="shared" si="104"/>
        <v>120</v>
      </c>
      <c r="K57" s="13">
        <f t="shared" si="104"/>
        <v>120</v>
      </c>
      <c r="L57" s="13">
        <f t="shared" si="104"/>
        <v>120</v>
      </c>
      <c r="M57" s="13">
        <f t="shared" si="104"/>
        <v>120</v>
      </c>
      <c r="N57" s="13">
        <f t="shared" si="104"/>
        <v>120</v>
      </c>
      <c r="O57" s="13">
        <f>SUM(C57:N57)</f>
        <v>1440</v>
      </c>
      <c r="AV57" s="1">
        <f>AV14+AV22</f>
        <v>2.88</v>
      </c>
      <c r="AW57" s="1">
        <f t="shared" ref="AW57:AY57" si="105">AW14+AW22</f>
        <v>2.88</v>
      </c>
      <c r="AX57" s="1">
        <f t="shared" si="105"/>
        <v>2.88</v>
      </c>
      <c r="AY57" s="1">
        <f t="shared" si="105"/>
        <v>2.88</v>
      </c>
      <c r="AZ57" s="1">
        <f>SUM(AV57:AY57)</f>
        <v>11.52</v>
      </c>
    </row>
    <row r="58" customHeight="1" spans="1:52">
      <c r="A58" s="1" t="s">
        <v>52</v>
      </c>
      <c r="C58" s="13">
        <f t="shared" ref="C58:N61" si="106">C15+C23</f>
        <v>23</v>
      </c>
      <c r="D58" s="13">
        <f t="shared" si="106"/>
        <v>23</v>
      </c>
      <c r="E58" s="13">
        <f t="shared" si="106"/>
        <v>23</v>
      </c>
      <c r="F58" s="13">
        <f t="shared" si="106"/>
        <v>23</v>
      </c>
      <c r="G58" s="13">
        <f t="shared" si="106"/>
        <v>23</v>
      </c>
      <c r="H58" s="13">
        <f t="shared" si="106"/>
        <v>23</v>
      </c>
      <c r="I58" s="13">
        <f t="shared" si="106"/>
        <v>23</v>
      </c>
      <c r="J58" s="13">
        <f t="shared" si="106"/>
        <v>23</v>
      </c>
      <c r="K58" s="13">
        <f t="shared" si="106"/>
        <v>23</v>
      </c>
      <c r="L58" s="13">
        <f t="shared" si="106"/>
        <v>23</v>
      </c>
      <c r="M58" s="13">
        <f t="shared" si="106"/>
        <v>23</v>
      </c>
      <c r="N58" s="13">
        <f t="shared" si="106"/>
        <v>23</v>
      </c>
      <c r="O58" s="13">
        <f t="shared" ref="O58:O61" si="107">SUM(C58:N58)</f>
        <v>276</v>
      </c>
      <c r="AV58" s="1">
        <f t="shared" ref="AV58:AY58" si="108">AV15+AV23</f>
        <v>0.345</v>
      </c>
      <c r="AW58" s="1">
        <f t="shared" si="108"/>
        <v>0.345</v>
      </c>
      <c r="AX58" s="1">
        <f t="shared" si="108"/>
        <v>0.345</v>
      </c>
      <c r="AY58" s="1">
        <f t="shared" si="108"/>
        <v>0.345</v>
      </c>
      <c r="AZ58" s="1">
        <f t="shared" ref="AZ58:AZ61" si="109">SUM(AV58:AY58)</f>
        <v>1.38</v>
      </c>
    </row>
    <row r="59" customHeight="1" spans="1:52">
      <c r="A59" s="1" t="s">
        <v>53</v>
      </c>
      <c r="C59" s="13">
        <f t="shared" si="106"/>
        <v>23</v>
      </c>
      <c r="D59" s="13">
        <f t="shared" si="106"/>
        <v>23</v>
      </c>
      <c r="E59" s="13">
        <f t="shared" si="106"/>
        <v>23</v>
      </c>
      <c r="F59" s="13">
        <f t="shared" si="106"/>
        <v>23</v>
      </c>
      <c r="G59" s="13">
        <f t="shared" si="106"/>
        <v>23</v>
      </c>
      <c r="H59" s="13">
        <f t="shared" si="106"/>
        <v>23</v>
      </c>
      <c r="I59" s="13">
        <f t="shared" si="106"/>
        <v>23</v>
      </c>
      <c r="J59" s="13">
        <f t="shared" si="106"/>
        <v>23</v>
      </c>
      <c r="K59" s="13">
        <f t="shared" si="106"/>
        <v>23</v>
      </c>
      <c r="L59" s="13">
        <f t="shared" si="106"/>
        <v>23</v>
      </c>
      <c r="M59" s="13">
        <f t="shared" si="106"/>
        <v>23</v>
      </c>
      <c r="N59" s="13">
        <f t="shared" si="106"/>
        <v>23</v>
      </c>
      <c r="O59" s="13">
        <f t="shared" si="107"/>
        <v>276</v>
      </c>
      <c r="AV59" s="1">
        <f t="shared" ref="AV59:AY59" si="110">AV16+AV24</f>
        <v>0.345</v>
      </c>
      <c r="AW59" s="1">
        <f t="shared" si="110"/>
        <v>0.345</v>
      </c>
      <c r="AX59" s="1">
        <f t="shared" si="110"/>
        <v>0.345</v>
      </c>
      <c r="AY59" s="1">
        <f t="shared" si="110"/>
        <v>0.345</v>
      </c>
      <c r="AZ59" s="1">
        <f t="shared" si="109"/>
        <v>1.38</v>
      </c>
    </row>
    <row r="60" customHeight="1" spans="1:52">
      <c r="A60" s="1" t="s">
        <v>54</v>
      </c>
      <c r="C60" s="13">
        <f t="shared" si="106"/>
        <v>60</v>
      </c>
      <c r="D60" s="13">
        <f t="shared" si="106"/>
        <v>60</v>
      </c>
      <c r="E60" s="13">
        <f t="shared" si="106"/>
        <v>60</v>
      </c>
      <c r="F60" s="13">
        <f t="shared" si="106"/>
        <v>60</v>
      </c>
      <c r="G60" s="13">
        <f t="shared" si="106"/>
        <v>60</v>
      </c>
      <c r="H60" s="13">
        <f t="shared" si="106"/>
        <v>60</v>
      </c>
      <c r="I60" s="13">
        <f t="shared" si="106"/>
        <v>60</v>
      </c>
      <c r="J60" s="13">
        <f t="shared" si="106"/>
        <v>60</v>
      </c>
      <c r="K60" s="13">
        <f t="shared" si="106"/>
        <v>60</v>
      </c>
      <c r="L60" s="13">
        <f t="shared" si="106"/>
        <v>60</v>
      </c>
      <c r="M60" s="13">
        <f t="shared" si="106"/>
        <v>60</v>
      </c>
      <c r="N60" s="13">
        <f t="shared" si="106"/>
        <v>60</v>
      </c>
      <c r="O60" s="13">
        <f t="shared" si="107"/>
        <v>720</v>
      </c>
      <c r="AV60" s="1">
        <f t="shared" ref="AV60:AY60" si="111">AV17+AV25</f>
        <v>1.26</v>
      </c>
      <c r="AW60" s="1">
        <f t="shared" si="111"/>
        <v>1.26</v>
      </c>
      <c r="AX60" s="1">
        <f t="shared" si="111"/>
        <v>1.26</v>
      </c>
      <c r="AY60" s="1">
        <f t="shared" si="111"/>
        <v>1.26</v>
      </c>
      <c r="AZ60" s="1">
        <f t="shared" si="109"/>
        <v>5.04</v>
      </c>
    </row>
    <row r="61" customHeight="1" spans="1:52">
      <c r="A61" s="1" t="s">
        <v>55</v>
      </c>
      <c r="C61" s="13">
        <f t="shared" si="106"/>
        <v>60</v>
      </c>
      <c r="D61" s="13">
        <f t="shared" si="106"/>
        <v>60</v>
      </c>
      <c r="E61" s="13">
        <f t="shared" si="106"/>
        <v>60</v>
      </c>
      <c r="F61" s="13">
        <f t="shared" si="106"/>
        <v>60</v>
      </c>
      <c r="G61" s="13">
        <f t="shared" si="106"/>
        <v>60</v>
      </c>
      <c r="H61" s="13">
        <f t="shared" si="106"/>
        <v>60</v>
      </c>
      <c r="I61" s="13">
        <f t="shared" si="106"/>
        <v>60</v>
      </c>
      <c r="J61" s="13">
        <f t="shared" si="106"/>
        <v>60</v>
      </c>
      <c r="K61" s="13">
        <f t="shared" si="106"/>
        <v>60</v>
      </c>
      <c r="L61" s="13">
        <f t="shared" si="106"/>
        <v>60</v>
      </c>
      <c r="M61" s="13">
        <f t="shared" si="106"/>
        <v>60</v>
      </c>
      <c r="N61" s="13">
        <f t="shared" si="106"/>
        <v>60</v>
      </c>
      <c r="O61" s="13">
        <f t="shared" si="107"/>
        <v>720</v>
      </c>
      <c r="AV61" s="1">
        <f t="shared" ref="AV61:AY61" si="112">AV18+AV26</f>
        <v>1.08</v>
      </c>
      <c r="AW61" s="1">
        <f t="shared" si="112"/>
        <v>1.08</v>
      </c>
      <c r="AX61" s="1">
        <f t="shared" si="112"/>
        <v>1.08</v>
      </c>
      <c r="AY61" s="1">
        <f t="shared" si="112"/>
        <v>1.08</v>
      </c>
      <c r="AZ61" s="1">
        <f t="shared" si="109"/>
        <v>4.32</v>
      </c>
    </row>
  </sheetData>
  <mergeCells count="3">
    <mergeCell ref="L1:O1"/>
    <mergeCell ref="P1:AA1"/>
    <mergeCell ref="AK1:AN1"/>
  </mergeCells>
  <pageMargins left="0.7" right="0.7" top="0.75" bottom="0.75" header="0.3" footer="0.3"/>
  <pageSetup paperSize="9" orientation="portrait" horizont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7"/>
  <sheetViews>
    <sheetView zoomScale="90" zoomScaleNormal="90" workbookViewId="0">
      <pane xSplit="3" ySplit="2" topLeftCell="J93" activePane="bottomRight" state="frozen"/>
      <selection/>
      <selection pane="topRight"/>
      <selection pane="bottomLeft"/>
      <selection pane="bottomRight" activeCell="D104" sqref="D104:O104"/>
    </sheetView>
  </sheetViews>
  <sheetFormatPr defaultColWidth="9" defaultRowHeight="21" customHeight="1"/>
  <cols>
    <col min="1" max="1" width="5.5" customWidth="1"/>
    <col min="2" max="2" width="9" customWidth="1"/>
    <col min="3" max="3" width="19.375" customWidth="1"/>
    <col min="4" max="4" width="19.125" customWidth="1"/>
    <col min="5" max="6" width="16.875" customWidth="1"/>
    <col min="7" max="12" width="15.125" customWidth="1"/>
    <col min="13" max="15" width="15.375" customWidth="1"/>
    <col min="16" max="16" width="20" customWidth="1"/>
    <col min="17" max="17" width="16.125" style="17" customWidth="1"/>
    <col min="18" max="19" width="20" customWidth="1"/>
    <col min="20" max="20" width="18" customWidth="1"/>
  </cols>
  <sheetData>
    <row r="1" customHeight="1" spans="1:16">
      <c r="A1" s="47" t="s">
        <v>201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="12" customFormat="1" customHeight="1" spans="1:17">
      <c r="A2" s="48" t="s">
        <v>120</v>
      </c>
      <c r="B2" s="48" t="s">
        <v>121</v>
      </c>
      <c r="C2" s="48" t="s">
        <v>122</v>
      </c>
      <c r="D2" s="48">
        <v>1</v>
      </c>
      <c r="E2" s="48">
        <v>2</v>
      </c>
      <c r="F2" s="48">
        <v>3</v>
      </c>
      <c r="G2" s="48">
        <v>4</v>
      </c>
      <c r="H2" s="48">
        <v>5</v>
      </c>
      <c r="I2" s="48">
        <v>6</v>
      </c>
      <c r="J2" s="48">
        <v>7</v>
      </c>
      <c r="K2" s="48">
        <v>8</v>
      </c>
      <c r="L2" s="48">
        <v>9</v>
      </c>
      <c r="M2" s="48">
        <v>10</v>
      </c>
      <c r="N2" s="48">
        <v>11</v>
      </c>
      <c r="O2" s="48">
        <v>12</v>
      </c>
      <c r="P2" s="84" t="s">
        <v>5</v>
      </c>
      <c r="Q2" s="89" t="s">
        <v>123</v>
      </c>
    </row>
    <row r="3" s="12" customFormat="1" customHeight="1" spans="1:18">
      <c r="A3" s="49" t="s">
        <v>124</v>
      </c>
      <c r="B3" s="50" t="s">
        <v>51</v>
      </c>
      <c r="C3" s="51">
        <v>50000</v>
      </c>
      <c r="D3" s="51">
        <f>'2020回款及耗煤量'!AB14+'2020回款及耗煤量'!AB43</f>
        <v>3204</v>
      </c>
      <c r="E3" s="51">
        <f>'2020回款及耗煤量'!AC14+'2020回款及耗煤量'!AC43</f>
        <v>3204</v>
      </c>
      <c r="F3" s="51">
        <f>'2020回款及耗煤量'!AD14+'2020回款及耗煤量'!AD43</f>
        <v>3204</v>
      </c>
      <c r="G3" s="51">
        <f>'2020回款及耗煤量'!AE14+'2020回款及耗煤量'!AE43</f>
        <v>3204</v>
      </c>
      <c r="H3" s="51">
        <f>'2020回款及耗煤量'!AF14+'2020回款及耗煤量'!AF43</f>
        <v>3204</v>
      </c>
      <c r="I3" s="51">
        <f>'2020回款及耗煤量'!AG14+'2020回款及耗煤量'!AG43</f>
        <v>3204</v>
      </c>
      <c r="J3" s="51">
        <f>'2020回款及耗煤量'!AH14+'2020回款及耗煤量'!AH43</f>
        <v>3204</v>
      </c>
      <c r="K3" s="51">
        <f>'2020回款及耗煤量'!AI14+'2020回款及耗煤量'!AI43</f>
        <v>3204</v>
      </c>
      <c r="L3" s="51">
        <f>'2020回款及耗煤量'!AJ14+'2020回款及耗煤量'!AJ43</f>
        <v>3204</v>
      </c>
      <c r="M3" s="51">
        <f>'2020回款及耗煤量'!AK14+'2020回款及耗煤量'!AK43</f>
        <v>3204</v>
      </c>
      <c r="N3" s="51">
        <f>'2020回款及耗煤量'!AL14+'2020回款及耗煤量'!AL43</f>
        <v>3204</v>
      </c>
      <c r="O3" s="51">
        <f>'2020回款及耗煤量'!AM14+'2020回款及耗煤量'!AM43</f>
        <v>3204</v>
      </c>
      <c r="P3" s="85">
        <f>SUM(D3:O3)</f>
        <v>38448</v>
      </c>
      <c r="Q3" s="89"/>
      <c r="R3" s="90">
        <f>P3/1.13</f>
        <v>34024.7787610619</v>
      </c>
    </row>
    <row r="4" s="12" customFormat="1" customHeight="1" spans="1:18">
      <c r="A4" s="52"/>
      <c r="B4" s="50" t="s">
        <v>52</v>
      </c>
      <c r="C4" s="51">
        <v>20000</v>
      </c>
      <c r="D4" s="51">
        <f>'2020回款及耗煤量'!AB15+'2020回款及耗煤量'!AB44</f>
        <v>404</v>
      </c>
      <c r="E4" s="51">
        <f>'2020回款及耗煤量'!AC15+'2020回款及耗煤量'!AC44</f>
        <v>404</v>
      </c>
      <c r="F4" s="51">
        <f>'2020回款及耗煤量'!AD15+'2020回款及耗煤量'!AD44</f>
        <v>404</v>
      </c>
      <c r="G4" s="51">
        <f>'2020回款及耗煤量'!AE15+'2020回款及耗煤量'!AE44</f>
        <v>404</v>
      </c>
      <c r="H4" s="51">
        <f>'2020回款及耗煤量'!AF15+'2020回款及耗煤量'!AF44</f>
        <v>404</v>
      </c>
      <c r="I4" s="51">
        <f>'2020回款及耗煤量'!AG15+'2020回款及耗煤量'!AG44</f>
        <v>404</v>
      </c>
      <c r="J4" s="51">
        <f>'2020回款及耗煤量'!AH15+'2020回款及耗煤量'!AH44</f>
        <v>404</v>
      </c>
      <c r="K4" s="51">
        <f>'2020回款及耗煤量'!AI15+'2020回款及耗煤量'!AI44</f>
        <v>404</v>
      </c>
      <c r="L4" s="51">
        <f>'2020回款及耗煤量'!AJ15+'2020回款及耗煤量'!AJ44</f>
        <v>404</v>
      </c>
      <c r="M4" s="51">
        <f>'2020回款及耗煤量'!AK15+'2020回款及耗煤量'!AK44</f>
        <v>404</v>
      </c>
      <c r="N4" s="51">
        <f>'2020回款及耗煤量'!AL15+'2020回款及耗煤量'!AL44</f>
        <v>404</v>
      </c>
      <c r="O4" s="51">
        <f>'2020回款及耗煤量'!AM15+'2020回款及耗煤量'!AM44</f>
        <v>404</v>
      </c>
      <c r="P4" s="85">
        <f t="shared" ref="P4:P17" si="0">SUM(D4:O4)</f>
        <v>4848</v>
      </c>
      <c r="Q4" s="89"/>
      <c r="R4" s="90">
        <f t="shared" ref="R4:R7" si="1">P4/1.13</f>
        <v>4290.26548672566</v>
      </c>
    </row>
    <row r="5" s="12" customFormat="1" customHeight="1" spans="1:18">
      <c r="A5" s="52"/>
      <c r="B5" s="50" t="s">
        <v>53</v>
      </c>
      <c r="C5" s="51">
        <v>20000</v>
      </c>
      <c r="D5" s="51">
        <f>'2020回款及耗煤量'!AB16+'2020回款及耗煤量'!AB45</f>
        <v>404</v>
      </c>
      <c r="E5" s="51">
        <f>'2020回款及耗煤量'!AC16+'2020回款及耗煤量'!AC45</f>
        <v>404</v>
      </c>
      <c r="F5" s="51">
        <f>'2020回款及耗煤量'!AD16+'2020回款及耗煤量'!AD45</f>
        <v>404</v>
      </c>
      <c r="G5" s="51">
        <f>'2020回款及耗煤量'!AE16+'2020回款及耗煤量'!AE45</f>
        <v>404</v>
      </c>
      <c r="H5" s="51">
        <f>'2020回款及耗煤量'!AF16+'2020回款及耗煤量'!AF45</f>
        <v>404</v>
      </c>
      <c r="I5" s="51">
        <f>'2020回款及耗煤量'!AG16+'2020回款及耗煤量'!AG45</f>
        <v>404</v>
      </c>
      <c r="J5" s="51">
        <f>'2020回款及耗煤量'!AH16+'2020回款及耗煤量'!AH45</f>
        <v>404</v>
      </c>
      <c r="K5" s="51">
        <f>'2020回款及耗煤量'!AI16+'2020回款及耗煤量'!AI45</f>
        <v>404</v>
      </c>
      <c r="L5" s="51">
        <f>'2020回款及耗煤量'!AJ16+'2020回款及耗煤量'!AJ45</f>
        <v>404</v>
      </c>
      <c r="M5" s="51">
        <f>'2020回款及耗煤量'!AK16+'2020回款及耗煤量'!AK45</f>
        <v>404</v>
      </c>
      <c r="N5" s="51">
        <f>'2020回款及耗煤量'!AL16+'2020回款及耗煤量'!AL45</f>
        <v>404</v>
      </c>
      <c r="O5" s="51">
        <f>'2020回款及耗煤量'!AM16+'2020回款及耗煤量'!AM45</f>
        <v>404</v>
      </c>
      <c r="P5" s="85">
        <f t="shared" si="0"/>
        <v>4848</v>
      </c>
      <c r="Q5" s="89"/>
      <c r="R5" s="90">
        <f t="shared" si="1"/>
        <v>4290.26548672566</v>
      </c>
    </row>
    <row r="6" s="12" customFormat="1" customHeight="1" spans="1:18">
      <c r="A6" s="52"/>
      <c r="B6" s="50" t="s">
        <v>54</v>
      </c>
      <c r="C6" s="51">
        <v>30000</v>
      </c>
      <c r="D6" s="51">
        <f>'2020回款及耗煤量'!AB17+'2020回款及耗煤量'!AB46</f>
        <v>1410</v>
      </c>
      <c r="E6" s="51">
        <f>'2020回款及耗煤量'!AC17+'2020回款及耗煤量'!AC46</f>
        <v>1410</v>
      </c>
      <c r="F6" s="51">
        <f>'2020回款及耗煤量'!AD17+'2020回款及耗煤量'!AD46</f>
        <v>1410</v>
      </c>
      <c r="G6" s="51">
        <f>'2020回款及耗煤量'!AE17+'2020回款及耗煤量'!AE46</f>
        <v>1410</v>
      </c>
      <c r="H6" s="51">
        <f>'2020回款及耗煤量'!AF17+'2020回款及耗煤量'!AF46</f>
        <v>1410</v>
      </c>
      <c r="I6" s="51">
        <f>'2020回款及耗煤量'!AG17+'2020回款及耗煤量'!AG46</f>
        <v>1410</v>
      </c>
      <c r="J6" s="51">
        <f>'2020回款及耗煤量'!AH17+'2020回款及耗煤量'!AH46</f>
        <v>1410</v>
      </c>
      <c r="K6" s="51">
        <f>'2020回款及耗煤量'!AI17+'2020回款及耗煤量'!AI46</f>
        <v>1410</v>
      </c>
      <c r="L6" s="51">
        <f>'2020回款及耗煤量'!AJ17+'2020回款及耗煤量'!AJ46</f>
        <v>1410</v>
      </c>
      <c r="M6" s="51">
        <f>'2020回款及耗煤量'!AK17+'2020回款及耗煤量'!AK46</f>
        <v>1410</v>
      </c>
      <c r="N6" s="51">
        <f>'2020回款及耗煤量'!AL17+'2020回款及耗煤量'!AL46</f>
        <v>1410</v>
      </c>
      <c r="O6" s="51">
        <f>'2020回款及耗煤量'!AM17+'2020回款及耗煤量'!AM46</f>
        <v>1410</v>
      </c>
      <c r="P6" s="85">
        <f t="shared" si="0"/>
        <v>16920</v>
      </c>
      <c r="Q6" s="89"/>
      <c r="R6" s="90">
        <f t="shared" si="1"/>
        <v>14973.4513274336</v>
      </c>
    </row>
    <row r="7" s="12" customFormat="1" customHeight="1" spans="1:19">
      <c r="A7" s="52"/>
      <c r="B7" s="50" t="s">
        <v>55</v>
      </c>
      <c r="C7" s="51">
        <v>40000</v>
      </c>
      <c r="D7" s="51">
        <f>'2020回款及耗煤量'!AB18</f>
        <v>600</v>
      </c>
      <c r="E7" s="51">
        <f>'2020回款及耗煤量'!AC18</f>
        <v>600</v>
      </c>
      <c r="F7" s="51">
        <f>'2020回款及耗煤量'!AD18</f>
        <v>600</v>
      </c>
      <c r="G7" s="51">
        <f>'2020回款及耗煤量'!AE18</f>
        <v>600</v>
      </c>
      <c r="H7" s="51">
        <f>'2020回款及耗煤量'!AF18</f>
        <v>600</v>
      </c>
      <c r="I7" s="51">
        <f>'2020回款及耗煤量'!AG18</f>
        <v>600</v>
      </c>
      <c r="J7" s="51">
        <f>'2020回款及耗煤量'!AH18</f>
        <v>600</v>
      </c>
      <c r="K7" s="51">
        <f>'2020回款及耗煤量'!AI18</f>
        <v>600</v>
      </c>
      <c r="L7" s="51">
        <f>'2020回款及耗煤量'!AJ18</f>
        <v>600</v>
      </c>
      <c r="M7" s="51">
        <f>'2020回款及耗煤量'!AK18</f>
        <v>600</v>
      </c>
      <c r="N7" s="51">
        <f>'2020回款及耗煤量'!AL18</f>
        <v>600</v>
      </c>
      <c r="O7" s="51">
        <f>'2020回款及耗煤量'!AM18</f>
        <v>600</v>
      </c>
      <c r="P7" s="85">
        <f t="shared" si="0"/>
        <v>7200</v>
      </c>
      <c r="Q7" s="89"/>
      <c r="R7" s="90">
        <f t="shared" si="1"/>
        <v>6371.6814159292</v>
      </c>
      <c r="S7" s="90"/>
    </row>
    <row r="8" s="12" customFormat="1" customHeight="1" spans="1:18">
      <c r="A8" s="52"/>
      <c r="B8" s="50" t="s">
        <v>102</v>
      </c>
      <c r="C8" s="51"/>
      <c r="D8" s="51">
        <f>'2020回款及耗煤量'!AB30</f>
        <v>243.4746</v>
      </c>
      <c r="E8" s="51">
        <f>'2020回款及耗煤量'!AC30</f>
        <v>243.4746</v>
      </c>
      <c r="F8" s="51">
        <f>'2020回款及耗煤量'!AD30</f>
        <v>243.4746</v>
      </c>
      <c r="G8" s="51">
        <f>'2020回款及耗煤量'!AE30</f>
        <v>243.4746</v>
      </c>
      <c r="H8" s="51">
        <f>'2020回款及耗煤量'!AF30</f>
        <v>243.4746</v>
      </c>
      <c r="I8" s="51">
        <f>'2020回款及耗煤量'!AG30</f>
        <v>243.4746</v>
      </c>
      <c r="J8" s="51">
        <f>'2020回款及耗煤量'!AH30</f>
        <v>243.4746</v>
      </c>
      <c r="K8" s="51">
        <f>'2020回款及耗煤量'!AI30</f>
        <v>243.4746</v>
      </c>
      <c r="L8" s="51">
        <f>'2020回款及耗煤量'!AJ30</f>
        <v>243.4746</v>
      </c>
      <c r="M8" s="51">
        <f>'2020回款及耗煤量'!AK30</f>
        <v>243.4746</v>
      </c>
      <c r="N8" s="51">
        <f>'2020回款及耗煤量'!AL30</f>
        <v>243.4746</v>
      </c>
      <c r="O8" s="51">
        <f>'2020回款及耗煤量'!AM30</f>
        <v>243.4746</v>
      </c>
      <c r="P8" s="85">
        <f t="shared" si="0"/>
        <v>2921.6952</v>
      </c>
      <c r="Q8" s="89"/>
      <c r="R8" s="90">
        <f>P8/1.06</f>
        <v>2756.31622641509</v>
      </c>
    </row>
    <row r="9" s="12" customFormat="1" customHeight="1" spans="1:18">
      <c r="A9" s="52"/>
      <c r="B9" s="53" t="s">
        <v>125</v>
      </c>
      <c r="C9" s="51">
        <v>1000</v>
      </c>
      <c r="D9" s="51">
        <f>$C$9/9-蒸汽动力2020!$F$21</f>
        <v>110.954949913258</v>
      </c>
      <c r="E9" s="51">
        <f>$C$9/9-蒸汽动力2020!$F$21</f>
        <v>110.954949913258</v>
      </c>
      <c r="F9" s="51">
        <f>$C$9/9-蒸汽动力2020!$F$21</f>
        <v>110.954949913258</v>
      </c>
      <c r="G9" s="51">
        <f>$C$9/9-蒸汽动力2020!$F$21</f>
        <v>110.954949913258</v>
      </c>
      <c r="H9" s="51">
        <f>$C$9/9-蒸汽动力2020!$F$21</f>
        <v>110.954949913258</v>
      </c>
      <c r="I9" s="51">
        <f>$C$9/9-蒸汽动力2020!$F$21</f>
        <v>110.954949913258</v>
      </c>
      <c r="J9" s="51">
        <f>$C$9/9-蒸汽动力2020!$F$21</f>
        <v>110.954949913258</v>
      </c>
      <c r="K9" s="51">
        <f>$C$9/9-蒸汽动力2020!$F$21</f>
        <v>110.954949913258</v>
      </c>
      <c r="L9" s="51">
        <f>$C$9/9-蒸汽动力2020!$F$21</f>
        <v>110.954949913258</v>
      </c>
      <c r="M9" s="51">
        <f>$C$9/9-蒸汽动力2020!$F$21</f>
        <v>110.954949913258</v>
      </c>
      <c r="N9" s="51">
        <f>$C$9/9-蒸汽动力2020!$F$21</f>
        <v>110.954949913258</v>
      </c>
      <c r="O9" s="51">
        <f>$C$9/9-蒸汽动力2020!$F$21</f>
        <v>110.954949913258</v>
      </c>
      <c r="P9" s="86">
        <f t="shared" si="0"/>
        <v>1331.45939895909</v>
      </c>
      <c r="Q9" s="89"/>
      <c r="R9" s="90">
        <f>P9</f>
        <v>1331.45939895909</v>
      </c>
    </row>
    <row r="10" s="12" customFormat="1" customHeight="1" spans="1:18">
      <c r="A10" s="52"/>
      <c r="B10" s="53" t="s">
        <v>126</v>
      </c>
      <c r="C10" s="51">
        <v>2000</v>
      </c>
      <c r="D10" s="51">
        <f>$C$10/9-蒸汽动力2020!$F$7</f>
        <v>221.646041250832</v>
      </c>
      <c r="E10" s="51">
        <f>$C$10/9-蒸汽动力2020!$F$7</f>
        <v>221.646041250832</v>
      </c>
      <c r="F10" s="51">
        <f>$C$10/9-蒸汽动力2020!$F$7</f>
        <v>221.646041250832</v>
      </c>
      <c r="G10" s="51">
        <f>$C$10/9-蒸汽动力2020!$F$7</f>
        <v>221.646041250832</v>
      </c>
      <c r="H10" s="51">
        <f>$C$10/9-蒸汽动力2020!$F$7</f>
        <v>221.646041250832</v>
      </c>
      <c r="I10" s="51">
        <f>$C$10/9-蒸汽动力2020!$F$7</f>
        <v>221.646041250832</v>
      </c>
      <c r="J10" s="51">
        <f>$C$10/9-蒸汽动力2020!$F$7</f>
        <v>221.646041250832</v>
      </c>
      <c r="K10" s="51">
        <f>$C$10/9-蒸汽动力2020!$F$7</f>
        <v>221.646041250832</v>
      </c>
      <c r="L10" s="51">
        <f>$C$10/9-蒸汽动力2020!$F$7</f>
        <v>221.646041250832</v>
      </c>
      <c r="M10" s="51">
        <f>$C$10/9-蒸汽动力2020!$F$7</f>
        <v>221.646041250832</v>
      </c>
      <c r="N10" s="51">
        <f>$C$10/9-蒸汽动力2020!$F$7</f>
        <v>221.646041250832</v>
      </c>
      <c r="O10" s="51">
        <f>$C$10/9-蒸汽动力2020!$F$7</f>
        <v>221.646041250832</v>
      </c>
      <c r="P10" s="86">
        <f t="shared" si="0"/>
        <v>2659.75249500998</v>
      </c>
      <c r="Q10" s="89"/>
      <c r="R10" s="90">
        <f t="shared" ref="R10:R17" si="2">P10</f>
        <v>2659.75249500998</v>
      </c>
    </row>
    <row r="11" s="12" customFormat="1" customHeight="1" spans="1:18">
      <c r="A11" s="52"/>
      <c r="B11" s="54" t="s">
        <v>127</v>
      </c>
      <c r="C11" s="51">
        <v>500</v>
      </c>
      <c r="D11" s="51">
        <f t="shared" ref="D11:D17" si="3">C11/9</f>
        <v>55.5555555555556</v>
      </c>
      <c r="E11" s="51">
        <f t="shared" ref="E11:E17" si="4">C11/9</f>
        <v>55.5555555555556</v>
      </c>
      <c r="F11" s="51">
        <f t="shared" ref="F11:F17" si="5">C11/9</f>
        <v>55.5555555555556</v>
      </c>
      <c r="G11" s="51">
        <f t="shared" ref="G11:G17" si="6">C11/9</f>
        <v>55.5555555555556</v>
      </c>
      <c r="H11" s="51">
        <f t="shared" ref="H11:H17" si="7">C11/9</f>
        <v>55.5555555555556</v>
      </c>
      <c r="I11" s="51">
        <f t="shared" ref="I11:I17" si="8">C11/9</f>
        <v>55.5555555555556</v>
      </c>
      <c r="J11" s="51">
        <f t="shared" ref="J11:J17" si="9">C11/9</f>
        <v>55.5555555555556</v>
      </c>
      <c r="K11" s="51">
        <f t="shared" ref="K11:K17" si="10">C11/9</f>
        <v>55.5555555555556</v>
      </c>
      <c r="L11" s="51">
        <f t="shared" ref="L11:L17" si="11">C11/9</f>
        <v>55.5555555555556</v>
      </c>
      <c r="M11" s="87">
        <f t="shared" ref="M11:M17" si="12">C11/9</f>
        <v>55.5555555555556</v>
      </c>
      <c r="N11" s="87">
        <f t="shared" ref="N11:N17" si="13">C11/9</f>
        <v>55.5555555555556</v>
      </c>
      <c r="O11" s="87">
        <f t="shared" ref="O11:O17" si="14">C11/9</f>
        <v>55.5555555555556</v>
      </c>
      <c r="P11" s="86">
        <f t="shared" si="0"/>
        <v>666.666666666667</v>
      </c>
      <c r="Q11" s="89"/>
      <c r="R11" s="90">
        <f t="shared" si="2"/>
        <v>666.666666666667</v>
      </c>
    </row>
    <row r="12" s="12" customFormat="1" customHeight="1" spans="1:18">
      <c r="A12" s="52"/>
      <c r="B12" s="54" t="s">
        <v>128</v>
      </c>
      <c r="C12" s="51">
        <v>300</v>
      </c>
      <c r="D12" s="51">
        <f t="shared" si="3"/>
        <v>33.3333333333333</v>
      </c>
      <c r="E12" s="51">
        <f t="shared" si="4"/>
        <v>33.3333333333333</v>
      </c>
      <c r="F12" s="51">
        <f t="shared" si="5"/>
        <v>33.3333333333333</v>
      </c>
      <c r="G12" s="51">
        <f t="shared" si="6"/>
        <v>33.3333333333333</v>
      </c>
      <c r="H12" s="51">
        <f t="shared" si="7"/>
        <v>33.3333333333333</v>
      </c>
      <c r="I12" s="51">
        <f t="shared" si="8"/>
        <v>33.3333333333333</v>
      </c>
      <c r="J12" s="51">
        <f t="shared" si="9"/>
        <v>33.3333333333333</v>
      </c>
      <c r="K12" s="51">
        <f t="shared" si="10"/>
        <v>33.3333333333333</v>
      </c>
      <c r="L12" s="51">
        <f t="shared" si="11"/>
        <v>33.3333333333333</v>
      </c>
      <c r="M12" s="87">
        <f t="shared" si="12"/>
        <v>33.3333333333333</v>
      </c>
      <c r="N12" s="87">
        <f t="shared" si="13"/>
        <v>33.3333333333333</v>
      </c>
      <c r="O12" s="87">
        <f t="shared" si="14"/>
        <v>33.3333333333333</v>
      </c>
      <c r="P12" s="86">
        <f t="shared" si="0"/>
        <v>400</v>
      </c>
      <c r="Q12" s="89"/>
      <c r="R12" s="90">
        <f t="shared" si="2"/>
        <v>400</v>
      </c>
    </row>
    <row r="13" s="12" customFormat="1" customHeight="1" spans="1:18">
      <c r="A13" s="52"/>
      <c r="B13" s="54" t="s">
        <v>129</v>
      </c>
      <c r="C13" s="51">
        <v>100</v>
      </c>
      <c r="D13" s="51">
        <f t="shared" si="3"/>
        <v>11.1111111111111</v>
      </c>
      <c r="E13" s="51">
        <f t="shared" si="4"/>
        <v>11.1111111111111</v>
      </c>
      <c r="F13" s="51">
        <f t="shared" si="5"/>
        <v>11.1111111111111</v>
      </c>
      <c r="G13" s="51">
        <f t="shared" si="6"/>
        <v>11.1111111111111</v>
      </c>
      <c r="H13" s="51">
        <f t="shared" si="7"/>
        <v>11.1111111111111</v>
      </c>
      <c r="I13" s="51">
        <f t="shared" si="8"/>
        <v>11.1111111111111</v>
      </c>
      <c r="J13" s="51">
        <f t="shared" si="9"/>
        <v>11.1111111111111</v>
      </c>
      <c r="K13" s="51">
        <f t="shared" si="10"/>
        <v>11.1111111111111</v>
      </c>
      <c r="L13" s="51">
        <f t="shared" si="11"/>
        <v>11.1111111111111</v>
      </c>
      <c r="M13" s="87">
        <f t="shared" si="12"/>
        <v>11.1111111111111</v>
      </c>
      <c r="N13" s="87">
        <f t="shared" si="13"/>
        <v>11.1111111111111</v>
      </c>
      <c r="O13" s="87">
        <f t="shared" si="14"/>
        <v>11.1111111111111</v>
      </c>
      <c r="P13" s="86">
        <f t="shared" si="0"/>
        <v>133.333333333333</v>
      </c>
      <c r="Q13" s="89"/>
      <c r="R13" s="90">
        <f t="shared" si="2"/>
        <v>133.333333333333</v>
      </c>
    </row>
    <row r="14" s="12" customFormat="1" customHeight="1" spans="1:18">
      <c r="A14" s="52"/>
      <c r="B14" s="54" t="s">
        <v>130</v>
      </c>
      <c r="C14" s="51">
        <v>80</v>
      </c>
      <c r="D14" s="51">
        <f t="shared" si="3"/>
        <v>8.88888888888889</v>
      </c>
      <c r="E14" s="51">
        <f t="shared" si="4"/>
        <v>8.88888888888889</v>
      </c>
      <c r="F14" s="51">
        <f t="shared" si="5"/>
        <v>8.88888888888889</v>
      </c>
      <c r="G14" s="51">
        <f t="shared" si="6"/>
        <v>8.88888888888889</v>
      </c>
      <c r="H14" s="51">
        <f t="shared" si="7"/>
        <v>8.88888888888889</v>
      </c>
      <c r="I14" s="51">
        <f t="shared" si="8"/>
        <v>8.88888888888889</v>
      </c>
      <c r="J14" s="51">
        <f t="shared" si="9"/>
        <v>8.88888888888889</v>
      </c>
      <c r="K14" s="51">
        <f t="shared" si="10"/>
        <v>8.88888888888889</v>
      </c>
      <c r="L14" s="51">
        <f t="shared" si="11"/>
        <v>8.88888888888889</v>
      </c>
      <c r="M14" s="87">
        <f t="shared" si="12"/>
        <v>8.88888888888889</v>
      </c>
      <c r="N14" s="87">
        <f t="shared" si="13"/>
        <v>8.88888888888889</v>
      </c>
      <c r="O14" s="87">
        <f t="shared" si="14"/>
        <v>8.88888888888889</v>
      </c>
      <c r="P14" s="86">
        <f t="shared" si="0"/>
        <v>106.666666666667</v>
      </c>
      <c r="Q14" s="12">
        <v>360905.02</v>
      </c>
      <c r="R14" s="90">
        <f t="shared" si="2"/>
        <v>106.666666666667</v>
      </c>
    </row>
    <row r="15" s="12" customFormat="1" customHeight="1" spans="1:18">
      <c r="A15" s="52"/>
      <c r="B15" s="54" t="s">
        <v>131</v>
      </c>
      <c r="C15" s="51">
        <v>40</v>
      </c>
      <c r="D15" s="51">
        <f t="shared" si="3"/>
        <v>4.44444444444444</v>
      </c>
      <c r="E15" s="51">
        <f t="shared" si="4"/>
        <v>4.44444444444444</v>
      </c>
      <c r="F15" s="51">
        <f t="shared" si="5"/>
        <v>4.44444444444444</v>
      </c>
      <c r="G15" s="51">
        <f t="shared" si="6"/>
        <v>4.44444444444444</v>
      </c>
      <c r="H15" s="51">
        <f t="shared" si="7"/>
        <v>4.44444444444444</v>
      </c>
      <c r="I15" s="51">
        <f t="shared" si="8"/>
        <v>4.44444444444444</v>
      </c>
      <c r="J15" s="51">
        <f t="shared" si="9"/>
        <v>4.44444444444444</v>
      </c>
      <c r="K15" s="51">
        <f t="shared" si="10"/>
        <v>4.44444444444444</v>
      </c>
      <c r="L15" s="51">
        <f t="shared" si="11"/>
        <v>4.44444444444444</v>
      </c>
      <c r="M15" s="87">
        <f t="shared" si="12"/>
        <v>4.44444444444444</v>
      </c>
      <c r="N15" s="87">
        <f t="shared" si="13"/>
        <v>4.44444444444444</v>
      </c>
      <c r="O15" s="87">
        <f t="shared" si="14"/>
        <v>4.44444444444444</v>
      </c>
      <c r="P15" s="86">
        <f t="shared" si="0"/>
        <v>53.3333333333333</v>
      </c>
      <c r="Q15" s="89"/>
      <c r="R15" s="90">
        <f t="shared" si="2"/>
        <v>53.3333333333333</v>
      </c>
    </row>
    <row r="16" s="12" customFormat="1" customHeight="1" spans="1:18">
      <c r="A16" s="52"/>
      <c r="B16" s="55" t="s">
        <v>132</v>
      </c>
      <c r="C16" s="51">
        <v>700</v>
      </c>
      <c r="D16" s="51">
        <f>制造费用2020!$G$14</f>
        <v>16.5256680348288</v>
      </c>
      <c r="E16" s="51">
        <f>制造费用2020!$G$14</f>
        <v>16.5256680348288</v>
      </c>
      <c r="F16" s="51">
        <f>制造费用2020!$G$14</f>
        <v>16.5256680348288</v>
      </c>
      <c r="G16" s="51">
        <f>制造费用2020!$G$14</f>
        <v>16.5256680348288</v>
      </c>
      <c r="H16" s="51">
        <f>制造费用2020!$G$14</f>
        <v>16.5256680348288</v>
      </c>
      <c r="I16" s="51">
        <f>制造费用2020!$G$14</f>
        <v>16.5256680348288</v>
      </c>
      <c r="J16" s="51">
        <f>制造费用2020!$G$14</f>
        <v>16.5256680348288</v>
      </c>
      <c r="K16" s="51">
        <f>制造费用2020!$G$14</f>
        <v>16.5256680348288</v>
      </c>
      <c r="L16" s="51">
        <f>制造费用2020!$G$14</f>
        <v>16.5256680348288</v>
      </c>
      <c r="M16" s="51">
        <f>制造费用2020!$G$14</f>
        <v>16.5256680348288</v>
      </c>
      <c r="N16" s="51">
        <f>制造费用2020!$G$14</f>
        <v>16.5256680348288</v>
      </c>
      <c r="O16" s="51">
        <f>制造费用2020!$G$14</f>
        <v>16.5256680348288</v>
      </c>
      <c r="P16" s="86">
        <f t="shared" si="0"/>
        <v>198.308016417945</v>
      </c>
      <c r="Q16" s="89"/>
      <c r="R16" s="90">
        <f t="shared" si="2"/>
        <v>198.308016417945</v>
      </c>
    </row>
    <row r="17" s="12" customFormat="1" customHeight="1" spans="1:18">
      <c r="A17" s="52"/>
      <c r="B17" s="54" t="s">
        <v>133</v>
      </c>
      <c r="C17" s="51">
        <v>20</v>
      </c>
      <c r="D17" s="51">
        <f t="shared" si="3"/>
        <v>2.22222222222222</v>
      </c>
      <c r="E17" s="51">
        <f t="shared" si="4"/>
        <v>2.22222222222222</v>
      </c>
      <c r="F17" s="51">
        <f t="shared" si="5"/>
        <v>2.22222222222222</v>
      </c>
      <c r="G17" s="51">
        <f t="shared" si="6"/>
        <v>2.22222222222222</v>
      </c>
      <c r="H17" s="51">
        <f t="shared" si="7"/>
        <v>2.22222222222222</v>
      </c>
      <c r="I17" s="51">
        <f t="shared" si="8"/>
        <v>2.22222222222222</v>
      </c>
      <c r="J17" s="51">
        <f t="shared" si="9"/>
        <v>2.22222222222222</v>
      </c>
      <c r="K17" s="51">
        <f t="shared" si="10"/>
        <v>2.22222222222222</v>
      </c>
      <c r="L17" s="51">
        <f t="shared" si="11"/>
        <v>2.22222222222222</v>
      </c>
      <c r="M17" s="87">
        <f t="shared" si="12"/>
        <v>2.22222222222222</v>
      </c>
      <c r="N17" s="87">
        <f t="shared" si="13"/>
        <v>2.22222222222222</v>
      </c>
      <c r="O17" s="87">
        <f t="shared" si="14"/>
        <v>2.22222222222222</v>
      </c>
      <c r="P17" s="86">
        <f t="shared" si="0"/>
        <v>26.6666666666667</v>
      </c>
      <c r="Q17" s="89"/>
      <c r="R17" s="90">
        <f t="shared" si="2"/>
        <v>26.6666666666667</v>
      </c>
    </row>
    <row r="18" s="15" customFormat="1" customHeight="1" spans="1:18">
      <c r="A18" s="56"/>
      <c r="B18" s="57" t="s">
        <v>5</v>
      </c>
      <c r="C18" s="58">
        <f>SUM(C3:C17)</f>
        <v>164740</v>
      </c>
      <c r="D18" s="58">
        <f t="shared" ref="D18:L18" si="15">SUM(D3:D17)</f>
        <v>6730.15681475447</v>
      </c>
      <c r="E18" s="58">
        <f t="shared" si="15"/>
        <v>6730.15681475447</v>
      </c>
      <c r="F18" s="58">
        <f t="shared" si="15"/>
        <v>6730.15681475447</v>
      </c>
      <c r="G18" s="58">
        <f t="shared" si="15"/>
        <v>6730.15681475447</v>
      </c>
      <c r="H18" s="58">
        <f t="shared" si="15"/>
        <v>6730.15681475447</v>
      </c>
      <c r="I18" s="58">
        <f t="shared" si="15"/>
        <v>6730.15681475447</v>
      </c>
      <c r="J18" s="58">
        <f t="shared" si="15"/>
        <v>6730.15681475447</v>
      </c>
      <c r="K18" s="58">
        <f t="shared" si="15"/>
        <v>6730.15681475447</v>
      </c>
      <c r="L18" s="58">
        <f t="shared" si="15"/>
        <v>6730.15681475447</v>
      </c>
      <c r="M18" s="58">
        <f t="shared" ref="M18:P18" si="16">SUM(M3:M17)</f>
        <v>6730.15681475447</v>
      </c>
      <c r="N18" s="58">
        <f t="shared" si="16"/>
        <v>6730.15681475447</v>
      </c>
      <c r="O18" s="58">
        <f t="shared" si="16"/>
        <v>6730.15681475447</v>
      </c>
      <c r="P18" s="86">
        <f t="shared" si="16"/>
        <v>80761.8817770537</v>
      </c>
      <c r="Q18" s="91">
        <f>R18/'2020回款及耗煤量'!O3</f>
        <v>36692.8598773445</v>
      </c>
      <c r="R18" s="92">
        <f>SUM(R3:R17)+Q14*12</f>
        <v>4403143.18528134</v>
      </c>
    </row>
    <row r="19" s="12" customFormat="1" customHeight="1" spans="1:18">
      <c r="A19" s="49" t="s">
        <v>134</v>
      </c>
      <c r="B19" s="48" t="s">
        <v>51</v>
      </c>
      <c r="C19" s="59">
        <v>100000</v>
      </c>
      <c r="D19" s="59">
        <f>'2020回款及耗煤量'!AB22+'2020回款及耗煤量'!AB50</f>
        <v>6408</v>
      </c>
      <c r="E19" s="59">
        <f>'2020回款及耗煤量'!AC22+'2020回款及耗煤量'!AC50</f>
        <v>6408</v>
      </c>
      <c r="F19" s="59">
        <f>'2020回款及耗煤量'!AD22+'2020回款及耗煤量'!AD50</f>
        <v>6408</v>
      </c>
      <c r="G19" s="59">
        <f>'2020回款及耗煤量'!AE22+'2020回款及耗煤量'!AE50</f>
        <v>6408</v>
      </c>
      <c r="H19" s="59">
        <f>'2020回款及耗煤量'!AF22+'2020回款及耗煤量'!AF50</f>
        <v>6408</v>
      </c>
      <c r="I19" s="59">
        <f>'2020回款及耗煤量'!AG22+'2020回款及耗煤量'!AG50</f>
        <v>6408</v>
      </c>
      <c r="J19" s="59">
        <f>'2020回款及耗煤量'!AH22+'2020回款及耗煤量'!AH50</f>
        <v>6408</v>
      </c>
      <c r="K19" s="59">
        <f>'2020回款及耗煤量'!AI22+'2020回款及耗煤量'!AI50</f>
        <v>6408</v>
      </c>
      <c r="L19" s="59">
        <f>'2020回款及耗煤量'!AJ22+'2020回款及耗煤量'!AJ50</f>
        <v>6408</v>
      </c>
      <c r="M19" s="59">
        <f>'2020回款及耗煤量'!AK22+'2020回款及耗煤量'!AK50</f>
        <v>6408</v>
      </c>
      <c r="N19" s="59">
        <f>'2020回款及耗煤量'!AL22+'2020回款及耗煤量'!AL50</f>
        <v>6408</v>
      </c>
      <c r="O19" s="59">
        <f>'2020回款及耗煤量'!AM22+'2020回款及耗煤量'!AM50</f>
        <v>6408</v>
      </c>
      <c r="P19" s="85">
        <f>SUM(D19:O19)</f>
        <v>76896</v>
      </c>
      <c r="Q19" s="89"/>
      <c r="R19" s="90">
        <f t="shared" ref="R19:R23" si="17">P19/1.13</f>
        <v>68049.5575221239</v>
      </c>
    </row>
    <row r="20" s="12" customFormat="1" customHeight="1" spans="1:18">
      <c r="A20" s="52"/>
      <c r="B20" s="48" t="s">
        <v>52</v>
      </c>
      <c r="C20" s="59">
        <v>40000</v>
      </c>
      <c r="D20" s="59">
        <f>'2020回款及耗煤量'!AB23+'2020回款及耗煤量'!AB51</f>
        <v>757.5</v>
      </c>
      <c r="E20" s="59">
        <f>'2020回款及耗煤量'!AC23+'2020回款及耗煤量'!AC51</f>
        <v>757.5</v>
      </c>
      <c r="F20" s="59">
        <f>'2020回款及耗煤量'!AD23+'2020回款及耗煤量'!AD51</f>
        <v>757.5</v>
      </c>
      <c r="G20" s="59">
        <f>'2020回款及耗煤量'!AE23+'2020回款及耗煤量'!AE51</f>
        <v>757.5</v>
      </c>
      <c r="H20" s="59">
        <f>'2020回款及耗煤量'!AF23+'2020回款及耗煤量'!AF51</f>
        <v>757.5</v>
      </c>
      <c r="I20" s="59">
        <f>'2020回款及耗煤量'!AG23+'2020回款及耗煤量'!AG51</f>
        <v>757.5</v>
      </c>
      <c r="J20" s="59">
        <f>'2020回款及耗煤量'!AH23+'2020回款及耗煤量'!AH51</f>
        <v>757.5</v>
      </c>
      <c r="K20" s="59">
        <f>'2020回款及耗煤量'!AI23+'2020回款及耗煤量'!AI51</f>
        <v>757.5</v>
      </c>
      <c r="L20" s="59">
        <f>'2020回款及耗煤量'!AJ23+'2020回款及耗煤量'!AJ51</f>
        <v>757.5</v>
      </c>
      <c r="M20" s="59">
        <f>'2020回款及耗煤量'!AK23+'2020回款及耗煤量'!AK51</f>
        <v>757.5</v>
      </c>
      <c r="N20" s="59">
        <f>'2020回款及耗煤量'!AL23+'2020回款及耗煤量'!AL51</f>
        <v>757.5</v>
      </c>
      <c r="O20" s="59">
        <f>'2020回款及耗煤量'!AM23+'2020回款及耗煤量'!AM51</f>
        <v>757.5</v>
      </c>
      <c r="P20" s="85">
        <f t="shared" ref="P20:P24" si="18">SUM(D20:O20)</f>
        <v>9090</v>
      </c>
      <c r="Q20" s="89"/>
      <c r="R20" s="90">
        <f t="shared" si="17"/>
        <v>8044.24778761062</v>
      </c>
    </row>
    <row r="21" s="12" customFormat="1" customHeight="1" spans="1:18">
      <c r="A21" s="52"/>
      <c r="B21" s="48" t="s">
        <v>53</v>
      </c>
      <c r="C21" s="59">
        <v>40000</v>
      </c>
      <c r="D21" s="59">
        <f>'2020回款及耗煤量'!AB24+'2020回款及耗煤量'!AB52</f>
        <v>757.5</v>
      </c>
      <c r="E21" s="59">
        <f>'2020回款及耗煤量'!AC24+'2020回款及耗煤量'!AC52</f>
        <v>757.5</v>
      </c>
      <c r="F21" s="59">
        <f>'2020回款及耗煤量'!AD24+'2020回款及耗煤量'!AD52</f>
        <v>757.5</v>
      </c>
      <c r="G21" s="59">
        <f>'2020回款及耗煤量'!AE24+'2020回款及耗煤量'!AE52</f>
        <v>757.5</v>
      </c>
      <c r="H21" s="59">
        <f>'2020回款及耗煤量'!AF24+'2020回款及耗煤量'!AF52</f>
        <v>757.5</v>
      </c>
      <c r="I21" s="59">
        <f>'2020回款及耗煤量'!AG24+'2020回款及耗煤量'!AG52</f>
        <v>757.5</v>
      </c>
      <c r="J21" s="59">
        <f>'2020回款及耗煤量'!AH24+'2020回款及耗煤量'!AH52</f>
        <v>757.5</v>
      </c>
      <c r="K21" s="59">
        <f>'2020回款及耗煤量'!AI24+'2020回款及耗煤量'!AI52</f>
        <v>757.5</v>
      </c>
      <c r="L21" s="59">
        <f>'2020回款及耗煤量'!AJ24+'2020回款及耗煤量'!AJ52</f>
        <v>757.5</v>
      </c>
      <c r="M21" s="59">
        <f>'2020回款及耗煤量'!AK24+'2020回款及耗煤量'!AK52</f>
        <v>757.5</v>
      </c>
      <c r="N21" s="59">
        <f>'2020回款及耗煤量'!AL24+'2020回款及耗煤量'!AL52</f>
        <v>757.5</v>
      </c>
      <c r="O21" s="59">
        <f>'2020回款及耗煤量'!AM24+'2020回款及耗煤量'!AM52</f>
        <v>757.5</v>
      </c>
      <c r="P21" s="85">
        <f t="shared" si="18"/>
        <v>9090</v>
      </c>
      <c r="Q21" s="89"/>
      <c r="R21" s="90">
        <f t="shared" si="17"/>
        <v>8044.24778761062</v>
      </c>
    </row>
    <row r="22" s="12" customFormat="1" customHeight="1" spans="1:18">
      <c r="A22" s="52"/>
      <c r="B22" s="48" t="s">
        <v>54</v>
      </c>
      <c r="C22" s="59">
        <v>60000</v>
      </c>
      <c r="D22" s="59">
        <f>'2020回款及耗煤量'!AB25+'2020回款及耗煤量'!AB53</f>
        <v>2820</v>
      </c>
      <c r="E22" s="59">
        <f>'2020回款及耗煤量'!AC25+'2020回款及耗煤量'!AC53</f>
        <v>2820</v>
      </c>
      <c r="F22" s="59">
        <f>'2020回款及耗煤量'!AD25+'2020回款及耗煤量'!AD53</f>
        <v>2820</v>
      </c>
      <c r="G22" s="59">
        <f>'2020回款及耗煤量'!AE25+'2020回款及耗煤量'!AE53</f>
        <v>2820</v>
      </c>
      <c r="H22" s="59">
        <f>'2020回款及耗煤量'!AF25+'2020回款及耗煤量'!AF53</f>
        <v>2820</v>
      </c>
      <c r="I22" s="59">
        <f>'2020回款及耗煤量'!AG25+'2020回款及耗煤量'!AG53</f>
        <v>2820</v>
      </c>
      <c r="J22" s="59">
        <f>'2020回款及耗煤量'!AH25+'2020回款及耗煤量'!AH53</f>
        <v>2820</v>
      </c>
      <c r="K22" s="59">
        <f>'2020回款及耗煤量'!AI25+'2020回款及耗煤量'!AI53</f>
        <v>2820</v>
      </c>
      <c r="L22" s="59">
        <f>'2020回款及耗煤量'!AJ25+'2020回款及耗煤量'!AJ53</f>
        <v>2820</v>
      </c>
      <c r="M22" s="59">
        <f>'2020回款及耗煤量'!AK25+'2020回款及耗煤量'!AK53</f>
        <v>2820</v>
      </c>
      <c r="N22" s="59">
        <f>'2020回款及耗煤量'!AL25+'2020回款及耗煤量'!AL53</f>
        <v>2820</v>
      </c>
      <c r="O22" s="59">
        <f>'2020回款及耗煤量'!AM25+'2020回款及耗煤量'!AM53</f>
        <v>2820</v>
      </c>
      <c r="P22" s="85">
        <f t="shared" si="18"/>
        <v>33840</v>
      </c>
      <c r="Q22" s="89"/>
      <c r="R22" s="90">
        <f t="shared" si="17"/>
        <v>29946.9026548673</v>
      </c>
    </row>
    <row r="23" s="12" customFormat="1" customHeight="1" spans="1:20">
      <c r="A23" s="52"/>
      <c r="B23" s="48" t="s">
        <v>55</v>
      </c>
      <c r="C23" s="59">
        <v>80000</v>
      </c>
      <c r="D23" s="59">
        <f>'2020回款及耗煤量'!AB26</f>
        <v>3000</v>
      </c>
      <c r="E23" s="59">
        <f>'2020回款及耗煤量'!AC26</f>
        <v>3000</v>
      </c>
      <c r="F23" s="59">
        <f>'2020回款及耗煤量'!AD26</f>
        <v>3000</v>
      </c>
      <c r="G23" s="59">
        <f>'2020回款及耗煤量'!AE26</f>
        <v>3000</v>
      </c>
      <c r="H23" s="59">
        <f>'2020回款及耗煤量'!AF26</f>
        <v>3000</v>
      </c>
      <c r="I23" s="59">
        <f>'2020回款及耗煤量'!AG26</f>
        <v>3000</v>
      </c>
      <c r="J23" s="59">
        <f>'2020回款及耗煤量'!AH26</f>
        <v>3000</v>
      </c>
      <c r="K23" s="59">
        <f>'2020回款及耗煤量'!AI26</f>
        <v>3000</v>
      </c>
      <c r="L23" s="59">
        <f>'2020回款及耗煤量'!AJ26</f>
        <v>3000</v>
      </c>
      <c r="M23" s="59">
        <f>'2020回款及耗煤量'!AK26</f>
        <v>3000</v>
      </c>
      <c r="N23" s="59">
        <f>'2020回款及耗煤量'!AL26</f>
        <v>3000</v>
      </c>
      <c r="O23" s="59">
        <f>'2020回款及耗煤量'!AM26</f>
        <v>3000</v>
      </c>
      <c r="P23" s="85">
        <f t="shared" si="18"/>
        <v>36000</v>
      </c>
      <c r="Q23" s="89"/>
      <c r="R23" s="90">
        <f t="shared" si="17"/>
        <v>31858.407079646</v>
      </c>
      <c r="S23" s="90"/>
      <c r="T23" s="90"/>
    </row>
    <row r="24" s="12" customFormat="1" customHeight="1" spans="1:18">
      <c r="A24" s="52"/>
      <c r="B24" s="60" t="s">
        <v>135</v>
      </c>
      <c r="C24" s="59">
        <v>2000</v>
      </c>
      <c r="D24" s="51">
        <f>$C$24/9-蒸汽动力2020!$F$22</f>
        <v>221.571550564499</v>
      </c>
      <c r="E24" s="51">
        <f>$C$24/9-蒸汽动力2020!$F$22</f>
        <v>221.571550564499</v>
      </c>
      <c r="F24" s="51">
        <f>$C$24/9-蒸汽动力2020!$F$22</f>
        <v>221.571550564499</v>
      </c>
      <c r="G24" s="51">
        <f>$C$24/9-蒸汽动力2020!$F$22</f>
        <v>221.571550564499</v>
      </c>
      <c r="H24" s="51">
        <f>$C$24/9-蒸汽动力2020!$F$22</f>
        <v>221.571550564499</v>
      </c>
      <c r="I24" s="51">
        <f>$C$24/9-蒸汽动力2020!$F$22</f>
        <v>221.571550564499</v>
      </c>
      <c r="J24" s="51">
        <f>$C$24/9-蒸汽动力2020!$F$22</f>
        <v>221.571550564499</v>
      </c>
      <c r="K24" s="51">
        <f>$C$24/9-蒸汽动力2020!$F$22</f>
        <v>221.571550564499</v>
      </c>
      <c r="L24" s="51">
        <f>$C$24/9-蒸汽动力2020!$F$22</f>
        <v>221.571550564499</v>
      </c>
      <c r="M24" s="51">
        <f>$C$24/9-蒸汽动力2020!$F$22</f>
        <v>221.571550564499</v>
      </c>
      <c r="N24" s="51">
        <f>$C$24/9-蒸汽动力2020!$F$22</f>
        <v>221.571550564499</v>
      </c>
      <c r="O24" s="51">
        <f>$C$24/9-蒸汽动力2020!$F$22</f>
        <v>221.571550564499</v>
      </c>
      <c r="P24" s="86">
        <f t="shared" si="18"/>
        <v>2658.85860677399</v>
      </c>
      <c r="Q24" s="89"/>
      <c r="R24" s="90">
        <f>P24</f>
        <v>2658.85860677399</v>
      </c>
    </row>
    <row r="25" s="12" customFormat="1" customHeight="1" spans="1:18">
      <c r="A25" s="52"/>
      <c r="B25" s="60" t="s">
        <v>136</v>
      </c>
      <c r="C25" s="59">
        <v>4000</v>
      </c>
      <c r="D25" s="51">
        <f>$C$25/9-蒸汽动力2020!$F$8</f>
        <v>443.810645375915</v>
      </c>
      <c r="E25" s="51">
        <f>$C$25/9-蒸汽动力2020!$F$8</f>
        <v>443.810645375915</v>
      </c>
      <c r="F25" s="51">
        <f>$C$25/9-蒸汽动力2020!$F$8</f>
        <v>443.810645375915</v>
      </c>
      <c r="G25" s="51">
        <f>$C$25/9-蒸汽动力2020!$F$8</f>
        <v>443.810645375915</v>
      </c>
      <c r="H25" s="51">
        <f>$C$25/9-蒸汽动力2020!$F$8</f>
        <v>443.810645375915</v>
      </c>
      <c r="I25" s="51">
        <f>$C$25/9-蒸汽动力2020!$F$8</f>
        <v>443.810645375915</v>
      </c>
      <c r="J25" s="51">
        <f>$C$25/9-蒸汽动力2020!$F$8</f>
        <v>443.810645375915</v>
      </c>
      <c r="K25" s="51">
        <f>$C$25/9-蒸汽动力2020!$F$8</f>
        <v>443.810645375915</v>
      </c>
      <c r="L25" s="51">
        <f>$C$25/9-蒸汽动力2020!$F$8</f>
        <v>443.810645375915</v>
      </c>
      <c r="M25" s="51">
        <f>$C$25/9-蒸汽动力2020!$F$8</f>
        <v>443.810645375915</v>
      </c>
      <c r="N25" s="51">
        <f>$C$25/9-蒸汽动力2020!$F$8</f>
        <v>443.810645375915</v>
      </c>
      <c r="O25" s="51">
        <f>$C$25/9-蒸汽动力2020!$F$8</f>
        <v>443.810645375915</v>
      </c>
      <c r="P25" s="86">
        <f t="shared" ref="P25:P32" si="19">SUM(D25:O25)</f>
        <v>5325.72774451098</v>
      </c>
      <c r="Q25" s="89"/>
      <c r="R25" s="90">
        <f t="shared" ref="R25:R32" si="20">P25</f>
        <v>5325.72774451098</v>
      </c>
    </row>
    <row r="26" s="12" customFormat="1" customHeight="1" spans="1:18">
      <c r="A26" s="52"/>
      <c r="B26" s="60" t="s">
        <v>137</v>
      </c>
      <c r="C26" s="59">
        <v>1000</v>
      </c>
      <c r="D26" s="51">
        <f t="shared" ref="D26:D49" si="21">C26/9</f>
        <v>111.111111111111</v>
      </c>
      <c r="E26" s="51">
        <f t="shared" ref="E26:E32" si="22">C26/9</f>
        <v>111.111111111111</v>
      </c>
      <c r="F26" s="51">
        <f t="shared" ref="F26:F32" si="23">C26/9</f>
        <v>111.111111111111</v>
      </c>
      <c r="G26" s="51">
        <f t="shared" ref="G26:G32" si="24">C26/9</f>
        <v>111.111111111111</v>
      </c>
      <c r="H26" s="51">
        <f t="shared" ref="H26:H30" si="25">C26/9</f>
        <v>111.111111111111</v>
      </c>
      <c r="I26" s="51">
        <f t="shared" ref="I26:I32" si="26">C26/9</f>
        <v>111.111111111111</v>
      </c>
      <c r="J26" s="51">
        <f t="shared" ref="J26:J32" si="27">C26/9</f>
        <v>111.111111111111</v>
      </c>
      <c r="K26" s="51">
        <f t="shared" ref="K26:K32" si="28">C26/9</f>
        <v>111.111111111111</v>
      </c>
      <c r="L26" s="51">
        <f t="shared" ref="L26:L32" si="29">C26/9</f>
        <v>111.111111111111</v>
      </c>
      <c r="M26" s="87">
        <f t="shared" ref="M26:M32" si="30">C26/9</f>
        <v>111.111111111111</v>
      </c>
      <c r="N26" s="87">
        <f t="shared" ref="N26:N32" si="31">C26/9</f>
        <v>111.111111111111</v>
      </c>
      <c r="O26" s="87">
        <f t="shared" ref="O26:O32" si="32">C26/9</f>
        <v>111.111111111111</v>
      </c>
      <c r="P26" s="86">
        <f t="shared" si="19"/>
        <v>1333.33333333333</v>
      </c>
      <c r="Q26" s="89"/>
      <c r="R26" s="90">
        <f t="shared" si="20"/>
        <v>1333.33333333333</v>
      </c>
    </row>
    <row r="27" s="12" customFormat="1" customHeight="1" spans="1:18">
      <c r="A27" s="52"/>
      <c r="B27" s="60" t="s">
        <v>138</v>
      </c>
      <c r="C27" s="59">
        <v>600</v>
      </c>
      <c r="D27" s="51">
        <f t="shared" si="21"/>
        <v>66.6666666666667</v>
      </c>
      <c r="E27" s="51">
        <f t="shared" si="22"/>
        <v>66.6666666666667</v>
      </c>
      <c r="F27" s="51">
        <f t="shared" si="23"/>
        <v>66.6666666666667</v>
      </c>
      <c r="G27" s="51">
        <f t="shared" si="24"/>
        <v>66.6666666666667</v>
      </c>
      <c r="H27" s="51">
        <f t="shared" si="25"/>
        <v>66.6666666666667</v>
      </c>
      <c r="I27" s="51">
        <f t="shared" si="26"/>
        <v>66.6666666666667</v>
      </c>
      <c r="J27" s="51">
        <f t="shared" si="27"/>
        <v>66.6666666666667</v>
      </c>
      <c r="K27" s="51">
        <f t="shared" si="28"/>
        <v>66.6666666666667</v>
      </c>
      <c r="L27" s="51">
        <f t="shared" si="29"/>
        <v>66.6666666666667</v>
      </c>
      <c r="M27" s="87">
        <f t="shared" si="30"/>
        <v>66.6666666666667</v>
      </c>
      <c r="N27" s="87">
        <f t="shared" si="31"/>
        <v>66.6666666666667</v>
      </c>
      <c r="O27" s="87">
        <f t="shared" si="32"/>
        <v>66.6666666666667</v>
      </c>
      <c r="P27" s="86">
        <f t="shared" si="19"/>
        <v>800</v>
      </c>
      <c r="Q27" s="89"/>
      <c r="R27" s="90">
        <f t="shared" si="20"/>
        <v>800</v>
      </c>
    </row>
    <row r="28" s="12" customFormat="1" customHeight="1" spans="1:18">
      <c r="A28" s="52"/>
      <c r="B28" s="60" t="s">
        <v>139</v>
      </c>
      <c r="C28" s="59">
        <v>200</v>
      </c>
      <c r="D28" s="51">
        <f t="shared" si="21"/>
        <v>22.2222222222222</v>
      </c>
      <c r="E28" s="51">
        <f t="shared" si="22"/>
        <v>22.2222222222222</v>
      </c>
      <c r="F28" s="51">
        <f t="shared" si="23"/>
        <v>22.2222222222222</v>
      </c>
      <c r="G28" s="51">
        <f t="shared" si="24"/>
        <v>22.2222222222222</v>
      </c>
      <c r="H28" s="51">
        <f t="shared" si="25"/>
        <v>22.2222222222222</v>
      </c>
      <c r="I28" s="51">
        <f t="shared" si="26"/>
        <v>22.2222222222222</v>
      </c>
      <c r="J28" s="51">
        <f t="shared" si="27"/>
        <v>22.2222222222222</v>
      </c>
      <c r="K28" s="51">
        <f t="shared" si="28"/>
        <v>22.2222222222222</v>
      </c>
      <c r="L28" s="51">
        <f t="shared" si="29"/>
        <v>22.2222222222222</v>
      </c>
      <c r="M28" s="87">
        <f t="shared" si="30"/>
        <v>22.2222222222222</v>
      </c>
      <c r="N28" s="87">
        <f t="shared" si="31"/>
        <v>22.2222222222222</v>
      </c>
      <c r="O28" s="87">
        <f t="shared" si="32"/>
        <v>22.2222222222222</v>
      </c>
      <c r="P28" s="86">
        <f t="shared" si="19"/>
        <v>266.666666666667</v>
      </c>
      <c r="Q28" s="12">
        <v>3617334.3</v>
      </c>
      <c r="R28" s="90">
        <f t="shared" si="20"/>
        <v>266.666666666667</v>
      </c>
    </row>
    <row r="29" s="12" customFormat="1" ht="18.75" customHeight="1" spans="1:18">
      <c r="A29" s="52"/>
      <c r="B29" s="60" t="s">
        <v>140</v>
      </c>
      <c r="C29" s="59">
        <v>160</v>
      </c>
      <c r="D29" s="51">
        <f t="shared" si="21"/>
        <v>17.7777777777778</v>
      </c>
      <c r="E29" s="51">
        <f t="shared" si="22"/>
        <v>17.7777777777778</v>
      </c>
      <c r="F29" s="51">
        <f t="shared" si="23"/>
        <v>17.7777777777778</v>
      </c>
      <c r="G29" s="51">
        <f t="shared" si="24"/>
        <v>17.7777777777778</v>
      </c>
      <c r="H29" s="51">
        <f t="shared" si="25"/>
        <v>17.7777777777778</v>
      </c>
      <c r="I29" s="51">
        <f t="shared" si="26"/>
        <v>17.7777777777778</v>
      </c>
      <c r="J29" s="51">
        <f t="shared" si="27"/>
        <v>17.7777777777778</v>
      </c>
      <c r="K29" s="51">
        <f t="shared" si="28"/>
        <v>17.7777777777778</v>
      </c>
      <c r="L29" s="51">
        <f t="shared" si="29"/>
        <v>17.7777777777778</v>
      </c>
      <c r="M29" s="87">
        <f t="shared" si="30"/>
        <v>17.7777777777778</v>
      </c>
      <c r="N29" s="87">
        <f t="shared" si="31"/>
        <v>17.7777777777778</v>
      </c>
      <c r="O29" s="87">
        <f t="shared" si="32"/>
        <v>17.7777777777778</v>
      </c>
      <c r="P29" s="86">
        <f t="shared" si="19"/>
        <v>213.333333333333</v>
      </c>
      <c r="Q29" s="89"/>
      <c r="R29" s="90">
        <f t="shared" si="20"/>
        <v>213.333333333333</v>
      </c>
    </row>
    <row r="30" s="12" customFormat="1" ht="18.75" customHeight="1" spans="1:18">
      <c r="A30" s="52"/>
      <c r="B30" s="60" t="s">
        <v>141</v>
      </c>
      <c r="C30" s="59">
        <v>80</v>
      </c>
      <c r="D30" s="51">
        <f t="shared" si="21"/>
        <v>8.88888888888889</v>
      </c>
      <c r="E30" s="51">
        <f t="shared" si="22"/>
        <v>8.88888888888889</v>
      </c>
      <c r="F30" s="51">
        <f t="shared" si="23"/>
        <v>8.88888888888889</v>
      </c>
      <c r="G30" s="51">
        <f t="shared" si="24"/>
        <v>8.88888888888889</v>
      </c>
      <c r="H30" s="51">
        <f t="shared" si="25"/>
        <v>8.88888888888889</v>
      </c>
      <c r="I30" s="51">
        <f t="shared" si="26"/>
        <v>8.88888888888889</v>
      </c>
      <c r="J30" s="51">
        <f t="shared" si="27"/>
        <v>8.88888888888889</v>
      </c>
      <c r="K30" s="51">
        <f t="shared" si="28"/>
        <v>8.88888888888889</v>
      </c>
      <c r="L30" s="51">
        <f t="shared" si="29"/>
        <v>8.88888888888889</v>
      </c>
      <c r="M30" s="87">
        <f t="shared" si="30"/>
        <v>8.88888888888889</v>
      </c>
      <c r="N30" s="87">
        <f t="shared" si="31"/>
        <v>8.88888888888889</v>
      </c>
      <c r="O30" s="87">
        <f t="shared" si="32"/>
        <v>8.88888888888889</v>
      </c>
      <c r="P30" s="86">
        <f t="shared" si="19"/>
        <v>106.666666666667</v>
      </c>
      <c r="Q30" s="89"/>
      <c r="R30" s="90">
        <f t="shared" si="20"/>
        <v>106.666666666667</v>
      </c>
    </row>
    <row r="31" s="12" customFormat="1" ht="18.75" customHeight="1" spans="1:18">
      <c r="A31" s="52"/>
      <c r="B31" s="61" t="s">
        <v>142</v>
      </c>
      <c r="C31" s="59">
        <v>1400</v>
      </c>
      <c r="D31" s="51">
        <f>制造费用2020!$G$15</f>
        <v>113.095673953563</v>
      </c>
      <c r="E31" s="51">
        <f>制造费用2020!$G$15</f>
        <v>113.095673953563</v>
      </c>
      <c r="F31" s="51">
        <f>制造费用2020!$G$15</f>
        <v>113.095673953563</v>
      </c>
      <c r="G31" s="51">
        <f>制造费用2020!$G$15</f>
        <v>113.095673953563</v>
      </c>
      <c r="H31" s="51">
        <f>制造费用2020!$G$15</f>
        <v>113.095673953563</v>
      </c>
      <c r="I31" s="51">
        <f>制造费用2020!$G$15</f>
        <v>113.095673953563</v>
      </c>
      <c r="J31" s="51">
        <f>制造费用2020!$G$15</f>
        <v>113.095673953563</v>
      </c>
      <c r="K31" s="51">
        <f>制造费用2020!$G$15</f>
        <v>113.095673953563</v>
      </c>
      <c r="L31" s="51">
        <f>制造费用2020!$G$15</f>
        <v>113.095673953563</v>
      </c>
      <c r="M31" s="51">
        <f>制造费用2020!$G$15</f>
        <v>113.095673953563</v>
      </c>
      <c r="N31" s="51">
        <f>制造费用2020!$G$15</f>
        <v>113.095673953563</v>
      </c>
      <c r="O31" s="51">
        <f>制造费用2020!$G$15</f>
        <v>113.095673953563</v>
      </c>
      <c r="P31" s="86">
        <f t="shared" si="19"/>
        <v>1357.14808744276</v>
      </c>
      <c r="Q31" s="89"/>
      <c r="R31" s="90">
        <f t="shared" si="20"/>
        <v>1357.14808744276</v>
      </c>
    </row>
    <row r="32" s="12" customFormat="1" ht="18.75" customHeight="1" spans="1:18">
      <c r="A32" s="52"/>
      <c r="B32" s="61" t="s">
        <v>143</v>
      </c>
      <c r="C32" s="59">
        <v>40</v>
      </c>
      <c r="D32" s="51">
        <f t="shared" si="21"/>
        <v>4.44444444444444</v>
      </c>
      <c r="E32" s="51">
        <f t="shared" si="22"/>
        <v>4.44444444444444</v>
      </c>
      <c r="F32" s="51">
        <f t="shared" si="23"/>
        <v>4.44444444444444</v>
      </c>
      <c r="G32" s="51">
        <f t="shared" si="24"/>
        <v>4.44444444444444</v>
      </c>
      <c r="H32" s="51">
        <f>C32/9</f>
        <v>4.44444444444444</v>
      </c>
      <c r="I32" s="51">
        <f t="shared" si="26"/>
        <v>4.44444444444444</v>
      </c>
      <c r="J32" s="51">
        <f t="shared" si="27"/>
        <v>4.44444444444444</v>
      </c>
      <c r="K32" s="51">
        <f t="shared" si="28"/>
        <v>4.44444444444444</v>
      </c>
      <c r="L32" s="51">
        <f t="shared" si="29"/>
        <v>4.44444444444444</v>
      </c>
      <c r="M32" s="87">
        <f t="shared" si="30"/>
        <v>4.44444444444444</v>
      </c>
      <c r="N32" s="87">
        <f t="shared" si="31"/>
        <v>4.44444444444444</v>
      </c>
      <c r="O32" s="87">
        <f t="shared" si="32"/>
        <v>4.44444444444444</v>
      </c>
      <c r="P32" s="86">
        <f t="shared" si="19"/>
        <v>53.3333333333333</v>
      </c>
      <c r="Q32" s="89"/>
      <c r="R32" s="90">
        <f t="shared" si="20"/>
        <v>53.3333333333333</v>
      </c>
    </row>
    <row r="33" s="15" customFormat="1" customHeight="1" spans="1:18">
      <c r="A33" s="56"/>
      <c r="B33" s="62" t="s">
        <v>5</v>
      </c>
      <c r="C33" s="63">
        <f>SUM(C19:C32)</f>
        <v>329480</v>
      </c>
      <c r="D33" s="63">
        <f>SUM(D19:D32)</f>
        <v>14752.5889810051</v>
      </c>
      <c r="E33" s="63">
        <f>SUM(E19:E32)</f>
        <v>14752.5889810051</v>
      </c>
      <c r="F33" s="63">
        <f>SUM(F19:F32)</f>
        <v>14752.5889810051</v>
      </c>
      <c r="G33" s="63">
        <f t="shared" ref="G33:L33" si="33">SUM(G19:G32)</f>
        <v>14752.5889810051</v>
      </c>
      <c r="H33" s="63">
        <f t="shared" si="33"/>
        <v>14752.5889810051</v>
      </c>
      <c r="I33" s="63">
        <f t="shared" si="33"/>
        <v>14752.5889810051</v>
      </c>
      <c r="J33" s="63">
        <f t="shared" si="33"/>
        <v>14752.5889810051</v>
      </c>
      <c r="K33" s="63">
        <f t="shared" si="33"/>
        <v>14752.5889810051</v>
      </c>
      <c r="L33" s="63">
        <f t="shared" si="33"/>
        <v>14752.5889810051</v>
      </c>
      <c r="M33" s="63">
        <f t="shared" ref="M33:P33" si="34">SUM(M19:M32)</f>
        <v>14752.5889810051</v>
      </c>
      <c r="N33" s="63">
        <f t="shared" si="34"/>
        <v>14752.5889810051</v>
      </c>
      <c r="O33" s="63">
        <f t="shared" si="34"/>
        <v>14752.5889810051</v>
      </c>
      <c r="P33" s="63">
        <f t="shared" si="34"/>
        <v>177031.067772061</v>
      </c>
      <c r="Q33" s="91">
        <f>R33/'2020回款及耗煤量'!O4</f>
        <v>181525.291794183</v>
      </c>
      <c r="R33" s="92">
        <f>SUM(R19:R32)+Q28*12</f>
        <v>43566070.0306039</v>
      </c>
    </row>
    <row r="34" customHeight="1" spans="1:18">
      <c r="A34" s="64" t="s">
        <v>144</v>
      </c>
      <c r="B34" s="65" t="s">
        <v>145</v>
      </c>
      <c r="C34" s="66">
        <v>10</v>
      </c>
      <c r="D34" s="51">
        <f>$C$34/9-蒸汽动力2020!$F$11</f>
        <v>0.304457751164338</v>
      </c>
      <c r="E34" s="51">
        <f>$C$34/9-蒸汽动力2020!$F$11</f>
        <v>0.304457751164338</v>
      </c>
      <c r="F34" s="51">
        <f>$C$34/9-蒸汽动力2020!$F$11</f>
        <v>0.304457751164338</v>
      </c>
      <c r="G34" s="51">
        <f>$C$34/9-蒸汽动力2020!$F$11</f>
        <v>0.304457751164338</v>
      </c>
      <c r="H34" s="51">
        <f>$C$34/9-蒸汽动力2020!$F$11</f>
        <v>0.304457751164338</v>
      </c>
      <c r="I34" s="51">
        <f>$C$34/9-蒸汽动力2020!$F$11</f>
        <v>0.304457751164338</v>
      </c>
      <c r="J34" s="51">
        <f>$C$34/9-蒸汽动力2020!$F$11</f>
        <v>0.304457751164338</v>
      </c>
      <c r="K34" s="51">
        <f>$C$34/9-蒸汽动力2020!$F$11</f>
        <v>0.304457751164338</v>
      </c>
      <c r="L34" s="51">
        <f>$C$34/9-蒸汽动力2020!$F$11</f>
        <v>0.304457751164338</v>
      </c>
      <c r="M34" s="51">
        <f>$C$34/9-蒸汽动力2020!$F$11</f>
        <v>0.304457751164338</v>
      </c>
      <c r="N34" s="51">
        <f>$C$34/9-蒸汽动力2020!$F$11</f>
        <v>0.304457751164338</v>
      </c>
      <c r="O34" s="51">
        <f>$C$34/9-蒸汽动力2020!$F$11</f>
        <v>0.304457751164338</v>
      </c>
      <c r="P34" s="86">
        <f>SUM(D34:O34)</f>
        <v>3.65349301397205</v>
      </c>
      <c r="R34" s="93">
        <f>P34</f>
        <v>3.65349301397205</v>
      </c>
    </row>
    <row r="35" customHeight="1" spans="1:18">
      <c r="A35" s="67"/>
      <c r="B35" s="68" t="s">
        <v>146</v>
      </c>
      <c r="C35" s="66">
        <v>5</v>
      </c>
      <c r="D35" s="51">
        <f t="shared" si="21"/>
        <v>0.555555555555556</v>
      </c>
      <c r="E35" s="51">
        <f t="shared" ref="E35:E41" si="35">C35/9</f>
        <v>0.555555555555556</v>
      </c>
      <c r="F35" s="51">
        <f t="shared" ref="F35:F41" si="36">C35/9</f>
        <v>0.555555555555556</v>
      </c>
      <c r="G35" s="51">
        <f t="shared" ref="G35:G41" si="37">C35/9</f>
        <v>0.555555555555556</v>
      </c>
      <c r="H35" s="51">
        <f t="shared" ref="H35:H41" si="38">C35/9</f>
        <v>0.555555555555556</v>
      </c>
      <c r="I35" s="51">
        <f t="shared" ref="I35:I41" si="39">C35/9</f>
        <v>0.555555555555556</v>
      </c>
      <c r="J35" s="51">
        <f t="shared" ref="J35:J41" si="40">C35/9</f>
        <v>0.555555555555556</v>
      </c>
      <c r="K35" s="51">
        <f t="shared" ref="K35:K41" si="41">C35/9</f>
        <v>0.555555555555556</v>
      </c>
      <c r="L35" s="51">
        <f t="shared" ref="L35:L41" si="42">C35/9</f>
        <v>0.555555555555556</v>
      </c>
      <c r="M35" s="88">
        <f t="shared" ref="M35:M41" si="43">C35/9</f>
        <v>0.555555555555556</v>
      </c>
      <c r="N35" s="88">
        <f t="shared" ref="N35:N41" si="44">C35/9</f>
        <v>0.555555555555556</v>
      </c>
      <c r="O35" s="88">
        <f t="shared" ref="O35:O41" si="45">C35/9</f>
        <v>0.555555555555556</v>
      </c>
      <c r="P35" s="86">
        <f t="shared" ref="P35:P41" si="46">SUM(D35:O35)</f>
        <v>6.66666666666667</v>
      </c>
      <c r="R35" s="93">
        <f t="shared" ref="R35:R41" si="47">P35</f>
        <v>6.66666666666667</v>
      </c>
    </row>
    <row r="36" customHeight="1" spans="1:18">
      <c r="A36" s="67"/>
      <c r="B36" s="68" t="s">
        <v>147</v>
      </c>
      <c r="C36" s="66">
        <v>20</v>
      </c>
      <c r="D36" s="51">
        <f t="shared" si="21"/>
        <v>2.22222222222222</v>
      </c>
      <c r="E36" s="51">
        <f t="shared" si="35"/>
        <v>2.22222222222222</v>
      </c>
      <c r="F36" s="51">
        <f t="shared" si="36"/>
        <v>2.22222222222222</v>
      </c>
      <c r="G36" s="51">
        <f t="shared" si="37"/>
        <v>2.22222222222222</v>
      </c>
      <c r="H36" s="51">
        <f t="shared" si="38"/>
        <v>2.22222222222222</v>
      </c>
      <c r="I36" s="51">
        <f t="shared" si="39"/>
        <v>2.22222222222222</v>
      </c>
      <c r="J36" s="51">
        <f t="shared" si="40"/>
        <v>2.22222222222222</v>
      </c>
      <c r="K36" s="51">
        <f t="shared" si="41"/>
        <v>2.22222222222222</v>
      </c>
      <c r="L36" s="51">
        <f t="shared" si="42"/>
        <v>2.22222222222222</v>
      </c>
      <c r="M36" s="88">
        <f t="shared" si="43"/>
        <v>2.22222222222222</v>
      </c>
      <c r="N36" s="88">
        <f t="shared" si="44"/>
        <v>2.22222222222222</v>
      </c>
      <c r="O36" s="88">
        <f t="shared" si="45"/>
        <v>2.22222222222222</v>
      </c>
      <c r="P36" s="86">
        <f t="shared" si="46"/>
        <v>26.6666666666667</v>
      </c>
      <c r="R36" s="93">
        <f t="shared" si="47"/>
        <v>26.6666666666667</v>
      </c>
    </row>
    <row r="37" customHeight="1" spans="1:18">
      <c r="A37" s="67"/>
      <c r="B37" s="68" t="s">
        <v>139</v>
      </c>
      <c r="C37" s="66">
        <v>10</v>
      </c>
      <c r="D37" s="51">
        <f t="shared" si="21"/>
        <v>1.11111111111111</v>
      </c>
      <c r="E37" s="51">
        <f t="shared" si="35"/>
        <v>1.11111111111111</v>
      </c>
      <c r="F37" s="51">
        <f t="shared" si="36"/>
        <v>1.11111111111111</v>
      </c>
      <c r="G37" s="51">
        <f t="shared" si="37"/>
        <v>1.11111111111111</v>
      </c>
      <c r="H37" s="51">
        <f t="shared" si="38"/>
        <v>1.11111111111111</v>
      </c>
      <c r="I37" s="51">
        <f t="shared" si="39"/>
        <v>1.11111111111111</v>
      </c>
      <c r="J37" s="51">
        <f t="shared" si="40"/>
        <v>1.11111111111111</v>
      </c>
      <c r="K37" s="51">
        <f t="shared" si="41"/>
        <v>1.11111111111111</v>
      </c>
      <c r="L37" s="51">
        <f t="shared" si="42"/>
        <v>1.11111111111111</v>
      </c>
      <c r="M37" s="88">
        <f t="shared" si="43"/>
        <v>1.11111111111111</v>
      </c>
      <c r="N37" s="88">
        <f t="shared" si="44"/>
        <v>1.11111111111111</v>
      </c>
      <c r="O37" s="88">
        <f t="shared" si="45"/>
        <v>1.11111111111111</v>
      </c>
      <c r="P37" s="86">
        <f t="shared" si="46"/>
        <v>13.3333333333333</v>
      </c>
      <c r="R37" s="93">
        <f t="shared" si="47"/>
        <v>13.3333333333333</v>
      </c>
    </row>
    <row r="38" customHeight="1" spans="1:18">
      <c r="A38" s="67"/>
      <c r="B38" s="68" t="s">
        <v>140</v>
      </c>
      <c r="C38" s="66">
        <v>3</v>
      </c>
      <c r="D38" s="51">
        <f t="shared" si="21"/>
        <v>0.333333333333333</v>
      </c>
      <c r="E38" s="51">
        <f t="shared" si="35"/>
        <v>0.333333333333333</v>
      </c>
      <c r="F38" s="51">
        <f t="shared" si="36"/>
        <v>0.333333333333333</v>
      </c>
      <c r="G38" s="51">
        <f t="shared" si="37"/>
        <v>0.333333333333333</v>
      </c>
      <c r="H38" s="51">
        <f t="shared" si="38"/>
        <v>0.333333333333333</v>
      </c>
      <c r="I38" s="51">
        <f t="shared" si="39"/>
        <v>0.333333333333333</v>
      </c>
      <c r="J38" s="51">
        <f t="shared" si="40"/>
        <v>0.333333333333333</v>
      </c>
      <c r="K38" s="51">
        <f t="shared" si="41"/>
        <v>0.333333333333333</v>
      </c>
      <c r="L38" s="51">
        <f t="shared" si="42"/>
        <v>0.333333333333333</v>
      </c>
      <c r="M38" s="88">
        <f t="shared" si="43"/>
        <v>0.333333333333333</v>
      </c>
      <c r="N38" s="88">
        <f t="shared" si="44"/>
        <v>0.333333333333333</v>
      </c>
      <c r="O38" s="88">
        <f t="shared" si="45"/>
        <v>0.333333333333333</v>
      </c>
      <c r="P38" s="86">
        <f t="shared" si="46"/>
        <v>4</v>
      </c>
      <c r="Q38" s="17">
        <v>19860.46</v>
      </c>
      <c r="R38" s="93">
        <f t="shared" si="47"/>
        <v>4</v>
      </c>
    </row>
    <row r="39" customHeight="1" spans="1:18">
      <c r="A39" s="67"/>
      <c r="B39" s="68" t="s">
        <v>141</v>
      </c>
      <c r="C39" s="66">
        <v>5</v>
      </c>
      <c r="D39" s="51">
        <f t="shared" si="21"/>
        <v>0.555555555555556</v>
      </c>
      <c r="E39" s="51">
        <f t="shared" si="35"/>
        <v>0.555555555555556</v>
      </c>
      <c r="F39" s="51">
        <f t="shared" si="36"/>
        <v>0.555555555555556</v>
      </c>
      <c r="G39" s="51">
        <f t="shared" si="37"/>
        <v>0.555555555555556</v>
      </c>
      <c r="H39" s="51">
        <f t="shared" si="38"/>
        <v>0.555555555555556</v>
      </c>
      <c r="I39" s="51">
        <f t="shared" si="39"/>
        <v>0.555555555555556</v>
      </c>
      <c r="J39" s="51">
        <f t="shared" si="40"/>
        <v>0.555555555555556</v>
      </c>
      <c r="K39" s="51">
        <f t="shared" si="41"/>
        <v>0.555555555555556</v>
      </c>
      <c r="L39" s="51">
        <f t="shared" si="42"/>
        <v>0.555555555555556</v>
      </c>
      <c r="M39" s="88">
        <f t="shared" si="43"/>
        <v>0.555555555555556</v>
      </c>
      <c r="N39" s="88">
        <f t="shared" si="44"/>
        <v>0.555555555555556</v>
      </c>
      <c r="O39" s="88">
        <f t="shared" si="45"/>
        <v>0.555555555555556</v>
      </c>
      <c r="P39" s="86">
        <f t="shared" si="46"/>
        <v>6.66666666666667</v>
      </c>
      <c r="R39" s="93">
        <f t="shared" si="47"/>
        <v>6.66666666666667</v>
      </c>
    </row>
    <row r="40" customHeight="1" spans="1:18">
      <c r="A40" s="67"/>
      <c r="B40" s="69" t="s">
        <v>142</v>
      </c>
      <c r="C40" s="66">
        <v>80</v>
      </c>
      <c r="D40" s="51">
        <f>制造费用2020!$G$16</f>
        <v>465.887497364245</v>
      </c>
      <c r="E40" s="51">
        <f>制造费用2020!$G$16</f>
        <v>465.887497364245</v>
      </c>
      <c r="F40" s="51">
        <f>制造费用2020!$G$16</f>
        <v>465.887497364245</v>
      </c>
      <c r="G40" s="51">
        <f>制造费用2020!$G$16</f>
        <v>465.887497364245</v>
      </c>
      <c r="H40" s="51">
        <f>制造费用2020!$G$16</f>
        <v>465.887497364245</v>
      </c>
      <c r="I40" s="51">
        <f>制造费用2020!$G$16</f>
        <v>465.887497364245</v>
      </c>
      <c r="J40" s="51">
        <f>制造费用2020!$G$16</f>
        <v>465.887497364245</v>
      </c>
      <c r="K40" s="51">
        <f>制造费用2020!$G$16</f>
        <v>465.887497364245</v>
      </c>
      <c r="L40" s="51">
        <f>制造费用2020!$G$16</f>
        <v>465.887497364245</v>
      </c>
      <c r="M40" s="51">
        <f>制造费用2020!$G$16</f>
        <v>465.887497364245</v>
      </c>
      <c r="N40" s="51">
        <f>制造费用2020!$G$16</f>
        <v>465.887497364245</v>
      </c>
      <c r="O40" s="51">
        <f>制造费用2020!$G$16</f>
        <v>465.887497364245</v>
      </c>
      <c r="P40" s="86">
        <f t="shared" si="46"/>
        <v>5590.64996837094</v>
      </c>
      <c r="R40" s="93">
        <f t="shared" si="47"/>
        <v>5590.64996837094</v>
      </c>
    </row>
    <row r="41" customHeight="1" spans="1:18">
      <c r="A41" s="67"/>
      <c r="B41" s="68" t="s">
        <v>133</v>
      </c>
      <c r="C41" s="66">
        <v>2</v>
      </c>
      <c r="D41" s="51">
        <f t="shared" si="21"/>
        <v>0.222222222222222</v>
      </c>
      <c r="E41" s="51">
        <f t="shared" si="35"/>
        <v>0.222222222222222</v>
      </c>
      <c r="F41" s="51">
        <f t="shared" si="36"/>
        <v>0.222222222222222</v>
      </c>
      <c r="G41" s="51">
        <f t="shared" si="37"/>
        <v>0.222222222222222</v>
      </c>
      <c r="H41" s="51">
        <f t="shared" si="38"/>
        <v>0.222222222222222</v>
      </c>
      <c r="I41" s="51">
        <f t="shared" si="39"/>
        <v>0.222222222222222</v>
      </c>
      <c r="J41" s="51">
        <f t="shared" si="40"/>
        <v>0.222222222222222</v>
      </c>
      <c r="K41" s="51">
        <f t="shared" si="41"/>
        <v>0.222222222222222</v>
      </c>
      <c r="L41" s="51">
        <f t="shared" si="42"/>
        <v>0.222222222222222</v>
      </c>
      <c r="M41" s="88">
        <f t="shared" si="43"/>
        <v>0.222222222222222</v>
      </c>
      <c r="N41" s="88">
        <f t="shared" si="44"/>
        <v>0.222222222222222</v>
      </c>
      <c r="O41" s="88">
        <f t="shared" si="45"/>
        <v>0.222222222222222</v>
      </c>
      <c r="P41" s="86">
        <f t="shared" si="46"/>
        <v>2.66666666666667</v>
      </c>
      <c r="R41" s="93">
        <f t="shared" si="47"/>
        <v>2.66666666666667</v>
      </c>
    </row>
    <row r="42" s="46" customFormat="1" customHeight="1" spans="1:18">
      <c r="A42" s="67"/>
      <c r="B42" s="70" t="s">
        <v>148</v>
      </c>
      <c r="C42" s="71">
        <f>SUM(C34:C41)</f>
        <v>135</v>
      </c>
      <c r="D42" s="71">
        <f t="shared" ref="D42:M42" si="48">SUM(D34:D41)</f>
        <v>471.19195511541</v>
      </c>
      <c r="E42" s="71">
        <f t="shared" si="48"/>
        <v>471.19195511541</v>
      </c>
      <c r="F42" s="71">
        <f t="shared" si="48"/>
        <v>471.19195511541</v>
      </c>
      <c r="G42" s="71">
        <f t="shared" si="48"/>
        <v>471.19195511541</v>
      </c>
      <c r="H42" s="71">
        <f t="shared" si="48"/>
        <v>471.19195511541</v>
      </c>
      <c r="I42" s="71">
        <f t="shared" si="48"/>
        <v>471.19195511541</v>
      </c>
      <c r="J42" s="71">
        <f t="shared" si="48"/>
        <v>471.19195511541</v>
      </c>
      <c r="K42" s="71">
        <f t="shared" si="48"/>
        <v>471.19195511541</v>
      </c>
      <c r="L42" s="71">
        <f t="shared" si="48"/>
        <v>471.19195511541</v>
      </c>
      <c r="M42" s="71">
        <f t="shared" si="48"/>
        <v>471.19195511541</v>
      </c>
      <c r="N42" s="71">
        <f t="shared" ref="N42:P42" si="49">SUM(N34:N41)</f>
        <v>471.19195511541</v>
      </c>
      <c r="O42" s="71">
        <f t="shared" si="49"/>
        <v>471.19195511541</v>
      </c>
      <c r="P42" s="71">
        <f t="shared" si="49"/>
        <v>5654.30346138491</v>
      </c>
      <c r="Q42" s="94">
        <f>R42/19773.17</f>
        <v>12.338933183773</v>
      </c>
      <c r="R42" s="95">
        <f>SUM(R34:R41)+Q38*12</f>
        <v>243979.823461385</v>
      </c>
    </row>
    <row r="43" customHeight="1" spans="1:18">
      <c r="A43" s="72" t="s">
        <v>149</v>
      </c>
      <c r="B43" s="73" t="s">
        <v>145</v>
      </c>
      <c r="C43" s="51">
        <v>20</v>
      </c>
      <c r="D43" s="51">
        <f>$C$43/9-蒸汽动力2020!$F$12</f>
        <v>1.21390552228876</v>
      </c>
      <c r="E43" s="51">
        <f>$C$43/9-蒸汽动力2020!$F$12</f>
        <v>1.21390552228876</v>
      </c>
      <c r="F43" s="51">
        <f>$C$43/9-蒸汽动力2020!$F$12</f>
        <v>1.21390552228876</v>
      </c>
      <c r="G43" s="51">
        <f>$C$43/9-蒸汽动力2020!$F$12</f>
        <v>1.21390552228876</v>
      </c>
      <c r="H43" s="51">
        <f>$C$43/9-蒸汽动力2020!$F$12</f>
        <v>1.21390552228876</v>
      </c>
      <c r="I43" s="51">
        <f>$C$43/9-蒸汽动力2020!$F$12</f>
        <v>1.21390552228876</v>
      </c>
      <c r="J43" s="51">
        <f>$C$43/9-蒸汽动力2020!$F$12</f>
        <v>1.21390552228876</v>
      </c>
      <c r="K43" s="51">
        <f>$C$43/9-蒸汽动力2020!$F$12</f>
        <v>1.21390552228876</v>
      </c>
      <c r="L43" s="51">
        <f>$C$43/9-蒸汽动力2020!$F$12</f>
        <v>1.21390552228876</v>
      </c>
      <c r="M43" s="51">
        <f>$C$43/9-蒸汽动力2020!$F$12</f>
        <v>1.21390552228876</v>
      </c>
      <c r="N43" s="51">
        <f>$C$43/9-蒸汽动力2020!$F$12</f>
        <v>1.21390552228876</v>
      </c>
      <c r="O43" s="51">
        <f>$C$43/9-蒸汽动力2020!$F$12</f>
        <v>1.21390552228876</v>
      </c>
      <c r="P43" s="86">
        <f>SUM(D43:O43)</f>
        <v>14.5668662674651</v>
      </c>
      <c r="R43" s="93">
        <f>P43</f>
        <v>14.5668662674651</v>
      </c>
    </row>
    <row r="44" customHeight="1" spans="1:18">
      <c r="A44" s="74"/>
      <c r="B44" s="60" t="s">
        <v>147</v>
      </c>
      <c r="C44" s="51">
        <v>10</v>
      </c>
      <c r="D44" s="51">
        <f t="shared" si="21"/>
        <v>1.11111111111111</v>
      </c>
      <c r="E44" s="51">
        <f t="shared" ref="E44:E49" si="50">C44/9</f>
        <v>1.11111111111111</v>
      </c>
      <c r="F44" s="51">
        <f t="shared" ref="F44:F49" si="51">C44/9</f>
        <v>1.11111111111111</v>
      </c>
      <c r="G44" s="51">
        <f t="shared" ref="G44:G49" si="52">C44/9</f>
        <v>1.11111111111111</v>
      </c>
      <c r="H44" s="51">
        <f t="shared" ref="H44:H49" si="53">C44/9</f>
        <v>1.11111111111111</v>
      </c>
      <c r="I44" s="51">
        <f t="shared" ref="I44:I49" si="54">C44/9</f>
        <v>1.11111111111111</v>
      </c>
      <c r="J44" s="51">
        <f t="shared" ref="J44:J49" si="55">C44/9</f>
        <v>1.11111111111111</v>
      </c>
      <c r="K44" s="51">
        <f t="shared" ref="K44:K49" si="56">C44/9</f>
        <v>1.11111111111111</v>
      </c>
      <c r="L44" s="51">
        <f t="shared" ref="L44:L49" si="57">C44/9</f>
        <v>1.11111111111111</v>
      </c>
      <c r="M44" s="88">
        <f t="shared" ref="M44:M49" si="58">C44/9</f>
        <v>1.11111111111111</v>
      </c>
      <c r="N44" s="88">
        <f t="shared" ref="N44:N49" si="59">C44/9</f>
        <v>1.11111111111111</v>
      </c>
      <c r="O44" s="88">
        <f t="shared" ref="O44:O49" si="60">C44/9</f>
        <v>1.11111111111111</v>
      </c>
      <c r="P44" s="86">
        <f t="shared" ref="P44:P49" si="61">SUM(D44:O44)</f>
        <v>13.3333333333333</v>
      </c>
      <c r="R44" s="93">
        <f t="shared" ref="R44:R49" si="62">P44</f>
        <v>13.3333333333333</v>
      </c>
    </row>
    <row r="45" customHeight="1" spans="1:18">
      <c r="A45" s="74"/>
      <c r="B45" s="61" t="s">
        <v>139</v>
      </c>
      <c r="C45" s="51">
        <v>40</v>
      </c>
      <c r="D45" s="51">
        <f t="shared" si="21"/>
        <v>4.44444444444444</v>
      </c>
      <c r="E45" s="51">
        <f t="shared" si="50"/>
        <v>4.44444444444444</v>
      </c>
      <c r="F45" s="51">
        <f t="shared" si="51"/>
        <v>4.44444444444444</v>
      </c>
      <c r="G45" s="51">
        <f t="shared" si="52"/>
        <v>4.44444444444444</v>
      </c>
      <c r="H45" s="51">
        <f t="shared" si="53"/>
        <v>4.44444444444444</v>
      </c>
      <c r="I45" s="51">
        <f t="shared" si="54"/>
        <v>4.44444444444444</v>
      </c>
      <c r="J45" s="51">
        <f t="shared" si="55"/>
        <v>4.44444444444444</v>
      </c>
      <c r="K45" s="51">
        <f t="shared" si="56"/>
        <v>4.44444444444444</v>
      </c>
      <c r="L45" s="51">
        <f t="shared" si="57"/>
        <v>4.44444444444444</v>
      </c>
      <c r="M45" s="88">
        <f t="shared" si="58"/>
        <v>4.44444444444444</v>
      </c>
      <c r="N45" s="88">
        <f t="shared" si="59"/>
        <v>4.44444444444444</v>
      </c>
      <c r="O45" s="88">
        <f t="shared" si="60"/>
        <v>4.44444444444444</v>
      </c>
      <c r="P45" s="86">
        <f t="shared" si="61"/>
        <v>53.3333333333333</v>
      </c>
      <c r="R45" s="93">
        <f t="shared" si="62"/>
        <v>53.3333333333333</v>
      </c>
    </row>
    <row r="46" customHeight="1" spans="1:18">
      <c r="A46" s="74"/>
      <c r="B46" s="60" t="s">
        <v>140</v>
      </c>
      <c r="C46" s="51">
        <v>20</v>
      </c>
      <c r="D46" s="51">
        <f t="shared" si="21"/>
        <v>2.22222222222222</v>
      </c>
      <c r="E46" s="51">
        <f t="shared" si="50"/>
        <v>2.22222222222222</v>
      </c>
      <c r="F46" s="51">
        <f t="shared" si="51"/>
        <v>2.22222222222222</v>
      </c>
      <c r="G46" s="51">
        <f t="shared" si="52"/>
        <v>2.22222222222222</v>
      </c>
      <c r="H46" s="51">
        <f t="shared" si="53"/>
        <v>2.22222222222222</v>
      </c>
      <c r="I46" s="51">
        <f t="shared" si="54"/>
        <v>2.22222222222222</v>
      </c>
      <c r="J46" s="51">
        <f t="shared" si="55"/>
        <v>2.22222222222222</v>
      </c>
      <c r="K46" s="51">
        <f t="shared" si="56"/>
        <v>2.22222222222222</v>
      </c>
      <c r="L46" s="51">
        <f t="shared" si="57"/>
        <v>2.22222222222222</v>
      </c>
      <c r="M46" s="88">
        <f t="shared" si="58"/>
        <v>2.22222222222222</v>
      </c>
      <c r="N46" s="88">
        <f t="shared" si="59"/>
        <v>2.22222222222222</v>
      </c>
      <c r="O46" s="88">
        <f t="shared" si="60"/>
        <v>2.22222222222222</v>
      </c>
      <c r="P46" s="86">
        <f t="shared" si="61"/>
        <v>26.6666666666667</v>
      </c>
      <c r="R46" s="93">
        <f t="shared" si="62"/>
        <v>26.6666666666667</v>
      </c>
    </row>
    <row r="47" customHeight="1" spans="1:18">
      <c r="A47" s="74"/>
      <c r="B47" s="61" t="s">
        <v>141</v>
      </c>
      <c r="C47" s="51">
        <v>6</v>
      </c>
      <c r="D47" s="51">
        <f t="shared" si="21"/>
        <v>0.666666666666667</v>
      </c>
      <c r="E47" s="51">
        <f t="shared" si="50"/>
        <v>0.666666666666667</v>
      </c>
      <c r="F47" s="51">
        <f t="shared" si="51"/>
        <v>0.666666666666667</v>
      </c>
      <c r="G47" s="51">
        <f t="shared" si="52"/>
        <v>0.666666666666667</v>
      </c>
      <c r="H47" s="51">
        <f t="shared" si="53"/>
        <v>0.666666666666667</v>
      </c>
      <c r="I47" s="51">
        <f t="shared" si="54"/>
        <v>0.666666666666667</v>
      </c>
      <c r="J47" s="51">
        <f t="shared" si="55"/>
        <v>0.666666666666667</v>
      </c>
      <c r="K47" s="51">
        <f t="shared" si="56"/>
        <v>0.666666666666667</v>
      </c>
      <c r="L47" s="51">
        <f t="shared" si="57"/>
        <v>0.666666666666667</v>
      </c>
      <c r="M47" s="88">
        <f t="shared" si="58"/>
        <v>0.666666666666667</v>
      </c>
      <c r="N47" s="88">
        <f t="shared" si="59"/>
        <v>0.666666666666667</v>
      </c>
      <c r="O47" s="88">
        <f t="shared" si="60"/>
        <v>0.666666666666667</v>
      </c>
      <c r="P47" s="86">
        <f t="shared" si="61"/>
        <v>8</v>
      </c>
      <c r="R47" s="93">
        <f t="shared" si="62"/>
        <v>8</v>
      </c>
    </row>
    <row r="48" customHeight="1" spans="1:18">
      <c r="A48" s="74"/>
      <c r="B48" s="75" t="s">
        <v>142</v>
      </c>
      <c r="C48" s="51">
        <v>10</v>
      </c>
      <c r="D48" s="51">
        <f>制造费用2020!$G$17</f>
        <v>915.031415815653</v>
      </c>
      <c r="E48" s="51">
        <f>制造费用2020!$G$17</f>
        <v>915.031415815653</v>
      </c>
      <c r="F48" s="51">
        <f>制造费用2020!$G$17</f>
        <v>915.031415815653</v>
      </c>
      <c r="G48" s="51">
        <f>制造费用2020!$G$17</f>
        <v>915.031415815653</v>
      </c>
      <c r="H48" s="51">
        <f>制造费用2020!$G$17</f>
        <v>915.031415815653</v>
      </c>
      <c r="I48" s="51">
        <f>制造费用2020!$G$17</f>
        <v>915.031415815653</v>
      </c>
      <c r="J48" s="51">
        <f>制造费用2020!$G$17</f>
        <v>915.031415815653</v>
      </c>
      <c r="K48" s="51">
        <f>制造费用2020!$G$17</f>
        <v>915.031415815653</v>
      </c>
      <c r="L48" s="51">
        <f>制造费用2020!$G$17</f>
        <v>915.031415815653</v>
      </c>
      <c r="M48" s="51">
        <f>制造费用2020!$G$17</f>
        <v>915.031415815653</v>
      </c>
      <c r="N48" s="51">
        <f>制造费用2020!$G$17</f>
        <v>915.031415815653</v>
      </c>
      <c r="O48" s="51">
        <f>制造费用2020!$G$17</f>
        <v>915.031415815653</v>
      </c>
      <c r="P48" s="86">
        <f t="shared" si="61"/>
        <v>10980.3769897878</v>
      </c>
      <c r="Q48" s="17">
        <v>341398.29</v>
      </c>
      <c r="R48" s="93">
        <f t="shared" si="62"/>
        <v>10980.3769897878</v>
      </c>
    </row>
    <row r="49" customHeight="1" spans="1:18">
      <c r="A49" s="74"/>
      <c r="B49" s="61" t="s">
        <v>133</v>
      </c>
      <c r="C49" s="51">
        <v>160</v>
      </c>
      <c r="D49" s="51">
        <f t="shared" si="21"/>
        <v>17.7777777777778</v>
      </c>
      <c r="E49" s="51">
        <f t="shared" si="50"/>
        <v>17.7777777777778</v>
      </c>
      <c r="F49" s="51">
        <f t="shared" si="51"/>
        <v>17.7777777777778</v>
      </c>
      <c r="G49" s="51">
        <f t="shared" si="52"/>
        <v>17.7777777777778</v>
      </c>
      <c r="H49" s="51">
        <f t="shared" si="53"/>
        <v>17.7777777777778</v>
      </c>
      <c r="I49" s="51">
        <f t="shared" si="54"/>
        <v>17.7777777777778</v>
      </c>
      <c r="J49" s="51">
        <f t="shared" si="55"/>
        <v>17.7777777777778</v>
      </c>
      <c r="K49" s="51">
        <f t="shared" si="56"/>
        <v>17.7777777777778</v>
      </c>
      <c r="L49" s="51">
        <f t="shared" si="57"/>
        <v>17.7777777777778</v>
      </c>
      <c r="M49" s="88">
        <f t="shared" si="58"/>
        <v>17.7777777777778</v>
      </c>
      <c r="N49" s="88">
        <f t="shared" si="59"/>
        <v>17.7777777777778</v>
      </c>
      <c r="O49" s="88">
        <f t="shared" si="60"/>
        <v>17.7777777777778</v>
      </c>
      <c r="P49" s="86">
        <f t="shared" si="61"/>
        <v>213.333333333333</v>
      </c>
      <c r="R49" s="93">
        <f t="shared" si="62"/>
        <v>213.333333333333</v>
      </c>
    </row>
    <row r="50" s="46" customFormat="1" customHeight="1" spans="1:18">
      <c r="A50" s="74"/>
      <c r="B50" s="76" t="s">
        <v>148</v>
      </c>
      <c r="C50" s="58">
        <f>SUM(C43:C49)</f>
        <v>266</v>
      </c>
      <c r="D50" s="58">
        <f>SUM(D43:D49)</f>
        <v>942.467543560164</v>
      </c>
      <c r="E50" s="58">
        <f t="shared" ref="E50:L50" si="63">SUM(E43:E49)</f>
        <v>942.467543560164</v>
      </c>
      <c r="F50" s="58">
        <f t="shared" si="63"/>
        <v>942.467543560164</v>
      </c>
      <c r="G50" s="58">
        <f t="shared" si="63"/>
        <v>942.467543560164</v>
      </c>
      <c r="H50" s="58">
        <f t="shared" si="63"/>
        <v>942.467543560164</v>
      </c>
      <c r="I50" s="58">
        <f t="shared" si="63"/>
        <v>942.467543560164</v>
      </c>
      <c r="J50" s="58">
        <f t="shared" si="63"/>
        <v>942.467543560164</v>
      </c>
      <c r="K50" s="58">
        <f t="shared" si="63"/>
        <v>942.467543560164</v>
      </c>
      <c r="L50" s="58">
        <f t="shared" si="63"/>
        <v>942.467543560164</v>
      </c>
      <c r="M50" s="58">
        <f t="shared" ref="M50:P50" si="64">SUM(M43:M49)</f>
        <v>942.467543560164</v>
      </c>
      <c r="N50" s="58">
        <f t="shared" si="64"/>
        <v>942.467543560164</v>
      </c>
      <c r="O50" s="58">
        <f t="shared" si="64"/>
        <v>942.467543560164</v>
      </c>
      <c r="P50" s="86">
        <f t="shared" si="64"/>
        <v>11309.610522722</v>
      </c>
      <c r="Q50" s="94">
        <f>R50/38835.71</f>
        <v>105.781227909126</v>
      </c>
      <c r="R50" s="95">
        <f>SUM(R43:R49)+Q48*12</f>
        <v>4108089.09052272</v>
      </c>
    </row>
    <row r="51" customHeight="1" spans="1:18">
      <c r="A51" s="64" t="s">
        <v>150</v>
      </c>
      <c r="B51" s="77" t="s">
        <v>151</v>
      </c>
      <c r="C51" s="66">
        <v>20</v>
      </c>
      <c r="D51" s="66">
        <f>'2020回款及耗煤量'!AB33</f>
        <v>5</v>
      </c>
      <c r="E51" s="66">
        <f>'2020回款及耗煤量'!AC33</f>
        <v>5</v>
      </c>
      <c r="F51" s="66">
        <f>'2020回款及耗煤量'!AD33</f>
        <v>5</v>
      </c>
      <c r="G51" s="66">
        <f>'2020回款及耗煤量'!AE33</f>
        <v>5</v>
      </c>
      <c r="H51" s="66">
        <f>'2020回款及耗煤量'!AF33</f>
        <v>5</v>
      </c>
      <c r="I51" s="66">
        <f>'2020回款及耗煤量'!AG33</f>
        <v>5</v>
      </c>
      <c r="J51" s="66">
        <f>'2020回款及耗煤量'!AH33</f>
        <v>5</v>
      </c>
      <c r="K51" s="66">
        <f>'2020回款及耗煤量'!AI33</f>
        <v>5</v>
      </c>
      <c r="L51" s="66">
        <f>'2020回款及耗煤量'!AJ33</f>
        <v>5</v>
      </c>
      <c r="M51" s="66">
        <f>'2020回款及耗煤量'!AK33</f>
        <v>5</v>
      </c>
      <c r="N51" s="66">
        <f>'2020回款及耗煤量'!AL33</f>
        <v>5</v>
      </c>
      <c r="O51" s="66">
        <f>'2020回款及耗煤量'!AM33</f>
        <v>5</v>
      </c>
      <c r="P51" s="85">
        <f>SUM(D51:O51)</f>
        <v>60</v>
      </c>
      <c r="R51" s="93">
        <f>P51/1.13</f>
        <v>53.0973451327434</v>
      </c>
    </row>
    <row r="52" customHeight="1" spans="1:18">
      <c r="A52" s="67"/>
      <c r="B52" s="78" t="s">
        <v>145</v>
      </c>
      <c r="C52" s="66">
        <v>20</v>
      </c>
      <c r="D52" s="51">
        <f>$C$52/9-蒸汽动力2020!$F$13</f>
        <v>0.205588822355289</v>
      </c>
      <c r="E52" s="51">
        <f>$C$52/9-蒸汽动力2020!$F$13</f>
        <v>0.205588822355289</v>
      </c>
      <c r="F52" s="51">
        <f>$C$52/9-蒸汽动力2020!$F$13</f>
        <v>0.205588822355289</v>
      </c>
      <c r="G52" s="51">
        <f>$C$52/9-蒸汽动力2020!$F$13</f>
        <v>0.205588822355289</v>
      </c>
      <c r="H52" s="51">
        <f>$C$52/9-蒸汽动力2020!$F$13</f>
        <v>0.205588822355289</v>
      </c>
      <c r="I52" s="51">
        <f>$C$52/9-蒸汽动力2020!$F$13</f>
        <v>0.205588822355289</v>
      </c>
      <c r="J52" s="51">
        <f>$C$52/9-蒸汽动力2020!$F$13</f>
        <v>0.205588822355289</v>
      </c>
      <c r="K52" s="51">
        <f>$C$52/9-蒸汽动力2020!$F$13</f>
        <v>0.205588822355289</v>
      </c>
      <c r="L52" s="51">
        <f>$C$52/9-蒸汽动力2020!$F$13</f>
        <v>0.205588822355289</v>
      </c>
      <c r="M52" s="51">
        <f>$C$52/9-蒸汽动力2020!$F$13</f>
        <v>0.205588822355289</v>
      </c>
      <c r="N52" s="51">
        <f>$C$52/9-蒸汽动力2020!$F$13</f>
        <v>0.205588822355289</v>
      </c>
      <c r="O52" s="51">
        <f>$C$52/9-蒸汽动力2020!$F$13</f>
        <v>0.205588822355289</v>
      </c>
      <c r="P52" s="86">
        <f t="shared" ref="P52:P59" si="65">SUM(D52:O52)</f>
        <v>2.46706586826347</v>
      </c>
      <c r="R52" s="93">
        <f>P52</f>
        <v>2.46706586826347</v>
      </c>
    </row>
    <row r="53" customHeight="1" spans="1:18">
      <c r="A53" s="67"/>
      <c r="B53" s="79" t="s">
        <v>146</v>
      </c>
      <c r="C53" s="66">
        <v>2</v>
      </c>
      <c r="D53" s="51">
        <f t="shared" ref="D53:D59" si="66">C53/9</f>
        <v>0.222222222222222</v>
      </c>
      <c r="E53" s="51">
        <f t="shared" ref="E53:E59" si="67">C53/9</f>
        <v>0.222222222222222</v>
      </c>
      <c r="F53" s="51">
        <f t="shared" ref="F53:F59" si="68">C53/9</f>
        <v>0.222222222222222</v>
      </c>
      <c r="G53" s="51">
        <f t="shared" ref="G53:G59" si="69">C53/9</f>
        <v>0.222222222222222</v>
      </c>
      <c r="H53" s="51">
        <f t="shared" ref="H53:H59" si="70">C53/9</f>
        <v>0.222222222222222</v>
      </c>
      <c r="I53" s="51">
        <f t="shared" ref="I53:I59" si="71">C53/9</f>
        <v>0.222222222222222</v>
      </c>
      <c r="J53" s="51">
        <f t="shared" ref="J53:J59" si="72">C53/9</f>
        <v>0.222222222222222</v>
      </c>
      <c r="K53" s="51">
        <f t="shared" ref="K53:K59" si="73">C53/9</f>
        <v>0.222222222222222</v>
      </c>
      <c r="L53" s="51">
        <f t="shared" ref="L53:L59" si="74">C53/9</f>
        <v>0.222222222222222</v>
      </c>
      <c r="M53" s="88">
        <f t="shared" ref="M53:M59" si="75">C53/9</f>
        <v>0.222222222222222</v>
      </c>
      <c r="N53" s="88">
        <f t="shared" ref="N53:N59" si="76">C53/9</f>
        <v>0.222222222222222</v>
      </c>
      <c r="O53" s="88">
        <f t="shared" ref="O53:O59" si="77">C53/9</f>
        <v>0.222222222222222</v>
      </c>
      <c r="P53" s="86">
        <f t="shared" si="65"/>
        <v>2.66666666666667</v>
      </c>
      <c r="R53" s="93">
        <f t="shared" ref="R53:R59" si="78">P53</f>
        <v>2.66666666666667</v>
      </c>
    </row>
    <row r="54" customHeight="1" spans="1:18">
      <c r="A54" s="67"/>
      <c r="B54" s="79" t="s">
        <v>147</v>
      </c>
      <c r="C54" s="66">
        <v>10</v>
      </c>
      <c r="D54" s="51">
        <f t="shared" si="66"/>
        <v>1.11111111111111</v>
      </c>
      <c r="E54" s="51">
        <f t="shared" si="67"/>
        <v>1.11111111111111</v>
      </c>
      <c r="F54" s="51">
        <f t="shared" si="68"/>
        <v>1.11111111111111</v>
      </c>
      <c r="G54" s="51">
        <f t="shared" si="69"/>
        <v>1.11111111111111</v>
      </c>
      <c r="H54" s="51">
        <f t="shared" si="70"/>
        <v>1.11111111111111</v>
      </c>
      <c r="I54" s="51">
        <f t="shared" si="71"/>
        <v>1.11111111111111</v>
      </c>
      <c r="J54" s="51">
        <f t="shared" si="72"/>
        <v>1.11111111111111</v>
      </c>
      <c r="K54" s="51">
        <f t="shared" si="73"/>
        <v>1.11111111111111</v>
      </c>
      <c r="L54" s="51">
        <f t="shared" si="74"/>
        <v>1.11111111111111</v>
      </c>
      <c r="M54" s="88">
        <f t="shared" si="75"/>
        <v>1.11111111111111</v>
      </c>
      <c r="N54" s="88">
        <f t="shared" si="76"/>
        <v>1.11111111111111</v>
      </c>
      <c r="O54" s="88">
        <f t="shared" si="77"/>
        <v>1.11111111111111</v>
      </c>
      <c r="P54" s="86">
        <f t="shared" si="65"/>
        <v>13.3333333333333</v>
      </c>
      <c r="Q54" s="17">
        <v>24576.45</v>
      </c>
      <c r="R54" s="93">
        <f t="shared" si="78"/>
        <v>13.3333333333333</v>
      </c>
    </row>
    <row r="55" customHeight="1" spans="1:18">
      <c r="A55" s="67"/>
      <c r="B55" s="80" t="s">
        <v>139</v>
      </c>
      <c r="C55" s="66">
        <v>5</v>
      </c>
      <c r="D55" s="51">
        <f t="shared" si="66"/>
        <v>0.555555555555556</v>
      </c>
      <c r="E55" s="51">
        <f t="shared" si="67"/>
        <v>0.555555555555556</v>
      </c>
      <c r="F55" s="51">
        <f t="shared" si="68"/>
        <v>0.555555555555556</v>
      </c>
      <c r="G55" s="51">
        <f t="shared" si="69"/>
        <v>0.555555555555556</v>
      </c>
      <c r="H55" s="51">
        <f t="shared" si="70"/>
        <v>0.555555555555556</v>
      </c>
      <c r="I55" s="51">
        <f t="shared" si="71"/>
        <v>0.555555555555556</v>
      </c>
      <c r="J55" s="51">
        <f t="shared" si="72"/>
        <v>0.555555555555556</v>
      </c>
      <c r="K55" s="51">
        <f t="shared" si="73"/>
        <v>0.555555555555556</v>
      </c>
      <c r="L55" s="51">
        <f t="shared" si="74"/>
        <v>0.555555555555556</v>
      </c>
      <c r="M55" s="88">
        <f t="shared" si="75"/>
        <v>0.555555555555556</v>
      </c>
      <c r="N55" s="88">
        <f t="shared" si="76"/>
        <v>0.555555555555556</v>
      </c>
      <c r="O55" s="88">
        <f t="shared" si="77"/>
        <v>0.555555555555556</v>
      </c>
      <c r="P55" s="86">
        <f t="shared" si="65"/>
        <v>6.66666666666667</v>
      </c>
      <c r="R55" s="93">
        <f t="shared" si="78"/>
        <v>6.66666666666667</v>
      </c>
    </row>
    <row r="56" customHeight="1" spans="1:18">
      <c r="A56" s="67"/>
      <c r="B56" s="79" t="s">
        <v>140</v>
      </c>
      <c r="C56" s="66">
        <v>3</v>
      </c>
      <c r="D56" s="51">
        <f t="shared" si="66"/>
        <v>0.333333333333333</v>
      </c>
      <c r="E56" s="51">
        <f t="shared" si="67"/>
        <v>0.333333333333333</v>
      </c>
      <c r="F56" s="51">
        <f t="shared" si="68"/>
        <v>0.333333333333333</v>
      </c>
      <c r="G56" s="51">
        <f t="shared" si="69"/>
        <v>0.333333333333333</v>
      </c>
      <c r="H56" s="51">
        <f t="shared" si="70"/>
        <v>0.333333333333333</v>
      </c>
      <c r="I56" s="51">
        <f t="shared" si="71"/>
        <v>0.333333333333333</v>
      </c>
      <c r="J56" s="51">
        <f t="shared" si="72"/>
        <v>0.333333333333333</v>
      </c>
      <c r="K56" s="51">
        <f t="shared" si="73"/>
        <v>0.333333333333333</v>
      </c>
      <c r="L56" s="51">
        <f t="shared" si="74"/>
        <v>0.333333333333333</v>
      </c>
      <c r="M56" s="88">
        <f t="shared" si="75"/>
        <v>0.333333333333333</v>
      </c>
      <c r="N56" s="88">
        <f t="shared" si="76"/>
        <v>0.333333333333333</v>
      </c>
      <c r="O56" s="88">
        <f t="shared" si="77"/>
        <v>0.333333333333333</v>
      </c>
      <c r="P56" s="86">
        <f t="shared" si="65"/>
        <v>4</v>
      </c>
      <c r="R56" s="93">
        <f t="shared" si="78"/>
        <v>4</v>
      </c>
    </row>
    <row r="57" customHeight="1" spans="1:18">
      <c r="A57" s="67"/>
      <c r="B57" s="79" t="s">
        <v>141</v>
      </c>
      <c r="C57" s="66">
        <v>2</v>
      </c>
      <c r="D57" s="51">
        <f t="shared" si="66"/>
        <v>0.222222222222222</v>
      </c>
      <c r="E57" s="51">
        <f t="shared" si="67"/>
        <v>0.222222222222222</v>
      </c>
      <c r="F57" s="51">
        <f t="shared" si="68"/>
        <v>0.222222222222222</v>
      </c>
      <c r="G57" s="51">
        <f t="shared" si="69"/>
        <v>0.222222222222222</v>
      </c>
      <c r="H57" s="51">
        <f t="shared" si="70"/>
        <v>0.222222222222222</v>
      </c>
      <c r="I57" s="51">
        <f t="shared" si="71"/>
        <v>0.222222222222222</v>
      </c>
      <c r="J57" s="51">
        <f t="shared" si="72"/>
        <v>0.222222222222222</v>
      </c>
      <c r="K57" s="51">
        <f t="shared" si="73"/>
        <v>0.222222222222222</v>
      </c>
      <c r="L57" s="51">
        <f t="shared" si="74"/>
        <v>0.222222222222222</v>
      </c>
      <c r="M57" s="88">
        <f t="shared" si="75"/>
        <v>0.222222222222222</v>
      </c>
      <c r="N57" s="88">
        <f t="shared" si="76"/>
        <v>0.222222222222222</v>
      </c>
      <c r="O57" s="88">
        <f t="shared" si="77"/>
        <v>0.222222222222222</v>
      </c>
      <c r="P57" s="86">
        <f t="shared" si="65"/>
        <v>2.66666666666667</v>
      </c>
      <c r="R57" s="93">
        <f t="shared" si="78"/>
        <v>2.66666666666667</v>
      </c>
    </row>
    <row r="58" customHeight="1" spans="1:18">
      <c r="A58" s="67"/>
      <c r="B58" s="81" t="s">
        <v>142</v>
      </c>
      <c r="C58" s="66">
        <v>40</v>
      </c>
      <c r="D58" s="51">
        <f>制造费用2020!$G$18</f>
        <v>0.141369592441954</v>
      </c>
      <c r="E58" s="51">
        <f>制造费用2020!$G$18</f>
        <v>0.141369592441954</v>
      </c>
      <c r="F58" s="51">
        <f>制造费用2020!$G$18</f>
        <v>0.141369592441954</v>
      </c>
      <c r="G58" s="51">
        <f>制造费用2020!$G$18</f>
        <v>0.141369592441954</v>
      </c>
      <c r="H58" s="51">
        <f>制造费用2020!$G$18</f>
        <v>0.141369592441954</v>
      </c>
      <c r="I58" s="51">
        <f>制造费用2020!$G$18</f>
        <v>0.141369592441954</v>
      </c>
      <c r="J58" s="51">
        <f>制造费用2020!$G$18</f>
        <v>0.141369592441954</v>
      </c>
      <c r="K58" s="51">
        <f>制造费用2020!$G$18</f>
        <v>0.141369592441954</v>
      </c>
      <c r="L58" s="51">
        <f>制造费用2020!$G$18</f>
        <v>0.141369592441954</v>
      </c>
      <c r="M58" s="51">
        <f>制造费用2020!$G$18</f>
        <v>0.141369592441954</v>
      </c>
      <c r="N58" s="51">
        <f>制造费用2020!$G$18</f>
        <v>0.141369592441954</v>
      </c>
      <c r="O58" s="51">
        <f>制造费用2020!$G$18</f>
        <v>0.141369592441954</v>
      </c>
      <c r="P58" s="86">
        <f t="shared" si="65"/>
        <v>1.69643510930345</v>
      </c>
      <c r="R58" s="93">
        <f t="shared" si="78"/>
        <v>1.69643510930345</v>
      </c>
    </row>
    <row r="59" customHeight="1" spans="1:18">
      <c r="A59" s="67"/>
      <c r="B59" s="80" t="s">
        <v>152</v>
      </c>
      <c r="C59" s="66">
        <v>1</v>
      </c>
      <c r="D59" s="51">
        <f t="shared" si="66"/>
        <v>0.111111111111111</v>
      </c>
      <c r="E59" s="51">
        <f t="shared" si="67"/>
        <v>0.111111111111111</v>
      </c>
      <c r="F59" s="51">
        <f t="shared" si="68"/>
        <v>0.111111111111111</v>
      </c>
      <c r="G59" s="51">
        <f t="shared" si="69"/>
        <v>0.111111111111111</v>
      </c>
      <c r="H59" s="51">
        <f t="shared" si="70"/>
        <v>0.111111111111111</v>
      </c>
      <c r="I59" s="51">
        <f t="shared" si="71"/>
        <v>0.111111111111111</v>
      </c>
      <c r="J59" s="51">
        <f t="shared" si="72"/>
        <v>0.111111111111111</v>
      </c>
      <c r="K59" s="51">
        <f t="shared" si="73"/>
        <v>0.111111111111111</v>
      </c>
      <c r="L59" s="51">
        <f t="shared" si="74"/>
        <v>0.111111111111111</v>
      </c>
      <c r="M59" s="88">
        <f t="shared" si="75"/>
        <v>0.111111111111111</v>
      </c>
      <c r="N59" s="88">
        <f t="shared" si="76"/>
        <v>0.111111111111111</v>
      </c>
      <c r="O59" s="88">
        <f t="shared" si="77"/>
        <v>0.111111111111111</v>
      </c>
      <c r="P59" s="86">
        <f t="shared" si="65"/>
        <v>1.33333333333333</v>
      </c>
      <c r="R59" s="93">
        <f t="shared" si="78"/>
        <v>1.33333333333333</v>
      </c>
    </row>
    <row r="60" s="46" customFormat="1" customHeight="1" spans="1:18">
      <c r="A60" s="67"/>
      <c r="B60" s="82" t="s">
        <v>148</v>
      </c>
      <c r="C60" s="71">
        <f>SUM(C51:C59)</f>
        <v>103</v>
      </c>
      <c r="D60" s="71">
        <f t="shared" ref="D60:L60" si="79">SUM(D51:D59)</f>
        <v>7.9025139703528</v>
      </c>
      <c r="E60" s="71">
        <f t="shared" si="79"/>
        <v>7.9025139703528</v>
      </c>
      <c r="F60" s="71">
        <f t="shared" si="79"/>
        <v>7.9025139703528</v>
      </c>
      <c r="G60" s="71">
        <f t="shared" si="79"/>
        <v>7.9025139703528</v>
      </c>
      <c r="H60" s="71">
        <f t="shared" si="79"/>
        <v>7.9025139703528</v>
      </c>
      <c r="I60" s="71">
        <f t="shared" si="79"/>
        <v>7.9025139703528</v>
      </c>
      <c r="J60" s="71">
        <f t="shared" si="79"/>
        <v>7.9025139703528</v>
      </c>
      <c r="K60" s="71">
        <f t="shared" si="79"/>
        <v>7.9025139703528</v>
      </c>
      <c r="L60" s="71">
        <f t="shared" si="79"/>
        <v>7.9025139703528</v>
      </c>
      <c r="M60" s="71">
        <f t="shared" ref="M60:P60" si="80">SUM(M51:M59)</f>
        <v>7.9025139703528</v>
      </c>
      <c r="N60" s="71">
        <f t="shared" si="80"/>
        <v>7.9025139703528</v>
      </c>
      <c r="O60" s="71">
        <f t="shared" si="80"/>
        <v>7.9025139703528</v>
      </c>
      <c r="P60" s="86">
        <f t="shared" si="80"/>
        <v>94.8301676442336</v>
      </c>
      <c r="Q60" s="94">
        <f>R60/'2020回款及耗煤量'!O33</f>
        <v>49167.5545854628</v>
      </c>
      <c r="R60" s="95">
        <f>SUM(R51:R59)+Q54*12</f>
        <v>295005.327512777</v>
      </c>
    </row>
    <row r="61" customHeight="1" spans="1:18">
      <c r="A61" s="72" t="s">
        <v>153</v>
      </c>
      <c r="B61" s="83" t="s">
        <v>151</v>
      </c>
      <c r="C61" s="51">
        <f>C51*2</f>
        <v>40</v>
      </c>
      <c r="D61" s="51">
        <f>'2020回款及耗煤量'!AB34</f>
        <v>5</v>
      </c>
      <c r="E61" s="51">
        <f>'2020回款及耗煤量'!AC34</f>
        <v>5</v>
      </c>
      <c r="F61" s="51">
        <f>'2020回款及耗煤量'!AD34</f>
        <v>5</v>
      </c>
      <c r="G61" s="51">
        <f>'2020回款及耗煤量'!AE34</f>
        <v>5</v>
      </c>
      <c r="H61" s="51">
        <f>'2020回款及耗煤量'!AF34</f>
        <v>5</v>
      </c>
      <c r="I61" s="51">
        <f>'2020回款及耗煤量'!AG34</f>
        <v>5</v>
      </c>
      <c r="J61" s="51">
        <f>'2020回款及耗煤量'!AH34</f>
        <v>5</v>
      </c>
      <c r="K61" s="51">
        <f>'2020回款及耗煤量'!AI34</f>
        <v>5</v>
      </c>
      <c r="L61" s="51">
        <f>'2020回款及耗煤量'!AJ34</f>
        <v>5</v>
      </c>
      <c r="M61" s="51">
        <f>'2020回款及耗煤量'!AK34</f>
        <v>5</v>
      </c>
      <c r="N61" s="51">
        <f>'2020回款及耗煤量'!AL34</f>
        <v>5</v>
      </c>
      <c r="O61" s="51">
        <f>'2020回款及耗煤量'!AM34</f>
        <v>5</v>
      </c>
      <c r="P61" s="85">
        <f>SUM(D61:O61)</f>
        <v>60</v>
      </c>
      <c r="R61" s="93">
        <f>P61/1.13</f>
        <v>53.0973451327434</v>
      </c>
    </row>
    <row r="62" customHeight="1" spans="1:18">
      <c r="A62" s="74"/>
      <c r="B62" s="73" t="s">
        <v>145</v>
      </c>
      <c r="C62" s="51">
        <f>C52*2</f>
        <v>40</v>
      </c>
      <c r="D62" s="51">
        <f>$C$62/9-蒸汽动力2020!$F$14</f>
        <v>2.13972055888223</v>
      </c>
      <c r="E62" s="51">
        <f>$C$62/9-蒸汽动力2020!$F$14</f>
        <v>2.13972055888223</v>
      </c>
      <c r="F62" s="51">
        <f>$C$62/9-蒸汽动力2020!$F$14</f>
        <v>2.13972055888223</v>
      </c>
      <c r="G62" s="51">
        <f>$C$62/9-蒸汽动力2020!$F$14</f>
        <v>2.13972055888223</v>
      </c>
      <c r="H62" s="51">
        <f>$C$62/9-蒸汽动力2020!$F$14</f>
        <v>2.13972055888223</v>
      </c>
      <c r="I62" s="51">
        <f>$C$62/9-蒸汽动力2020!$F$14</f>
        <v>2.13972055888223</v>
      </c>
      <c r="J62" s="51">
        <f>$C$62/9-蒸汽动力2020!$F$14</f>
        <v>2.13972055888223</v>
      </c>
      <c r="K62" s="51">
        <f>$C$62/9-蒸汽动力2020!$F$14</f>
        <v>2.13972055888223</v>
      </c>
      <c r="L62" s="51">
        <f>$C$62/9-蒸汽动力2020!$F$14</f>
        <v>2.13972055888223</v>
      </c>
      <c r="M62" s="51">
        <f>$C$62/9-蒸汽动力2020!$F$14</f>
        <v>2.13972055888223</v>
      </c>
      <c r="N62" s="51">
        <f>$C$62/9-蒸汽动力2020!$F$14</f>
        <v>2.13972055888223</v>
      </c>
      <c r="O62" s="51">
        <f>$C$62/9-蒸汽动力2020!$F$14</f>
        <v>2.13972055888223</v>
      </c>
      <c r="P62" s="86">
        <f t="shared" ref="P62:P66" si="81">SUM(D62:O62)</f>
        <v>25.6766467065868</v>
      </c>
      <c r="R62" s="93">
        <f>P62</f>
        <v>25.6766467065868</v>
      </c>
    </row>
    <row r="63" customHeight="1" spans="1:18">
      <c r="A63" s="74"/>
      <c r="B63" s="60" t="s">
        <v>147</v>
      </c>
      <c r="C63" s="51">
        <f>C53*2</f>
        <v>4</v>
      </c>
      <c r="D63" s="51">
        <f t="shared" ref="D63:D65" si="82">C63/9</f>
        <v>0.444444444444444</v>
      </c>
      <c r="E63" s="51">
        <f t="shared" ref="E63:E65" si="83">C63/9</f>
        <v>0.444444444444444</v>
      </c>
      <c r="F63" s="51">
        <f t="shared" ref="F63:F65" si="84">C63/9</f>
        <v>0.444444444444444</v>
      </c>
      <c r="G63" s="51">
        <f t="shared" ref="G63:G65" si="85">C63/9</f>
        <v>0.444444444444444</v>
      </c>
      <c r="H63" s="51">
        <f t="shared" ref="H63:H65" si="86">C63/9</f>
        <v>0.444444444444444</v>
      </c>
      <c r="I63" s="51">
        <f t="shared" ref="I63:I65" si="87">C63/9</f>
        <v>0.444444444444444</v>
      </c>
      <c r="J63" s="51">
        <f t="shared" ref="J63:J65" si="88">C63/9</f>
        <v>0.444444444444444</v>
      </c>
      <c r="K63" s="51">
        <f t="shared" ref="K63:K65" si="89">C63/9</f>
        <v>0.444444444444444</v>
      </c>
      <c r="L63" s="51">
        <f t="shared" ref="L63:L65" si="90">C63/9</f>
        <v>0.444444444444444</v>
      </c>
      <c r="M63" s="88">
        <f>C63/9</f>
        <v>0.444444444444444</v>
      </c>
      <c r="N63" s="88">
        <f>C63/9</f>
        <v>0.444444444444444</v>
      </c>
      <c r="O63" s="88">
        <f>C63/9</f>
        <v>0.444444444444444</v>
      </c>
      <c r="P63" s="86">
        <f t="shared" si="81"/>
        <v>5.33333333333333</v>
      </c>
      <c r="R63" s="93">
        <f t="shared" ref="R63:R66" si="91">P63</f>
        <v>5.33333333333333</v>
      </c>
    </row>
    <row r="64" customHeight="1" spans="1:18">
      <c r="A64" s="74"/>
      <c r="B64" s="61" t="s">
        <v>139</v>
      </c>
      <c r="C64" s="51">
        <f>C54*2</f>
        <v>20</v>
      </c>
      <c r="D64" s="51">
        <f t="shared" si="82"/>
        <v>2.22222222222222</v>
      </c>
      <c r="E64" s="51">
        <f t="shared" si="83"/>
        <v>2.22222222222222</v>
      </c>
      <c r="F64" s="51">
        <f t="shared" si="84"/>
        <v>2.22222222222222</v>
      </c>
      <c r="G64" s="51">
        <f t="shared" si="85"/>
        <v>2.22222222222222</v>
      </c>
      <c r="H64" s="51">
        <f t="shared" si="86"/>
        <v>2.22222222222222</v>
      </c>
      <c r="I64" s="51">
        <f t="shared" si="87"/>
        <v>2.22222222222222</v>
      </c>
      <c r="J64" s="51">
        <f t="shared" si="88"/>
        <v>2.22222222222222</v>
      </c>
      <c r="K64" s="51">
        <f t="shared" si="89"/>
        <v>2.22222222222222</v>
      </c>
      <c r="L64" s="51">
        <f t="shared" si="90"/>
        <v>2.22222222222222</v>
      </c>
      <c r="M64" s="88">
        <f>C64/9</f>
        <v>2.22222222222222</v>
      </c>
      <c r="N64" s="88">
        <f>C64/9</f>
        <v>2.22222222222222</v>
      </c>
      <c r="O64" s="88">
        <f>C64/9</f>
        <v>2.22222222222222</v>
      </c>
      <c r="P64" s="86">
        <f t="shared" si="81"/>
        <v>26.6666666666667</v>
      </c>
      <c r="R64" s="93">
        <f t="shared" si="91"/>
        <v>26.6666666666667</v>
      </c>
    </row>
    <row r="65" customHeight="1" spans="1:18">
      <c r="A65" s="74"/>
      <c r="B65" s="60" t="s">
        <v>141</v>
      </c>
      <c r="C65" s="51">
        <v>10</v>
      </c>
      <c r="D65" s="51">
        <f t="shared" si="82"/>
        <v>1.11111111111111</v>
      </c>
      <c r="E65" s="51">
        <f t="shared" si="83"/>
        <v>1.11111111111111</v>
      </c>
      <c r="F65" s="51">
        <f t="shared" si="84"/>
        <v>1.11111111111111</v>
      </c>
      <c r="G65" s="51">
        <f t="shared" si="85"/>
        <v>1.11111111111111</v>
      </c>
      <c r="H65" s="51">
        <f t="shared" si="86"/>
        <v>1.11111111111111</v>
      </c>
      <c r="I65" s="51">
        <f t="shared" si="87"/>
        <v>1.11111111111111</v>
      </c>
      <c r="J65" s="51">
        <f t="shared" si="88"/>
        <v>1.11111111111111</v>
      </c>
      <c r="K65" s="51">
        <f t="shared" si="89"/>
        <v>1.11111111111111</v>
      </c>
      <c r="L65" s="51">
        <f t="shared" si="90"/>
        <v>1.11111111111111</v>
      </c>
      <c r="M65" s="88">
        <f>C65/9</f>
        <v>1.11111111111111</v>
      </c>
      <c r="N65" s="88">
        <f>C65/9</f>
        <v>1.11111111111111</v>
      </c>
      <c r="O65" s="88">
        <f>C65/9</f>
        <v>1.11111111111111</v>
      </c>
      <c r="P65" s="86">
        <f t="shared" si="81"/>
        <v>13.3333333333333</v>
      </c>
      <c r="Q65" s="17">
        <v>159379.5</v>
      </c>
      <c r="R65" s="93">
        <f t="shared" si="91"/>
        <v>13.3333333333333</v>
      </c>
    </row>
    <row r="66" customHeight="1" spans="1:18">
      <c r="A66" s="74"/>
      <c r="B66" s="75" t="s">
        <v>142</v>
      </c>
      <c r="C66" s="51">
        <v>80</v>
      </c>
      <c r="D66" s="51">
        <f>制造费用2020!$G$19</f>
        <v>0.141369592441954</v>
      </c>
      <c r="E66" s="51">
        <f>制造费用2020!$G$19</f>
        <v>0.141369592441954</v>
      </c>
      <c r="F66" s="51">
        <f>制造费用2020!$G$19</f>
        <v>0.141369592441954</v>
      </c>
      <c r="G66" s="51">
        <f>制造费用2020!$G$19</f>
        <v>0.141369592441954</v>
      </c>
      <c r="H66" s="51">
        <f>制造费用2020!$G$19</f>
        <v>0.141369592441954</v>
      </c>
      <c r="I66" s="51">
        <f>制造费用2020!$G$19</f>
        <v>0.141369592441954</v>
      </c>
      <c r="J66" s="51">
        <f>制造费用2020!$G$19</f>
        <v>0.141369592441954</v>
      </c>
      <c r="K66" s="51">
        <f>制造费用2020!$G$19</f>
        <v>0.141369592441954</v>
      </c>
      <c r="L66" s="51">
        <f>制造费用2020!$G$19</f>
        <v>0.141369592441954</v>
      </c>
      <c r="M66" s="51">
        <f>制造费用2020!$G$19</f>
        <v>0.141369592441954</v>
      </c>
      <c r="N66" s="51">
        <f>制造费用2020!$G$19</f>
        <v>0.141369592441954</v>
      </c>
      <c r="O66" s="51">
        <f>制造费用2020!$G$19</f>
        <v>0.141369592441954</v>
      </c>
      <c r="P66" s="86">
        <f t="shared" si="81"/>
        <v>1.69643510930345</v>
      </c>
      <c r="R66" s="93">
        <f t="shared" si="91"/>
        <v>1.69643510930345</v>
      </c>
    </row>
    <row r="67" s="46" customFormat="1" customHeight="1" spans="1:18">
      <c r="A67" s="74"/>
      <c r="B67" s="76" t="s">
        <v>148</v>
      </c>
      <c r="C67" s="58">
        <f>SUM(C61:C66)</f>
        <v>194</v>
      </c>
      <c r="D67" s="58">
        <f t="shared" ref="D67:M67" si="92">SUM(D61:D66)</f>
        <v>11.058867929102</v>
      </c>
      <c r="E67" s="58">
        <f t="shared" si="92"/>
        <v>11.058867929102</v>
      </c>
      <c r="F67" s="58">
        <f t="shared" si="92"/>
        <v>11.058867929102</v>
      </c>
      <c r="G67" s="58">
        <f t="shared" si="92"/>
        <v>11.058867929102</v>
      </c>
      <c r="H67" s="58">
        <f t="shared" si="92"/>
        <v>11.058867929102</v>
      </c>
      <c r="I67" s="58">
        <f t="shared" si="92"/>
        <v>11.058867929102</v>
      </c>
      <c r="J67" s="58">
        <f t="shared" si="92"/>
        <v>11.058867929102</v>
      </c>
      <c r="K67" s="58">
        <f t="shared" si="92"/>
        <v>11.058867929102</v>
      </c>
      <c r="L67" s="58">
        <f t="shared" si="92"/>
        <v>11.058867929102</v>
      </c>
      <c r="M67" s="58">
        <f t="shared" si="92"/>
        <v>11.058867929102</v>
      </c>
      <c r="N67" s="58">
        <f t="shared" ref="N67:P67" si="93">SUM(N61:N66)</f>
        <v>11.058867929102</v>
      </c>
      <c r="O67" s="58">
        <f t="shared" si="93"/>
        <v>11.058867929102</v>
      </c>
      <c r="P67" s="86">
        <f t="shared" si="93"/>
        <v>132.706415149224</v>
      </c>
      <c r="Q67" s="94">
        <f>R67/'2020回款及耗煤量'!O34</f>
        <v>318779.96729338</v>
      </c>
      <c r="R67" s="95">
        <f>SUM(R61:R66)+Q65*12</f>
        <v>1912679.80376028</v>
      </c>
    </row>
    <row r="68" customHeight="1" spans="1:18">
      <c r="A68" s="64" t="s">
        <v>154</v>
      </c>
      <c r="B68" s="79" t="s">
        <v>155</v>
      </c>
      <c r="C68" s="66">
        <v>30</v>
      </c>
      <c r="D68" s="66">
        <f>'2020回款及耗煤量'!AB35</f>
        <v>1</v>
      </c>
      <c r="E68" s="66">
        <f>'2020回款及耗煤量'!AC35</f>
        <v>1</v>
      </c>
      <c r="F68" s="66">
        <f>'2020回款及耗煤量'!AD35</f>
        <v>1</v>
      </c>
      <c r="G68" s="66">
        <f>'2020回款及耗煤量'!AE35</f>
        <v>1</v>
      </c>
      <c r="H68" s="66">
        <f>'2020回款及耗煤量'!AF35</f>
        <v>1</v>
      </c>
      <c r="I68" s="66">
        <f>'2020回款及耗煤量'!AG35</f>
        <v>1</v>
      </c>
      <c r="J68" s="66">
        <f>'2020回款及耗煤量'!AH35</f>
        <v>1</v>
      </c>
      <c r="K68" s="66">
        <f>'2020回款及耗煤量'!AI35</f>
        <v>1</v>
      </c>
      <c r="L68" s="66">
        <f>'2020回款及耗煤量'!AJ35</f>
        <v>1</v>
      </c>
      <c r="M68" s="66">
        <f>'2020回款及耗煤量'!AK35</f>
        <v>1</v>
      </c>
      <c r="N68" s="66">
        <f>'2020回款及耗煤量'!AL35</f>
        <v>1</v>
      </c>
      <c r="O68" s="66">
        <f>'2020回款及耗煤量'!AM35</f>
        <v>1</v>
      </c>
      <c r="P68" s="85">
        <f>SUM(D68:O68)</f>
        <v>12</v>
      </c>
      <c r="R68" s="93">
        <f>P68/1.13</f>
        <v>10.6194690265487</v>
      </c>
    </row>
    <row r="69" customHeight="1" spans="1:18">
      <c r="A69" s="67"/>
      <c r="B69" s="79" t="s">
        <v>145</v>
      </c>
      <c r="C69" s="66">
        <v>25</v>
      </c>
      <c r="D69" s="51">
        <f>$C$69/9-蒸汽动力2020!$F$15</f>
        <v>1.91350632069195</v>
      </c>
      <c r="E69" s="51">
        <f>$C$69/9-蒸汽动力2020!$F$15</f>
        <v>1.91350632069195</v>
      </c>
      <c r="F69" s="51">
        <f>$C$69/9-蒸汽动力2020!$F$15</f>
        <v>1.91350632069195</v>
      </c>
      <c r="G69" s="51">
        <f>$C$69/9-蒸汽动力2020!$F$15</f>
        <v>1.91350632069195</v>
      </c>
      <c r="H69" s="51">
        <f>$C$69/9-蒸汽动力2020!$F$15</f>
        <v>1.91350632069195</v>
      </c>
      <c r="I69" s="51">
        <f>$C$69/9-蒸汽动力2020!$F$15</f>
        <v>1.91350632069195</v>
      </c>
      <c r="J69" s="51">
        <f>$C$69/9-蒸汽动力2020!$F$15</f>
        <v>1.91350632069195</v>
      </c>
      <c r="K69" s="51">
        <f>$C$69/9-蒸汽动力2020!$F$15</f>
        <v>1.91350632069195</v>
      </c>
      <c r="L69" s="51">
        <f>$C$69/9-蒸汽动力2020!$F$15</f>
        <v>1.91350632069195</v>
      </c>
      <c r="M69" s="51">
        <f>$C$69/9-蒸汽动力2020!$F$15</f>
        <v>1.91350632069195</v>
      </c>
      <c r="N69" s="51">
        <f>$C$69/9-蒸汽动力2020!$F$15</f>
        <v>1.91350632069195</v>
      </c>
      <c r="O69" s="51">
        <f>$C$69/9-蒸汽动力2020!$F$15</f>
        <v>1.91350632069195</v>
      </c>
      <c r="P69" s="86">
        <f t="shared" ref="P69:P75" si="94">SUM(D69:O69)</f>
        <v>22.9620758483034</v>
      </c>
      <c r="R69" s="93">
        <f>P69</f>
        <v>22.9620758483034</v>
      </c>
    </row>
    <row r="70" customHeight="1" spans="1:18">
      <c r="A70" s="67"/>
      <c r="B70" s="79" t="s">
        <v>146</v>
      </c>
      <c r="C70" s="66">
        <v>3</v>
      </c>
      <c r="D70" s="51">
        <f t="shared" ref="D70:D74" si="95">C70/9</f>
        <v>0.333333333333333</v>
      </c>
      <c r="E70" s="51">
        <f t="shared" ref="E70:E74" si="96">C70/9</f>
        <v>0.333333333333333</v>
      </c>
      <c r="F70" s="51">
        <f t="shared" ref="F70:F74" si="97">C70/9</f>
        <v>0.333333333333333</v>
      </c>
      <c r="G70" s="51">
        <f t="shared" ref="G70:G74" si="98">C70/9</f>
        <v>0.333333333333333</v>
      </c>
      <c r="H70" s="51">
        <f t="shared" ref="H70:H74" si="99">C70/9</f>
        <v>0.333333333333333</v>
      </c>
      <c r="I70" s="51">
        <f t="shared" ref="I70:I74" si="100">C70/9</f>
        <v>0.333333333333333</v>
      </c>
      <c r="J70" s="51">
        <f t="shared" ref="J70:J74" si="101">C70/9</f>
        <v>0.333333333333333</v>
      </c>
      <c r="K70" s="51">
        <f t="shared" ref="K70:K74" si="102">C70/9</f>
        <v>0.333333333333333</v>
      </c>
      <c r="L70" s="51">
        <f t="shared" ref="L70:L74" si="103">C70/9</f>
        <v>0.333333333333333</v>
      </c>
      <c r="M70" s="88">
        <f t="shared" ref="M70:M74" si="104">C70/9</f>
        <v>0.333333333333333</v>
      </c>
      <c r="N70" s="88">
        <f t="shared" ref="N70:N74" si="105">C70/9</f>
        <v>0.333333333333333</v>
      </c>
      <c r="O70" s="88">
        <f t="shared" ref="O70:O74" si="106">C70/9</f>
        <v>0.333333333333333</v>
      </c>
      <c r="P70" s="86">
        <f t="shared" si="94"/>
        <v>4</v>
      </c>
      <c r="R70" s="93">
        <f t="shared" ref="R70:R75" si="107">P70</f>
        <v>4</v>
      </c>
    </row>
    <row r="71" customHeight="1" spans="1:18">
      <c r="A71" s="67"/>
      <c r="B71" s="79" t="s">
        <v>147</v>
      </c>
      <c r="C71" s="96">
        <v>10</v>
      </c>
      <c r="D71" s="51">
        <f t="shared" si="95"/>
        <v>1.11111111111111</v>
      </c>
      <c r="E71" s="51">
        <f t="shared" si="96"/>
        <v>1.11111111111111</v>
      </c>
      <c r="F71" s="51">
        <f t="shared" si="97"/>
        <v>1.11111111111111</v>
      </c>
      <c r="G71" s="51">
        <f t="shared" si="98"/>
        <v>1.11111111111111</v>
      </c>
      <c r="H71" s="51">
        <f t="shared" si="99"/>
        <v>1.11111111111111</v>
      </c>
      <c r="I71" s="51">
        <f t="shared" si="100"/>
        <v>1.11111111111111</v>
      </c>
      <c r="J71" s="51">
        <f t="shared" si="101"/>
        <v>1.11111111111111</v>
      </c>
      <c r="K71" s="51">
        <f t="shared" si="102"/>
        <v>1.11111111111111</v>
      </c>
      <c r="L71" s="51">
        <f t="shared" si="103"/>
        <v>1.11111111111111</v>
      </c>
      <c r="M71" s="88">
        <f t="shared" si="104"/>
        <v>1.11111111111111</v>
      </c>
      <c r="N71" s="88">
        <f t="shared" si="105"/>
        <v>1.11111111111111</v>
      </c>
      <c r="O71" s="88">
        <f t="shared" si="106"/>
        <v>1.11111111111111</v>
      </c>
      <c r="P71" s="86">
        <f t="shared" si="94"/>
        <v>13.3333333333333</v>
      </c>
      <c r="R71" s="93">
        <f t="shared" si="107"/>
        <v>13.3333333333333</v>
      </c>
    </row>
    <row r="72" customHeight="1" spans="1:18">
      <c r="A72" s="67"/>
      <c r="B72" s="80" t="s">
        <v>139</v>
      </c>
      <c r="C72" s="66">
        <v>5</v>
      </c>
      <c r="D72" s="51">
        <f t="shared" si="95"/>
        <v>0.555555555555556</v>
      </c>
      <c r="E72" s="51">
        <f t="shared" si="96"/>
        <v>0.555555555555556</v>
      </c>
      <c r="F72" s="51">
        <f t="shared" si="97"/>
        <v>0.555555555555556</v>
      </c>
      <c r="G72" s="51">
        <f t="shared" si="98"/>
        <v>0.555555555555556</v>
      </c>
      <c r="H72" s="51">
        <f t="shared" si="99"/>
        <v>0.555555555555556</v>
      </c>
      <c r="I72" s="51">
        <f t="shared" si="100"/>
        <v>0.555555555555556</v>
      </c>
      <c r="J72" s="51">
        <f t="shared" si="101"/>
        <v>0.555555555555556</v>
      </c>
      <c r="K72" s="51">
        <f t="shared" si="102"/>
        <v>0.555555555555556</v>
      </c>
      <c r="L72" s="51">
        <f t="shared" si="103"/>
        <v>0.555555555555556</v>
      </c>
      <c r="M72" s="88">
        <f t="shared" si="104"/>
        <v>0.555555555555556</v>
      </c>
      <c r="N72" s="88">
        <f t="shared" si="105"/>
        <v>0.555555555555556</v>
      </c>
      <c r="O72" s="88">
        <f t="shared" si="106"/>
        <v>0.555555555555556</v>
      </c>
      <c r="P72" s="86">
        <f t="shared" si="94"/>
        <v>6.66666666666667</v>
      </c>
      <c r="R72" s="93">
        <f t="shared" si="107"/>
        <v>6.66666666666667</v>
      </c>
    </row>
    <row r="73" customHeight="1" spans="1:18">
      <c r="A73" s="67"/>
      <c r="B73" s="79" t="s">
        <v>140</v>
      </c>
      <c r="C73" s="66">
        <v>0.5</v>
      </c>
      <c r="D73" s="51">
        <f t="shared" si="95"/>
        <v>0.0555555555555556</v>
      </c>
      <c r="E73" s="51">
        <f t="shared" si="96"/>
        <v>0.0555555555555556</v>
      </c>
      <c r="F73" s="51">
        <f t="shared" si="97"/>
        <v>0.0555555555555556</v>
      </c>
      <c r="G73" s="51">
        <f t="shared" si="98"/>
        <v>0.0555555555555556</v>
      </c>
      <c r="H73" s="51">
        <f t="shared" si="99"/>
        <v>0.0555555555555556</v>
      </c>
      <c r="I73" s="51">
        <f t="shared" si="100"/>
        <v>0.0555555555555556</v>
      </c>
      <c r="J73" s="51">
        <f t="shared" si="101"/>
        <v>0.0555555555555556</v>
      </c>
      <c r="K73" s="51">
        <f t="shared" si="102"/>
        <v>0.0555555555555556</v>
      </c>
      <c r="L73" s="51">
        <f t="shared" si="103"/>
        <v>0.0555555555555556</v>
      </c>
      <c r="M73" s="88">
        <f t="shared" si="104"/>
        <v>0.0555555555555556</v>
      </c>
      <c r="N73" s="88">
        <f t="shared" si="105"/>
        <v>0.0555555555555556</v>
      </c>
      <c r="O73" s="88">
        <f t="shared" si="106"/>
        <v>0.0555555555555556</v>
      </c>
      <c r="P73" s="86">
        <f t="shared" si="94"/>
        <v>0.666666666666667</v>
      </c>
      <c r="R73" s="93">
        <f t="shared" si="107"/>
        <v>0.666666666666667</v>
      </c>
    </row>
    <row r="74" customHeight="1" spans="1:18">
      <c r="A74" s="67"/>
      <c r="B74" s="79" t="s">
        <v>141</v>
      </c>
      <c r="C74" s="66">
        <v>1</v>
      </c>
      <c r="D74" s="51">
        <f t="shared" si="95"/>
        <v>0.111111111111111</v>
      </c>
      <c r="E74" s="51">
        <f t="shared" si="96"/>
        <v>0.111111111111111</v>
      </c>
      <c r="F74" s="51">
        <f t="shared" si="97"/>
        <v>0.111111111111111</v>
      </c>
      <c r="G74" s="51">
        <f t="shared" si="98"/>
        <v>0.111111111111111</v>
      </c>
      <c r="H74" s="51">
        <f t="shared" si="99"/>
        <v>0.111111111111111</v>
      </c>
      <c r="I74" s="51">
        <f t="shared" si="100"/>
        <v>0.111111111111111</v>
      </c>
      <c r="J74" s="51">
        <f t="shared" si="101"/>
        <v>0.111111111111111</v>
      </c>
      <c r="K74" s="51">
        <f t="shared" si="102"/>
        <v>0.111111111111111</v>
      </c>
      <c r="L74" s="51">
        <f t="shared" si="103"/>
        <v>0.111111111111111</v>
      </c>
      <c r="M74" s="88">
        <f t="shared" si="104"/>
        <v>0.111111111111111</v>
      </c>
      <c r="N74" s="88">
        <f t="shared" si="105"/>
        <v>0.111111111111111</v>
      </c>
      <c r="O74" s="88">
        <f t="shared" si="106"/>
        <v>0.111111111111111</v>
      </c>
      <c r="P74" s="86">
        <f t="shared" si="94"/>
        <v>1.33333333333333</v>
      </c>
      <c r="Q74" s="17">
        <v>483.1</v>
      </c>
      <c r="R74" s="93">
        <f t="shared" si="107"/>
        <v>1.33333333333333</v>
      </c>
    </row>
    <row r="75" customHeight="1" spans="1:18">
      <c r="A75" s="67"/>
      <c r="B75" s="80" t="s">
        <v>142</v>
      </c>
      <c r="C75" s="66">
        <v>40</v>
      </c>
      <c r="D75" s="51">
        <f>制造费用2020!$G$20</f>
        <v>0.141369592441954</v>
      </c>
      <c r="E75" s="51">
        <f>制造费用2020!$G$20</f>
        <v>0.141369592441954</v>
      </c>
      <c r="F75" s="51">
        <f>制造费用2020!$G$20</f>
        <v>0.141369592441954</v>
      </c>
      <c r="G75" s="51">
        <f>制造费用2020!$G$20</f>
        <v>0.141369592441954</v>
      </c>
      <c r="H75" s="51">
        <f>制造费用2020!$G$20</f>
        <v>0.141369592441954</v>
      </c>
      <c r="I75" s="51">
        <f>制造费用2020!$G$20</f>
        <v>0.141369592441954</v>
      </c>
      <c r="J75" s="51">
        <f>制造费用2020!$G$20</f>
        <v>0.141369592441954</v>
      </c>
      <c r="K75" s="51">
        <f>制造费用2020!$G$20</f>
        <v>0.141369592441954</v>
      </c>
      <c r="L75" s="51">
        <f>制造费用2020!$G$20</f>
        <v>0.141369592441954</v>
      </c>
      <c r="M75" s="51">
        <f>制造费用2020!$G$20</f>
        <v>0.141369592441954</v>
      </c>
      <c r="N75" s="51">
        <f>制造费用2020!$G$20</f>
        <v>0.141369592441954</v>
      </c>
      <c r="O75" s="51">
        <f>制造费用2020!$G$20</f>
        <v>0.141369592441954</v>
      </c>
      <c r="P75" s="86">
        <f t="shared" si="94"/>
        <v>1.69643510930345</v>
      </c>
      <c r="R75" s="93">
        <f t="shared" si="107"/>
        <v>1.69643510930345</v>
      </c>
    </row>
    <row r="76" s="46" customFormat="1" customHeight="1" spans="1:18">
      <c r="A76" s="67"/>
      <c r="B76" s="82" t="s">
        <v>148</v>
      </c>
      <c r="C76" s="71">
        <f>SUM(C68:C75)</f>
        <v>114.5</v>
      </c>
      <c r="D76" s="71">
        <f t="shared" ref="D76:M76" si="108">SUM(D68:D75)</f>
        <v>5.22154257980057</v>
      </c>
      <c r="E76" s="71">
        <f t="shared" si="108"/>
        <v>5.22154257980057</v>
      </c>
      <c r="F76" s="71">
        <f t="shared" si="108"/>
        <v>5.22154257980057</v>
      </c>
      <c r="G76" s="71">
        <f t="shared" si="108"/>
        <v>5.22154257980057</v>
      </c>
      <c r="H76" s="71">
        <f t="shared" si="108"/>
        <v>5.22154257980057</v>
      </c>
      <c r="I76" s="71">
        <f t="shared" si="108"/>
        <v>5.22154257980057</v>
      </c>
      <c r="J76" s="71">
        <f t="shared" si="108"/>
        <v>5.22154257980057</v>
      </c>
      <c r="K76" s="71">
        <f t="shared" si="108"/>
        <v>5.22154257980057</v>
      </c>
      <c r="L76" s="71">
        <f t="shared" si="108"/>
        <v>5.22154257980057</v>
      </c>
      <c r="M76" s="71">
        <f t="shared" si="108"/>
        <v>5.22154257980057</v>
      </c>
      <c r="N76" s="71">
        <f t="shared" ref="N76:P76" si="109">SUM(N68:N75)</f>
        <v>5.22154257980057</v>
      </c>
      <c r="O76" s="71">
        <f t="shared" si="109"/>
        <v>5.22154257980057</v>
      </c>
      <c r="P76" s="86">
        <f t="shared" si="109"/>
        <v>62.6585109576068</v>
      </c>
      <c r="Q76" s="94">
        <f>R76/'2020回款及耗煤量'!O35</f>
        <v>976.412996664026</v>
      </c>
      <c r="R76" s="95">
        <f>SUM(R68:R75)+Q74*12</f>
        <v>5858.47797998416</v>
      </c>
    </row>
    <row r="77" customHeight="1" spans="1:18">
      <c r="A77" s="72" t="s">
        <v>156</v>
      </c>
      <c r="B77" s="60" t="s">
        <v>155</v>
      </c>
      <c r="C77" s="51">
        <v>60</v>
      </c>
      <c r="D77" s="51">
        <f>'2020回款及耗煤量'!AB36</f>
        <v>1</v>
      </c>
      <c r="E77" s="51">
        <f>'2020回款及耗煤量'!AC36</f>
        <v>1</v>
      </c>
      <c r="F77" s="51">
        <f>'2020回款及耗煤量'!AD36</f>
        <v>1</v>
      </c>
      <c r="G77" s="51">
        <f>'2020回款及耗煤量'!AE36</f>
        <v>1</v>
      </c>
      <c r="H77" s="51">
        <f>'2020回款及耗煤量'!AF36</f>
        <v>1</v>
      </c>
      <c r="I77" s="51">
        <f>'2020回款及耗煤量'!AG36</f>
        <v>1</v>
      </c>
      <c r="J77" s="51">
        <f>'2020回款及耗煤量'!AH36</f>
        <v>1</v>
      </c>
      <c r="K77" s="51">
        <f>'2020回款及耗煤量'!AI36</f>
        <v>1</v>
      </c>
      <c r="L77" s="51">
        <f>'2020回款及耗煤量'!AJ36</f>
        <v>1</v>
      </c>
      <c r="M77" s="51">
        <f>'2020回款及耗煤量'!AK36</f>
        <v>1</v>
      </c>
      <c r="N77" s="51">
        <f>'2020回款及耗煤量'!AL36</f>
        <v>1</v>
      </c>
      <c r="O77" s="51">
        <f>'2020回款及耗煤量'!AM36</f>
        <v>1</v>
      </c>
      <c r="P77" s="85">
        <f>SUM(D77:O77)</f>
        <v>12</v>
      </c>
      <c r="R77" s="93">
        <f>P77/1.13</f>
        <v>10.6194690265487</v>
      </c>
    </row>
    <row r="78" customHeight="1" spans="1:18">
      <c r="A78" s="74"/>
      <c r="B78" s="60" t="s">
        <v>145</v>
      </c>
      <c r="C78" s="51">
        <v>50</v>
      </c>
      <c r="D78" s="51">
        <f>$C$78/9-蒸汽动力2020!$F$16</f>
        <v>4.40319361277445</v>
      </c>
      <c r="E78" s="51">
        <f>$C$78/9-蒸汽动力2020!$F$16</f>
        <v>4.40319361277445</v>
      </c>
      <c r="F78" s="51">
        <f>$C$78/9-蒸汽动力2020!$F$16</f>
        <v>4.40319361277445</v>
      </c>
      <c r="G78" s="51">
        <f>$C$78/9-蒸汽动力2020!$F$16</f>
        <v>4.40319361277445</v>
      </c>
      <c r="H78" s="51">
        <f>$C$78/9-蒸汽动力2020!$F$16</f>
        <v>4.40319361277445</v>
      </c>
      <c r="I78" s="51">
        <f>$C$78/9-蒸汽动力2020!$F$16</f>
        <v>4.40319361277445</v>
      </c>
      <c r="J78" s="51">
        <f>$C$78/9-蒸汽动力2020!$F$16</f>
        <v>4.40319361277445</v>
      </c>
      <c r="K78" s="51">
        <f>$C$78/9-蒸汽动力2020!$F$16</f>
        <v>4.40319361277445</v>
      </c>
      <c r="L78" s="51">
        <f>$C$78/9-蒸汽动力2020!$F$16</f>
        <v>4.40319361277445</v>
      </c>
      <c r="M78" s="51">
        <f>$C$78/9-蒸汽动力2020!$F$16</f>
        <v>4.40319361277445</v>
      </c>
      <c r="N78" s="51">
        <f>$C$78/9-蒸汽动力2020!$F$16</f>
        <v>4.40319361277445</v>
      </c>
      <c r="O78" s="51">
        <f>$C$78/9-蒸汽动力2020!$F$16</f>
        <v>4.40319361277445</v>
      </c>
      <c r="P78" s="86">
        <f t="shared" ref="P78:P84" si="110">SUM(D78:O78)</f>
        <v>52.8383233532934</v>
      </c>
      <c r="R78" s="93">
        <f>P78</f>
        <v>52.8383233532934</v>
      </c>
    </row>
    <row r="79" customHeight="1" spans="1:18">
      <c r="A79" s="74"/>
      <c r="B79" s="60" t="s">
        <v>147</v>
      </c>
      <c r="C79" s="51">
        <v>20</v>
      </c>
      <c r="D79" s="51">
        <f t="shared" ref="D79:D84" si="111">C79/9</f>
        <v>2.22222222222222</v>
      </c>
      <c r="E79" s="51">
        <f t="shared" ref="E79:E82" si="112">C79/9</f>
        <v>2.22222222222222</v>
      </c>
      <c r="F79" s="51">
        <f t="shared" ref="F79:F82" si="113">C79/9</f>
        <v>2.22222222222222</v>
      </c>
      <c r="G79" s="51">
        <f t="shared" ref="G79:G82" si="114">C79/9</f>
        <v>2.22222222222222</v>
      </c>
      <c r="H79" s="51">
        <f t="shared" ref="H79:H82" si="115">C79/9</f>
        <v>2.22222222222222</v>
      </c>
      <c r="I79" s="51">
        <f t="shared" ref="I79:I82" si="116">C79/9</f>
        <v>2.22222222222222</v>
      </c>
      <c r="J79" s="51">
        <f t="shared" ref="J79:J82" si="117">C79/9</f>
        <v>2.22222222222222</v>
      </c>
      <c r="K79" s="51">
        <f t="shared" ref="K79:K82" si="118">C79/9</f>
        <v>2.22222222222222</v>
      </c>
      <c r="L79" s="51">
        <f t="shared" ref="L79:L82" si="119">C79/9</f>
        <v>2.22222222222222</v>
      </c>
      <c r="M79" s="88">
        <f t="shared" ref="M79:M84" si="120">C79/9</f>
        <v>2.22222222222222</v>
      </c>
      <c r="N79" s="88">
        <f t="shared" ref="N79:N84" si="121">C79/9</f>
        <v>2.22222222222222</v>
      </c>
      <c r="O79" s="88">
        <f t="shared" ref="O79:O84" si="122">C79/9</f>
        <v>2.22222222222222</v>
      </c>
      <c r="P79" s="86">
        <f t="shared" si="110"/>
        <v>26.6666666666667</v>
      </c>
      <c r="R79" s="93">
        <f t="shared" ref="R79:R84" si="123">P79</f>
        <v>26.6666666666667</v>
      </c>
    </row>
    <row r="80" customHeight="1" spans="1:18">
      <c r="A80" s="74"/>
      <c r="B80" s="61" t="s">
        <v>139</v>
      </c>
      <c r="C80" s="51">
        <v>10</v>
      </c>
      <c r="D80" s="51">
        <f t="shared" si="111"/>
        <v>1.11111111111111</v>
      </c>
      <c r="E80" s="51">
        <f t="shared" si="112"/>
        <v>1.11111111111111</v>
      </c>
      <c r="F80" s="51">
        <f t="shared" si="113"/>
        <v>1.11111111111111</v>
      </c>
      <c r="G80" s="51">
        <f t="shared" si="114"/>
        <v>1.11111111111111</v>
      </c>
      <c r="H80" s="51">
        <f t="shared" si="115"/>
        <v>1.11111111111111</v>
      </c>
      <c r="I80" s="51">
        <f t="shared" si="116"/>
        <v>1.11111111111111</v>
      </c>
      <c r="J80" s="51">
        <f t="shared" si="117"/>
        <v>1.11111111111111</v>
      </c>
      <c r="K80" s="51">
        <f t="shared" si="118"/>
        <v>1.11111111111111</v>
      </c>
      <c r="L80" s="51">
        <f t="shared" si="119"/>
        <v>1.11111111111111</v>
      </c>
      <c r="M80" s="88">
        <f t="shared" si="120"/>
        <v>1.11111111111111</v>
      </c>
      <c r="N80" s="88">
        <f t="shared" si="121"/>
        <v>1.11111111111111</v>
      </c>
      <c r="O80" s="88">
        <f t="shared" si="122"/>
        <v>1.11111111111111</v>
      </c>
      <c r="P80" s="86">
        <f t="shared" si="110"/>
        <v>13.3333333333333</v>
      </c>
      <c r="R80" s="93">
        <f t="shared" si="123"/>
        <v>13.3333333333333</v>
      </c>
    </row>
    <row r="81" customHeight="1" spans="1:18">
      <c r="A81" s="74"/>
      <c r="B81" s="60" t="s">
        <v>140</v>
      </c>
      <c r="C81" s="51">
        <v>1</v>
      </c>
      <c r="D81" s="51">
        <f t="shared" si="111"/>
        <v>0.111111111111111</v>
      </c>
      <c r="E81" s="51">
        <f t="shared" si="112"/>
        <v>0.111111111111111</v>
      </c>
      <c r="F81" s="51">
        <f t="shared" si="113"/>
        <v>0.111111111111111</v>
      </c>
      <c r="G81" s="51">
        <f t="shared" si="114"/>
        <v>0.111111111111111</v>
      </c>
      <c r="H81" s="51">
        <f t="shared" si="115"/>
        <v>0.111111111111111</v>
      </c>
      <c r="I81" s="51">
        <f t="shared" si="116"/>
        <v>0.111111111111111</v>
      </c>
      <c r="J81" s="51">
        <f t="shared" si="117"/>
        <v>0.111111111111111</v>
      </c>
      <c r="K81" s="51">
        <f t="shared" si="118"/>
        <v>0.111111111111111</v>
      </c>
      <c r="L81" s="51">
        <f t="shared" si="119"/>
        <v>0.111111111111111</v>
      </c>
      <c r="M81" s="88">
        <f t="shared" si="120"/>
        <v>0.111111111111111</v>
      </c>
      <c r="N81" s="88">
        <f t="shared" si="121"/>
        <v>0.111111111111111</v>
      </c>
      <c r="O81" s="88">
        <f t="shared" si="122"/>
        <v>0.111111111111111</v>
      </c>
      <c r="P81" s="86">
        <f t="shared" si="110"/>
        <v>1.33333333333333</v>
      </c>
      <c r="R81" s="93">
        <f t="shared" si="123"/>
        <v>1.33333333333333</v>
      </c>
    </row>
    <row r="82" customHeight="1" spans="1:18">
      <c r="A82" s="74"/>
      <c r="B82" s="60" t="s">
        <v>141</v>
      </c>
      <c r="C82" s="51">
        <v>2</v>
      </c>
      <c r="D82" s="51">
        <f t="shared" si="111"/>
        <v>0.222222222222222</v>
      </c>
      <c r="E82" s="51">
        <f t="shared" si="112"/>
        <v>0.222222222222222</v>
      </c>
      <c r="F82" s="51">
        <f t="shared" si="113"/>
        <v>0.222222222222222</v>
      </c>
      <c r="G82" s="51">
        <f t="shared" si="114"/>
        <v>0.222222222222222</v>
      </c>
      <c r="H82" s="51">
        <f t="shared" si="115"/>
        <v>0.222222222222222</v>
      </c>
      <c r="I82" s="51">
        <f t="shared" si="116"/>
        <v>0.222222222222222</v>
      </c>
      <c r="J82" s="51">
        <f t="shared" si="117"/>
        <v>0.222222222222222</v>
      </c>
      <c r="K82" s="51">
        <f t="shared" si="118"/>
        <v>0.222222222222222</v>
      </c>
      <c r="L82" s="51">
        <f t="shared" si="119"/>
        <v>0.222222222222222</v>
      </c>
      <c r="M82" s="88">
        <f t="shared" si="120"/>
        <v>0.222222222222222</v>
      </c>
      <c r="N82" s="88">
        <f t="shared" si="121"/>
        <v>0.222222222222222</v>
      </c>
      <c r="O82" s="88">
        <f t="shared" si="122"/>
        <v>0.222222222222222</v>
      </c>
      <c r="P82" s="86">
        <f t="shared" si="110"/>
        <v>2.66666666666667</v>
      </c>
      <c r="R82" s="93">
        <f t="shared" si="123"/>
        <v>2.66666666666667</v>
      </c>
    </row>
    <row r="83" customHeight="1" spans="1:18">
      <c r="A83" s="74"/>
      <c r="B83" s="61" t="s">
        <v>142</v>
      </c>
      <c r="C83" s="51">
        <v>80</v>
      </c>
      <c r="D83" s="51">
        <f>制造费用2020!$G$21</f>
        <v>0.141369592441954</v>
      </c>
      <c r="E83" s="51">
        <f>制造费用2020!$G$21</f>
        <v>0.141369592441954</v>
      </c>
      <c r="F83" s="51">
        <f>制造费用2020!$G$21</f>
        <v>0.141369592441954</v>
      </c>
      <c r="G83" s="51">
        <f>制造费用2020!$G$21</f>
        <v>0.141369592441954</v>
      </c>
      <c r="H83" s="51">
        <f>制造费用2020!$G$21</f>
        <v>0.141369592441954</v>
      </c>
      <c r="I83" s="51">
        <f>制造费用2020!$G$21</f>
        <v>0.141369592441954</v>
      </c>
      <c r="J83" s="51">
        <f>制造费用2020!$G$21</f>
        <v>0.141369592441954</v>
      </c>
      <c r="K83" s="51">
        <f>制造费用2020!$G$21</f>
        <v>0.141369592441954</v>
      </c>
      <c r="L83" s="51">
        <f>制造费用2020!$G$21</f>
        <v>0.141369592441954</v>
      </c>
      <c r="M83" s="51">
        <f>制造费用2020!$G$21</f>
        <v>0.141369592441954</v>
      </c>
      <c r="N83" s="51">
        <f>制造费用2020!$G$21</f>
        <v>0.141369592441954</v>
      </c>
      <c r="O83" s="51">
        <f>制造费用2020!$G$21</f>
        <v>0.141369592441954</v>
      </c>
      <c r="P83" s="86">
        <f t="shared" si="110"/>
        <v>1.69643510930345</v>
      </c>
      <c r="Q83" s="17">
        <v>201575.38</v>
      </c>
      <c r="R83" s="93">
        <f t="shared" si="123"/>
        <v>1.69643510930345</v>
      </c>
    </row>
    <row r="84" customHeight="1" spans="1:18">
      <c r="A84" s="74"/>
      <c r="B84" s="61" t="s">
        <v>152</v>
      </c>
      <c r="C84" s="51">
        <v>0.5</v>
      </c>
      <c r="D84" s="51">
        <f t="shared" si="111"/>
        <v>0.0555555555555556</v>
      </c>
      <c r="E84" s="51">
        <f t="shared" ref="E84" si="124">C84/9</f>
        <v>0.0555555555555556</v>
      </c>
      <c r="F84" s="51">
        <f t="shared" ref="F84" si="125">C84/9</f>
        <v>0.0555555555555556</v>
      </c>
      <c r="G84" s="51">
        <f t="shared" ref="G84" si="126">C84/9</f>
        <v>0.0555555555555556</v>
      </c>
      <c r="H84" s="51">
        <f t="shared" ref="H84" si="127">C84/9</f>
        <v>0.0555555555555556</v>
      </c>
      <c r="I84" s="51">
        <f t="shared" ref="I84" si="128">C84/9</f>
        <v>0.0555555555555556</v>
      </c>
      <c r="J84" s="51">
        <f t="shared" ref="J84" si="129">C84/9</f>
        <v>0.0555555555555556</v>
      </c>
      <c r="K84" s="51">
        <f t="shared" ref="K84" si="130">C84/9</f>
        <v>0.0555555555555556</v>
      </c>
      <c r="L84" s="51">
        <f t="shared" ref="L84" si="131">C84/9</f>
        <v>0.0555555555555556</v>
      </c>
      <c r="M84" s="88">
        <f t="shared" si="120"/>
        <v>0.0555555555555556</v>
      </c>
      <c r="N84" s="88">
        <f t="shared" si="121"/>
        <v>0.0555555555555556</v>
      </c>
      <c r="O84" s="88">
        <f t="shared" si="122"/>
        <v>0.0555555555555556</v>
      </c>
      <c r="P84" s="86">
        <f t="shared" si="110"/>
        <v>0.666666666666667</v>
      </c>
      <c r="R84" s="93">
        <f t="shared" si="123"/>
        <v>0.666666666666667</v>
      </c>
    </row>
    <row r="85" s="46" customFormat="1" customHeight="1" spans="1:18">
      <c r="A85" s="74"/>
      <c r="B85" s="76" t="s">
        <v>148</v>
      </c>
      <c r="C85" s="58">
        <f>SUM(C77:C84)</f>
        <v>223.5</v>
      </c>
      <c r="D85" s="58">
        <f t="shared" ref="D85:M85" si="132">SUM(D77:D84)</f>
        <v>9.26678542743863</v>
      </c>
      <c r="E85" s="58">
        <f t="shared" si="132"/>
        <v>9.26678542743863</v>
      </c>
      <c r="F85" s="58">
        <f t="shared" si="132"/>
        <v>9.26678542743863</v>
      </c>
      <c r="G85" s="58">
        <f t="shared" si="132"/>
        <v>9.26678542743863</v>
      </c>
      <c r="H85" s="58">
        <f t="shared" si="132"/>
        <v>9.26678542743863</v>
      </c>
      <c r="I85" s="58">
        <f t="shared" si="132"/>
        <v>9.26678542743863</v>
      </c>
      <c r="J85" s="58">
        <f t="shared" si="132"/>
        <v>9.26678542743863</v>
      </c>
      <c r="K85" s="58">
        <f t="shared" si="132"/>
        <v>9.26678542743863</v>
      </c>
      <c r="L85" s="58">
        <f t="shared" si="132"/>
        <v>9.26678542743863</v>
      </c>
      <c r="M85" s="58">
        <f t="shared" si="132"/>
        <v>9.26678542743863</v>
      </c>
      <c r="N85" s="58">
        <f t="shared" ref="N85:P85" si="133">SUM(N77:N84)</f>
        <v>9.26678542743863</v>
      </c>
      <c r="O85" s="58">
        <f t="shared" si="133"/>
        <v>9.26678542743863</v>
      </c>
      <c r="P85" s="86">
        <f t="shared" si="133"/>
        <v>111.201425129264</v>
      </c>
      <c r="Q85" s="94">
        <f>R85/'2020回款及耗煤量'!O36</f>
        <v>403169.063482359</v>
      </c>
      <c r="R85" s="95">
        <f>SUM(R77:R84)+Q83*12</f>
        <v>2419014.38089416</v>
      </c>
    </row>
    <row r="86" customHeight="1" spans="1:18">
      <c r="A86" s="64" t="s">
        <v>69</v>
      </c>
      <c r="B86" s="68" t="s">
        <v>157</v>
      </c>
      <c r="C86" s="66">
        <v>10</v>
      </c>
      <c r="D86" s="66">
        <f>'2020回款及耗煤量'!AB37</f>
        <v>0.2</v>
      </c>
      <c r="E86" s="66">
        <f>'2020回款及耗煤量'!AC37</f>
        <v>0.2</v>
      </c>
      <c r="F86" s="66">
        <f>'2020回款及耗煤量'!AD37</f>
        <v>0.2</v>
      </c>
      <c r="G86" s="66">
        <f>'2020回款及耗煤量'!AE37</f>
        <v>0.2</v>
      </c>
      <c r="H86" s="66">
        <f>'2020回款及耗煤量'!AF37</f>
        <v>0.2</v>
      </c>
      <c r="I86" s="66">
        <f>'2020回款及耗煤量'!AG37</f>
        <v>0.2</v>
      </c>
      <c r="J86" s="66">
        <f>'2020回款及耗煤量'!AH37</f>
        <v>0.2</v>
      </c>
      <c r="K86" s="66">
        <f>'2020回款及耗煤量'!AI37</f>
        <v>0.2</v>
      </c>
      <c r="L86" s="66">
        <f>'2020回款及耗煤量'!AJ37</f>
        <v>0.2</v>
      </c>
      <c r="M86" s="66">
        <f>'2020回款及耗煤量'!AK37</f>
        <v>0.2</v>
      </c>
      <c r="N86" s="66">
        <f>'2020回款及耗煤量'!AL37</f>
        <v>0.2</v>
      </c>
      <c r="O86" s="66">
        <f>'2020回款及耗煤量'!AM37</f>
        <v>0.2</v>
      </c>
      <c r="P86" s="85">
        <f>SUM(D86:O86)</f>
        <v>2.4</v>
      </c>
      <c r="R86" s="93">
        <f>P86/1.13</f>
        <v>2.12389380530973</v>
      </c>
    </row>
    <row r="87" customHeight="1" spans="1:18">
      <c r="A87" s="67"/>
      <c r="B87" s="68" t="s">
        <v>158</v>
      </c>
      <c r="C87" s="66">
        <v>50</v>
      </c>
      <c r="D87" s="66">
        <f>'2020回款及耗煤量'!AB38</f>
        <v>1</v>
      </c>
      <c r="E87" s="66">
        <f>'2020回款及耗煤量'!AC38</f>
        <v>1</v>
      </c>
      <c r="F87" s="66">
        <f>'2020回款及耗煤量'!AD38</f>
        <v>1</v>
      </c>
      <c r="G87" s="66">
        <f>'2020回款及耗煤量'!AE38</f>
        <v>1</v>
      </c>
      <c r="H87" s="66">
        <f>'2020回款及耗煤量'!AF38</f>
        <v>1</v>
      </c>
      <c r="I87" s="66">
        <f>'2020回款及耗煤量'!AG38</f>
        <v>1</v>
      </c>
      <c r="J87" s="66">
        <f>'2020回款及耗煤量'!AH38</f>
        <v>1</v>
      </c>
      <c r="K87" s="66">
        <f>'2020回款及耗煤量'!AI38</f>
        <v>1</v>
      </c>
      <c r="L87" s="66">
        <f>'2020回款及耗煤量'!AJ38</f>
        <v>1</v>
      </c>
      <c r="M87" s="66">
        <f>'2020回款及耗煤量'!AK38</f>
        <v>1</v>
      </c>
      <c r="N87" s="66">
        <f>'2020回款及耗煤量'!AL38</f>
        <v>1</v>
      </c>
      <c r="O87" s="66">
        <f>'2020回款及耗煤量'!AM38</f>
        <v>1</v>
      </c>
      <c r="P87" s="85">
        <f t="shared" ref="P87:P96" si="134">SUM(D87:O87)</f>
        <v>12</v>
      </c>
      <c r="R87" s="93">
        <f>P87/1.13</f>
        <v>10.6194690265487</v>
      </c>
    </row>
    <row r="88" customHeight="1" spans="1:18">
      <c r="A88" s="67"/>
      <c r="B88" s="68" t="s">
        <v>136</v>
      </c>
      <c r="C88" s="66">
        <v>300</v>
      </c>
      <c r="D88" s="51">
        <f>$C$88/9-蒸汽动力2020!$F$9</f>
        <v>26.9953426480373</v>
      </c>
      <c r="E88" s="51">
        <f>$C$88/9-蒸汽动力2020!$F$9</f>
        <v>26.9953426480373</v>
      </c>
      <c r="F88" s="51">
        <f>$C$88/9-蒸汽动力2020!$F$9</f>
        <v>26.9953426480373</v>
      </c>
      <c r="G88" s="51">
        <f>$C$88/9-蒸汽动力2020!$F$9</f>
        <v>26.9953426480373</v>
      </c>
      <c r="H88" s="51">
        <f>$C$88/9-蒸汽动力2020!$F$9</f>
        <v>26.9953426480373</v>
      </c>
      <c r="I88" s="51">
        <f>$C$88/9-蒸汽动力2020!$F$9</f>
        <v>26.9953426480373</v>
      </c>
      <c r="J88" s="51">
        <f>$C$88/9-蒸汽动力2020!$F$9</f>
        <v>26.9953426480373</v>
      </c>
      <c r="K88" s="51">
        <f>$C$88/9-蒸汽动力2020!$F$9</f>
        <v>26.9953426480373</v>
      </c>
      <c r="L88" s="51">
        <f>$C$88/9-蒸汽动力2020!$F$9</f>
        <v>26.9953426480373</v>
      </c>
      <c r="M88" s="51">
        <f>$C$88/9-蒸汽动力2020!$F$9</f>
        <v>26.9953426480373</v>
      </c>
      <c r="N88" s="51">
        <f>$C$88/9-蒸汽动力2020!$F$9</f>
        <v>26.9953426480373</v>
      </c>
      <c r="O88" s="51">
        <f>$C$88/9-蒸汽动力2020!$F$9</f>
        <v>26.9953426480373</v>
      </c>
      <c r="P88" s="86">
        <f t="shared" si="134"/>
        <v>323.944111776447</v>
      </c>
      <c r="R88" s="93">
        <f>P88</f>
        <v>323.944111776447</v>
      </c>
    </row>
    <row r="89" customHeight="1" spans="1:18">
      <c r="A89" s="67"/>
      <c r="B89" s="68" t="s">
        <v>135</v>
      </c>
      <c r="C89" s="66">
        <v>300</v>
      </c>
      <c r="D89" s="51">
        <f>$C$89/9-蒸汽动力2020!$F$23</f>
        <v>26.8266167561036</v>
      </c>
      <c r="E89" s="51">
        <f>$C$89/9-蒸汽动力2020!$F$23</f>
        <v>26.8266167561036</v>
      </c>
      <c r="F89" s="51">
        <f>$C$89/9-蒸汽动力2020!$F$23</f>
        <v>26.8266167561036</v>
      </c>
      <c r="G89" s="51">
        <f>$C$89/9-蒸汽动力2020!$F$23</f>
        <v>26.8266167561036</v>
      </c>
      <c r="H89" s="51">
        <f>$C$89/9-蒸汽动力2020!$F$23</f>
        <v>26.8266167561036</v>
      </c>
      <c r="I89" s="51">
        <f>$C$89/9-蒸汽动力2020!$F$23</f>
        <v>26.8266167561036</v>
      </c>
      <c r="J89" s="51">
        <f>$C$89/9-蒸汽动力2020!$F$23</f>
        <v>26.8266167561036</v>
      </c>
      <c r="K89" s="51">
        <f>$C$89/9-蒸汽动力2020!$F$23</f>
        <v>26.8266167561036</v>
      </c>
      <c r="L89" s="51">
        <f>$C$89/9-蒸汽动力2020!$F$23</f>
        <v>26.8266167561036</v>
      </c>
      <c r="M89" s="51">
        <f>$C$89/9-蒸汽动力2020!$F$23</f>
        <v>26.8266167561036</v>
      </c>
      <c r="N89" s="51">
        <f>$C$89/9-蒸汽动力2020!$F$23</f>
        <v>26.8266167561036</v>
      </c>
      <c r="O89" s="51">
        <f>$C$89/9-蒸汽动力2020!$F$23</f>
        <v>26.8266167561036</v>
      </c>
      <c r="P89" s="86">
        <f t="shared" si="134"/>
        <v>321.919401073243</v>
      </c>
      <c r="R89" s="93">
        <f t="shared" ref="R89:R96" si="135">P89</f>
        <v>321.919401073243</v>
      </c>
    </row>
    <row r="90" customHeight="1" spans="1:18">
      <c r="A90" s="67"/>
      <c r="B90" s="68" t="s">
        <v>137</v>
      </c>
      <c r="C90" s="66">
        <v>5</v>
      </c>
      <c r="D90" s="51">
        <f t="shared" ref="D90:D96" si="136">C90/9</f>
        <v>0.555555555555556</v>
      </c>
      <c r="E90" s="51">
        <f t="shared" ref="E90:E96" si="137">C90/9</f>
        <v>0.555555555555556</v>
      </c>
      <c r="F90" s="51">
        <f t="shared" ref="F90:F96" si="138">C90/9</f>
        <v>0.555555555555556</v>
      </c>
      <c r="G90" s="51">
        <f t="shared" ref="G90:G96" si="139">C90/9</f>
        <v>0.555555555555556</v>
      </c>
      <c r="H90" s="51">
        <f t="shared" ref="H90:H96" si="140">C90/9</f>
        <v>0.555555555555556</v>
      </c>
      <c r="I90" s="51">
        <f t="shared" ref="I90:I96" si="141">C90/9</f>
        <v>0.555555555555556</v>
      </c>
      <c r="J90" s="51">
        <f t="shared" ref="J90:J96" si="142">C90/9</f>
        <v>0.555555555555556</v>
      </c>
      <c r="K90" s="51">
        <f t="shared" ref="K90:K96" si="143">C90/9</f>
        <v>0.555555555555556</v>
      </c>
      <c r="L90" s="51">
        <f t="shared" ref="L90:L96" si="144">C90/9</f>
        <v>0.555555555555556</v>
      </c>
      <c r="M90" s="88">
        <f t="shared" ref="M90:M96" si="145">C90/9</f>
        <v>0.555555555555556</v>
      </c>
      <c r="N90" s="88">
        <f t="shared" ref="N90:N96" si="146">C90/9</f>
        <v>0.555555555555556</v>
      </c>
      <c r="O90" s="88">
        <f t="shared" ref="O90:O96" si="147">C90/9</f>
        <v>0.555555555555556</v>
      </c>
      <c r="P90" s="86">
        <f t="shared" si="134"/>
        <v>6.66666666666667</v>
      </c>
      <c r="R90" s="93">
        <f t="shared" si="135"/>
        <v>6.66666666666667</v>
      </c>
    </row>
    <row r="91" customHeight="1" spans="1:18">
      <c r="A91" s="67"/>
      <c r="B91" s="68" t="s">
        <v>159</v>
      </c>
      <c r="C91" s="66">
        <v>100</v>
      </c>
      <c r="D91" s="51">
        <f t="shared" si="136"/>
        <v>11.1111111111111</v>
      </c>
      <c r="E91" s="51">
        <f t="shared" si="137"/>
        <v>11.1111111111111</v>
      </c>
      <c r="F91" s="51">
        <f t="shared" si="138"/>
        <v>11.1111111111111</v>
      </c>
      <c r="G91" s="51">
        <f t="shared" si="139"/>
        <v>11.1111111111111</v>
      </c>
      <c r="H91" s="51">
        <f t="shared" si="140"/>
        <v>11.1111111111111</v>
      </c>
      <c r="I91" s="51">
        <f t="shared" si="141"/>
        <v>11.1111111111111</v>
      </c>
      <c r="J91" s="51">
        <f t="shared" si="142"/>
        <v>11.1111111111111</v>
      </c>
      <c r="K91" s="51">
        <f t="shared" si="143"/>
        <v>11.1111111111111</v>
      </c>
      <c r="L91" s="51">
        <f t="shared" si="144"/>
        <v>11.1111111111111</v>
      </c>
      <c r="M91" s="88">
        <f t="shared" si="145"/>
        <v>11.1111111111111</v>
      </c>
      <c r="N91" s="88">
        <f t="shared" si="146"/>
        <v>11.1111111111111</v>
      </c>
      <c r="O91" s="88">
        <f t="shared" si="147"/>
        <v>11.1111111111111</v>
      </c>
      <c r="P91" s="86">
        <f t="shared" si="134"/>
        <v>133.333333333333</v>
      </c>
      <c r="R91" s="93">
        <f t="shared" si="135"/>
        <v>133.333333333333</v>
      </c>
    </row>
    <row r="92" customHeight="1" spans="1:18">
      <c r="A92" s="67"/>
      <c r="B92" s="68" t="s">
        <v>160</v>
      </c>
      <c r="C92" s="66">
        <v>60</v>
      </c>
      <c r="D92" s="51">
        <f t="shared" si="136"/>
        <v>6.66666666666667</v>
      </c>
      <c r="E92" s="51">
        <f t="shared" si="137"/>
        <v>6.66666666666667</v>
      </c>
      <c r="F92" s="51">
        <f t="shared" si="138"/>
        <v>6.66666666666667</v>
      </c>
      <c r="G92" s="51">
        <f t="shared" si="139"/>
        <v>6.66666666666667</v>
      </c>
      <c r="H92" s="51">
        <f t="shared" si="140"/>
        <v>6.66666666666667</v>
      </c>
      <c r="I92" s="51">
        <f t="shared" si="141"/>
        <v>6.66666666666667</v>
      </c>
      <c r="J92" s="51">
        <f t="shared" si="142"/>
        <v>6.66666666666667</v>
      </c>
      <c r="K92" s="51">
        <f t="shared" si="143"/>
        <v>6.66666666666667</v>
      </c>
      <c r="L92" s="51">
        <f t="shared" si="144"/>
        <v>6.66666666666667</v>
      </c>
      <c r="M92" s="88">
        <f t="shared" si="145"/>
        <v>6.66666666666667</v>
      </c>
      <c r="N92" s="88">
        <f t="shared" si="146"/>
        <v>6.66666666666667</v>
      </c>
      <c r="O92" s="88">
        <f t="shared" si="147"/>
        <v>6.66666666666667</v>
      </c>
      <c r="P92" s="86">
        <f t="shared" si="134"/>
        <v>80</v>
      </c>
      <c r="R92" s="93">
        <f t="shared" si="135"/>
        <v>80</v>
      </c>
    </row>
    <row r="93" customHeight="1" spans="1:18">
      <c r="A93" s="67"/>
      <c r="B93" s="68" t="s">
        <v>140</v>
      </c>
      <c r="C93" s="66">
        <v>20</v>
      </c>
      <c r="D93" s="51">
        <f t="shared" si="136"/>
        <v>2.22222222222222</v>
      </c>
      <c r="E93" s="51">
        <f t="shared" si="137"/>
        <v>2.22222222222222</v>
      </c>
      <c r="F93" s="51">
        <f t="shared" si="138"/>
        <v>2.22222222222222</v>
      </c>
      <c r="G93" s="51">
        <f t="shared" si="139"/>
        <v>2.22222222222222</v>
      </c>
      <c r="H93" s="51">
        <f t="shared" si="140"/>
        <v>2.22222222222222</v>
      </c>
      <c r="I93" s="51">
        <f t="shared" si="141"/>
        <v>2.22222222222222</v>
      </c>
      <c r="J93" s="51">
        <f t="shared" si="142"/>
        <v>2.22222222222222</v>
      </c>
      <c r="K93" s="51">
        <f t="shared" si="143"/>
        <v>2.22222222222222</v>
      </c>
      <c r="L93" s="51">
        <f t="shared" si="144"/>
        <v>2.22222222222222</v>
      </c>
      <c r="M93" s="88">
        <f t="shared" si="145"/>
        <v>2.22222222222222</v>
      </c>
      <c r="N93" s="88">
        <f t="shared" si="146"/>
        <v>2.22222222222222</v>
      </c>
      <c r="O93" s="88">
        <f t="shared" si="147"/>
        <v>2.22222222222222</v>
      </c>
      <c r="P93" s="86">
        <f t="shared" si="134"/>
        <v>26.6666666666667</v>
      </c>
      <c r="R93" s="93">
        <f t="shared" si="135"/>
        <v>26.6666666666667</v>
      </c>
    </row>
    <row r="94" customHeight="1" spans="1:18">
      <c r="A94" s="67"/>
      <c r="B94" s="68" t="s">
        <v>141</v>
      </c>
      <c r="C94" s="66">
        <v>50</v>
      </c>
      <c r="D94" s="51">
        <f t="shared" si="136"/>
        <v>5.55555555555556</v>
      </c>
      <c r="E94" s="51">
        <f t="shared" si="137"/>
        <v>5.55555555555556</v>
      </c>
      <c r="F94" s="51">
        <f t="shared" si="138"/>
        <v>5.55555555555556</v>
      </c>
      <c r="G94" s="51">
        <f t="shared" si="139"/>
        <v>5.55555555555556</v>
      </c>
      <c r="H94" s="51">
        <f t="shared" si="140"/>
        <v>5.55555555555556</v>
      </c>
      <c r="I94" s="51">
        <f t="shared" si="141"/>
        <v>5.55555555555556</v>
      </c>
      <c r="J94" s="51">
        <f t="shared" si="142"/>
        <v>5.55555555555556</v>
      </c>
      <c r="K94" s="51">
        <f t="shared" si="143"/>
        <v>5.55555555555556</v>
      </c>
      <c r="L94" s="51">
        <f t="shared" si="144"/>
        <v>5.55555555555556</v>
      </c>
      <c r="M94" s="88">
        <f t="shared" si="145"/>
        <v>5.55555555555556</v>
      </c>
      <c r="N94" s="88">
        <f t="shared" si="146"/>
        <v>5.55555555555556</v>
      </c>
      <c r="O94" s="88">
        <f t="shared" si="147"/>
        <v>5.55555555555556</v>
      </c>
      <c r="P94" s="86">
        <f t="shared" si="134"/>
        <v>66.6666666666667</v>
      </c>
      <c r="Q94" s="17">
        <v>2547943.7</v>
      </c>
      <c r="R94" s="93">
        <f t="shared" si="135"/>
        <v>66.6666666666667</v>
      </c>
    </row>
    <row r="95" customHeight="1" spans="1:18">
      <c r="A95" s="67"/>
      <c r="B95" s="68" t="s">
        <v>142</v>
      </c>
      <c r="C95" s="66">
        <v>500</v>
      </c>
      <c r="D95" s="51">
        <f>制造费用2020!$G$22</f>
        <v>11.3095673953563</v>
      </c>
      <c r="E95" s="51">
        <f>制造费用2020!$G$22</f>
        <v>11.3095673953563</v>
      </c>
      <c r="F95" s="51">
        <f>制造费用2020!$G$22</f>
        <v>11.3095673953563</v>
      </c>
      <c r="G95" s="51">
        <f>制造费用2020!$G$22</f>
        <v>11.3095673953563</v>
      </c>
      <c r="H95" s="51">
        <f>制造费用2020!$G$22</f>
        <v>11.3095673953563</v>
      </c>
      <c r="I95" s="51">
        <f>制造费用2020!$G$22</f>
        <v>11.3095673953563</v>
      </c>
      <c r="J95" s="51">
        <f>制造费用2020!$G$22</f>
        <v>11.3095673953563</v>
      </c>
      <c r="K95" s="51">
        <f>制造费用2020!$G$22</f>
        <v>11.3095673953563</v>
      </c>
      <c r="L95" s="51">
        <f>制造费用2020!$G$22</f>
        <v>11.3095673953563</v>
      </c>
      <c r="M95" s="51">
        <f>制造费用2020!$G$22</f>
        <v>11.3095673953563</v>
      </c>
      <c r="N95" s="51">
        <f>制造费用2020!$G$22</f>
        <v>11.3095673953563</v>
      </c>
      <c r="O95" s="51">
        <f>制造费用2020!$G$22</f>
        <v>11.3095673953563</v>
      </c>
      <c r="P95" s="86">
        <f t="shared" si="134"/>
        <v>135.714808744276</v>
      </c>
      <c r="R95" s="93">
        <f t="shared" si="135"/>
        <v>135.714808744276</v>
      </c>
    </row>
    <row r="96" customHeight="1" spans="1:18">
      <c r="A96" s="67"/>
      <c r="B96" s="68" t="s">
        <v>161</v>
      </c>
      <c r="C96" s="66">
        <v>5</v>
      </c>
      <c r="D96" s="51">
        <f t="shared" si="136"/>
        <v>0.555555555555556</v>
      </c>
      <c r="E96" s="51">
        <f t="shared" si="137"/>
        <v>0.555555555555556</v>
      </c>
      <c r="F96" s="51">
        <f t="shared" si="138"/>
        <v>0.555555555555556</v>
      </c>
      <c r="G96" s="51">
        <f t="shared" si="139"/>
        <v>0.555555555555556</v>
      </c>
      <c r="H96" s="51">
        <f t="shared" si="140"/>
        <v>0.555555555555556</v>
      </c>
      <c r="I96" s="51">
        <f t="shared" si="141"/>
        <v>0.555555555555556</v>
      </c>
      <c r="J96" s="51">
        <f t="shared" si="142"/>
        <v>0.555555555555556</v>
      </c>
      <c r="K96" s="51">
        <f t="shared" si="143"/>
        <v>0.555555555555556</v>
      </c>
      <c r="L96" s="51">
        <f t="shared" si="144"/>
        <v>0.555555555555556</v>
      </c>
      <c r="M96" s="88">
        <f t="shared" si="145"/>
        <v>0.555555555555556</v>
      </c>
      <c r="N96" s="88">
        <f t="shared" si="146"/>
        <v>0.555555555555556</v>
      </c>
      <c r="O96" s="88">
        <f t="shared" si="147"/>
        <v>0.555555555555556</v>
      </c>
      <c r="P96" s="86">
        <f t="shared" si="134"/>
        <v>6.66666666666667</v>
      </c>
      <c r="R96" s="93">
        <f t="shared" si="135"/>
        <v>6.66666666666667</v>
      </c>
    </row>
    <row r="97" s="46" customFormat="1" customHeight="1" spans="1:18">
      <c r="A97" s="67"/>
      <c r="B97" s="70" t="s">
        <v>162</v>
      </c>
      <c r="C97" s="71">
        <f>SUM(C86:C96)</f>
        <v>1400</v>
      </c>
      <c r="D97" s="71">
        <f>SUM(D86:D96)</f>
        <v>92.9981934661638</v>
      </c>
      <c r="E97" s="71">
        <f>SUM(E86:E96)</f>
        <v>92.9981934661638</v>
      </c>
      <c r="F97" s="71">
        <f t="shared" ref="F97:M97" si="148">SUM(F86:F96)</f>
        <v>92.9981934661638</v>
      </c>
      <c r="G97" s="71">
        <f t="shared" si="148"/>
        <v>92.9981934661638</v>
      </c>
      <c r="H97" s="71">
        <f t="shared" si="148"/>
        <v>92.9981934661638</v>
      </c>
      <c r="I97" s="71">
        <f t="shared" si="148"/>
        <v>92.9981934661638</v>
      </c>
      <c r="J97" s="71">
        <f t="shared" si="148"/>
        <v>92.9981934661638</v>
      </c>
      <c r="K97" s="71">
        <f t="shared" si="148"/>
        <v>92.9981934661638</v>
      </c>
      <c r="L97" s="71">
        <f t="shared" si="148"/>
        <v>92.9981934661638</v>
      </c>
      <c r="M97" s="71">
        <f t="shared" si="148"/>
        <v>92.9981934661638</v>
      </c>
      <c r="N97" s="71">
        <f t="shared" ref="N97:P97" si="149">SUM(N86:N96)</f>
        <v>92.9981934661638</v>
      </c>
      <c r="O97" s="71">
        <f t="shared" si="149"/>
        <v>92.9981934661638</v>
      </c>
      <c r="P97" s="86">
        <f t="shared" si="149"/>
        <v>1115.97832159397</v>
      </c>
      <c r="Q97" s="94">
        <f>R97/'2020回款及耗煤量'!O37</f>
        <v>1274018.28007018</v>
      </c>
      <c r="R97" s="95">
        <f>SUM(R86:R96)+Q94*12</f>
        <v>30576438.7216844</v>
      </c>
    </row>
    <row r="98" customHeight="1" spans="1:18">
      <c r="A98" s="74" t="s">
        <v>163</v>
      </c>
      <c r="B98" s="60" t="s">
        <v>164</v>
      </c>
      <c r="C98" s="51">
        <v>100</v>
      </c>
      <c r="D98" s="51">
        <f>$C$98/9-蒸汽动力2020!$F$24</f>
        <v>10.0700364587544</v>
      </c>
      <c r="E98" s="51">
        <f>$C$98/9-蒸汽动力2020!$F$24</f>
        <v>10.0700364587544</v>
      </c>
      <c r="F98" s="51">
        <f>$C$98/9-蒸汽动力2020!$F$24</f>
        <v>10.0700364587544</v>
      </c>
      <c r="G98" s="51">
        <f>$C$98/9-蒸汽动力2020!$F$24</f>
        <v>10.0700364587544</v>
      </c>
      <c r="H98" s="51">
        <f>$C$98/9-蒸汽动力2020!$F$24</f>
        <v>10.0700364587544</v>
      </c>
      <c r="I98" s="51">
        <f>$C$98/9-蒸汽动力2020!$F$24</f>
        <v>10.0700364587544</v>
      </c>
      <c r="J98" s="51">
        <f>$C$98/9-蒸汽动力2020!$F$24</f>
        <v>10.0700364587544</v>
      </c>
      <c r="K98" s="51">
        <f>$C$98/9-蒸汽动力2020!$F$24</f>
        <v>10.0700364587544</v>
      </c>
      <c r="L98" s="51">
        <f>$C$98/9-蒸汽动力2020!$F$24</f>
        <v>10.0700364587544</v>
      </c>
      <c r="M98" s="51">
        <f>$C$98/9-蒸汽动力2020!$F$24</f>
        <v>10.0700364587544</v>
      </c>
      <c r="N98" s="51">
        <f>$C$98/9-蒸汽动力2020!$F$24</f>
        <v>10.0700364587544</v>
      </c>
      <c r="O98" s="51">
        <f>$C$98/9-蒸汽动力2020!$F$24</f>
        <v>10.0700364587544</v>
      </c>
      <c r="P98" s="86">
        <f>SUM(D98:O98)</f>
        <v>120.840437505052</v>
      </c>
      <c r="R98" s="93">
        <f>P98</f>
        <v>120.840437505052</v>
      </c>
    </row>
    <row r="99" customHeight="1" spans="1:18">
      <c r="A99" s="74"/>
      <c r="B99" s="60" t="s">
        <v>137</v>
      </c>
      <c r="C99" s="51">
        <v>3</v>
      </c>
      <c r="D99" s="51">
        <f t="shared" ref="D99:D103" si="150">C99/9</f>
        <v>0.333333333333333</v>
      </c>
      <c r="E99" s="51">
        <f t="shared" ref="E99:E103" si="151">C99/9</f>
        <v>0.333333333333333</v>
      </c>
      <c r="F99" s="51">
        <f t="shared" ref="F99:F103" si="152">C99/9</f>
        <v>0.333333333333333</v>
      </c>
      <c r="G99" s="51">
        <f t="shared" ref="G99:G103" si="153">C99/9</f>
        <v>0.333333333333333</v>
      </c>
      <c r="H99" s="51">
        <f t="shared" ref="H99:H103" si="154">C99/9</f>
        <v>0.333333333333333</v>
      </c>
      <c r="I99" s="51">
        <f t="shared" ref="I99:I103" si="155">C99/9</f>
        <v>0.333333333333333</v>
      </c>
      <c r="J99" s="51">
        <f t="shared" ref="J99:J103" si="156">C99/9</f>
        <v>0.333333333333333</v>
      </c>
      <c r="K99" s="51">
        <f t="shared" ref="K99:K103" si="157">C99/9</f>
        <v>0.333333333333333</v>
      </c>
      <c r="L99" s="51">
        <f t="shared" ref="L99:L103" si="158">C99/9</f>
        <v>0.333333333333333</v>
      </c>
      <c r="M99" s="88">
        <f t="shared" ref="M99:M103" si="159">C99/9</f>
        <v>0.333333333333333</v>
      </c>
      <c r="N99" s="88">
        <f t="shared" ref="N99:N103" si="160">C99/9</f>
        <v>0.333333333333333</v>
      </c>
      <c r="O99" s="88">
        <f t="shared" ref="O99:O103" si="161">C99/9</f>
        <v>0.333333333333333</v>
      </c>
      <c r="P99" s="86">
        <f t="shared" ref="P99:P105" si="162">SUM(D99:O99)</f>
        <v>4</v>
      </c>
      <c r="R99" s="93">
        <f t="shared" ref="R99:R104" si="163">P99</f>
        <v>4</v>
      </c>
    </row>
    <row r="100" customHeight="1" spans="1:18">
      <c r="A100" s="74"/>
      <c r="B100" s="60" t="s">
        <v>147</v>
      </c>
      <c r="C100" s="51">
        <v>100</v>
      </c>
      <c r="D100" s="51">
        <f t="shared" si="150"/>
        <v>11.1111111111111</v>
      </c>
      <c r="E100" s="51">
        <f t="shared" si="151"/>
        <v>11.1111111111111</v>
      </c>
      <c r="F100" s="51">
        <f t="shared" si="152"/>
        <v>11.1111111111111</v>
      </c>
      <c r="G100" s="51">
        <f t="shared" si="153"/>
        <v>11.1111111111111</v>
      </c>
      <c r="H100" s="51">
        <f t="shared" si="154"/>
        <v>11.1111111111111</v>
      </c>
      <c r="I100" s="51">
        <f t="shared" si="155"/>
        <v>11.1111111111111</v>
      </c>
      <c r="J100" s="51">
        <f t="shared" si="156"/>
        <v>11.1111111111111</v>
      </c>
      <c r="K100" s="51">
        <f t="shared" si="157"/>
        <v>11.1111111111111</v>
      </c>
      <c r="L100" s="51">
        <f t="shared" si="158"/>
        <v>11.1111111111111</v>
      </c>
      <c r="M100" s="88">
        <f t="shared" si="159"/>
        <v>11.1111111111111</v>
      </c>
      <c r="N100" s="88">
        <f t="shared" si="160"/>
        <v>11.1111111111111</v>
      </c>
      <c r="O100" s="88">
        <f t="shared" si="161"/>
        <v>11.1111111111111</v>
      </c>
      <c r="P100" s="86">
        <f t="shared" si="162"/>
        <v>133.333333333333</v>
      </c>
      <c r="R100" s="93">
        <f t="shared" si="163"/>
        <v>133.333333333333</v>
      </c>
    </row>
    <row r="101" customHeight="1" spans="1:18">
      <c r="A101" s="74"/>
      <c r="B101" s="60" t="s">
        <v>139</v>
      </c>
      <c r="C101" s="51">
        <v>20</v>
      </c>
      <c r="D101" s="51">
        <f t="shared" si="150"/>
        <v>2.22222222222222</v>
      </c>
      <c r="E101" s="51">
        <f t="shared" si="151"/>
        <v>2.22222222222222</v>
      </c>
      <c r="F101" s="51">
        <f t="shared" si="152"/>
        <v>2.22222222222222</v>
      </c>
      <c r="G101" s="51">
        <f t="shared" si="153"/>
        <v>2.22222222222222</v>
      </c>
      <c r="H101" s="51">
        <f t="shared" si="154"/>
        <v>2.22222222222222</v>
      </c>
      <c r="I101" s="51">
        <f t="shared" si="155"/>
        <v>2.22222222222222</v>
      </c>
      <c r="J101" s="51">
        <f t="shared" si="156"/>
        <v>2.22222222222222</v>
      </c>
      <c r="K101" s="51">
        <f t="shared" si="157"/>
        <v>2.22222222222222</v>
      </c>
      <c r="L101" s="51">
        <f t="shared" si="158"/>
        <v>2.22222222222222</v>
      </c>
      <c r="M101" s="88">
        <f t="shared" si="159"/>
        <v>2.22222222222222</v>
      </c>
      <c r="N101" s="88">
        <f t="shared" si="160"/>
        <v>2.22222222222222</v>
      </c>
      <c r="O101" s="88">
        <f t="shared" si="161"/>
        <v>2.22222222222222</v>
      </c>
      <c r="P101" s="86">
        <f t="shared" si="162"/>
        <v>26.6666666666667</v>
      </c>
      <c r="R101" s="93">
        <f t="shared" si="163"/>
        <v>26.6666666666667</v>
      </c>
    </row>
    <row r="102" customHeight="1" spans="1:18">
      <c r="A102" s="74"/>
      <c r="B102" s="60" t="s">
        <v>140</v>
      </c>
      <c r="C102" s="51">
        <v>2</v>
      </c>
      <c r="D102" s="51">
        <f t="shared" si="150"/>
        <v>0.222222222222222</v>
      </c>
      <c r="E102" s="51">
        <f t="shared" si="151"/>
        <v>0.222222222222222</v>
      </c>
      <c r="F102" s="51">
        <f t="shared" si="152"/>
        <v>0.222222222222222</v>
      </c>
      <c r="G102" s="51">
        <f t="shared" si="153"/>
        <v>0.222222222222222</v>
      </c>
      <c r="H102" s="51">
        <f t="shared" si="154"/>
        <v>0.222222222222222</v>
      </c>
      <c r="I102" s="51">
        <f t="shared" si="155"/>
        <v>0.222222222222222</v>
      </c>
      <c r="J102" s="51">
        <f t="shared" si="156"/>
        <v>0.222222222222222</v>
      </c>
      <c r="K102" s="51">
        <f t="shared" si="157"/>
        <v>0.222222222222222</v>
      </c>
      <c r="L102" s="51">
        <f t="shared" si="158"/>
        <v>0.222222222222222</v>
      </c>
      <c r="M102" s="88">
        <f t="shared" si="159"/>
        <v>0.222222222222222</v>
      </c>
      <c r="N102" s="88">
        <f t="shared" si="160"/>
        <v>0.222222222222222</v>
      </c>
      <c r="O102" s="88">
        <f t="shared" si="161"/>
        <v>0.222222222222222</v>
      </c>
      <c r="P102" s="86">
        <f t="shared" si="162"/>
        <v>2.66666666666667</v>
      </c>
      <c r="Q102" s="17">
        <v>470845.02</v>
      </c>
      <c r="R102" s="93">
        <f t="shared" si="163"/>
        <v>2.66666666666667</v>
      </c>
    </row>
    <row r="103" customHeight="1" spans="1:18">
      <c r="A103" s="74"/>
      <c r="B103" s="60" t="s">
        <v>141</v>
      </c>
      <c r="C103" s="51">
        <v>15</v>
      </c>
      <c r="D103" s="51">
        <f t="shared" si="150"/>
        <v>1.66666666666667</v>
      </c>
      <c r="E103" s="51">
        <f t="shared" si="151"/>
        <v>1.66666666666667</v>
      </c>
      <c r="F103" s="51">
        <f t="shared" si="152"/>
        <v>1.66666666666667</v>
      </c>
      <c r="G103" s="51">
        <f t="shared" si="153"/>
        <v>1.66666666666667</v>
      </c>
      <c r="H103" s="51">
        <f t="shared" si="154"/>
        <v>1.66666666666667</v>
      </c>
      <c r="I103" s="51">
        <f t="shared" si="155"/>
        <v>1.66666666666667</v>
      </c>
      <c r="J103" s="51">
        <f t="shared" si="156"/>
        <v>1.66666666666667</v>
      </c>
      <c r="K103" s="51">
        <f t="shared" si="157"/>
        <v>1.66666666666667</v>
      </c>
      <c r="L103" s="51">
        <f t="shared" si="158"/>
        <v>1.66666666666667</v>
      </c>
      <c r="M103" s="88">
        <f t="shared" si="159"/>
        <v>1.66666666666667</v>
      </c>
      <c r="N103" s="88">
        <f t="shared" si="160"/>
        <v>1.66666666666667</v>
      </c>
      <c r="O103" s="88">
        <f t="shared" si="161"/>
        <v>1.66666666666667</v>
      </c>
      <c r="P103" s="86">
        <f t="shared" si="162"/>
        <v>20</v>
      </c>
      <c r="R103" s="93">
        <f t="shared" si="163"/>
        <v>20</v>
      </c>
    </row>
    <row r="104" customHeight="1" spans="1:18">
      <c r="A104" s="74"/>
      <c r="B104" s="60" t="s">
        <v>142</v>
      </c>
      <c r="C104" s="51">
        <v>130</v>
      </c>
      <c r="D104" s="51">
        <f>制造费用2020!$G$23</f>
        <v>5.65478369767816</v>
      </c>
      <c r="E104" s="51">
        <f>制造费用2020!$G$23</f>
        <v>5.65478369767816</v>
      </c>
      <c r="F104" s="51">
        <f>制造费用2020!$G$23</f>
        <v>5.65478369767816</v>
      </c>
      <c r="G104" s="51">
        <f>制造费用2020!$G$23</f>
        <v>5.65478369767816</v>
      </c>
      <c r="H104" s="51">
        <f>制造费用2020!$G$23</f>
        <v>5.65478369767816</v>
      </c>
      <c r="I104" s="51">
        <f>制造费用2020!$G$23</f>
        <v>5.65478369767816</v>
      </c>
      <c r="J104" s="51">
        <f>制造费用2020!$G$23</f>
        <v>5.65478369767816</v>
      </c>
      <c r="K104" s="51">
        <f>制造费用2020!$G$23</f>
        <v>5.65478369767816</v>
      </c>
      <c r="L104" s="51">
        <f>制造费用2020!$G$23</f>
        <v>5.65478369767816</v>
      </c>
      <c r="M104" s="51">
        <f>制造费用2020!$G$23</f>
        <v>5.65478369767816</v>
      </c>
      <c r="N104" s="51">
        <f>制造费用2020!$G$23</f>
        <v>5.65478369767816</v>
      </c>
      <c r="O104" s="51">
        <f>制造费用2020!$G$23</f>
        <v>5.65478369767816</v>
      </c>
      <c r="P104" s="86">
        <f t="shared" si="162"/>
        <v>67.8574043721379</v>
      </c>
      <c r="R104" s="93">
        <f t="shared" si="163"/>
        <v>67.8574043721379</v>
      </c>
    </row>
    <row r="105" s="46" customFormat="1" customHeight="1" spans="1:18">
      <c r="A105" s="74"/>
      <c r="B105" s="76" t="s">
        <v>162</v>
      </c>
      <c r="C105" s="58">
        <f>SUM(C98:C104)</f>
        <v>370</v>
      </c>
      <c r="D105" s="58">
        <f>SUM(D98:D104)</f>
        <v>31.2803757119881</v>
      </c>
      <c r="E105" s="58">
        <f t="shared" ref="E105:L105" si="164">SUM(E98:E104)</f>
        <v>31.2803757119881</v>
      </c>
      <c r="F105" s="58">
        <f t="shared" si="164"/>
        <v>31.2803757119881</v>
      </c>
      <c r="G105" s="58">
        <f t="shared" si="164"/>
        <v>31.2803757119881</v>
      </c>
      <c r="H105" s="58">
        <f t="shared" si="164"/>
        <v>31.2803757119881</v>
      </c>
      <c r="I105" s="58">
        <f t="shared" si="164"/>
        <v>31.2803757119881</v>
      </c>
      <c r="J105" s="58">
        <f t="shared" si="164"/>
        <v>31.2803757119881</v>
      </c>
      <c r="K105" s="58">
        <f t="shared" si="164"/>
        <v>31.2803757119881</v>
      </c>
      <c r="L105" s="58">
        <f t="shared" si="164"/>
        <v>31.2803757119881</v>
      </c>
      <c r="M105" s="58">
        <f t="shared" ref="M105:O105" si="165">SUM(M98:M104)</f>
        <v>31.2803757119881</v>
      </c>
      <c r="N105" s="58">
        <f t="shared" si="165"/>
        <v>31.2803757119881</v>
      </c>
      <c r="O105" s="58">
        <f t="shared" si="165"/>
        <v>31.2803757119881</v>
      </c>
      <c r="P105" s="86">
        <f t="shared" si="162"/>
        <v>375.364508543857</v>
      </c>
      <c r="Q105" s="94">
        <f>R105/'2020回款及耗煤量'!O9</f>
        <v>470876.300375712</v>
      </c>
      <c r="R105" s="95">
        <f>SUM(R98:R104)+Q102*12</f>
        <v>5650515.60450854</v>
      </c>
    </row>
    <row r="106" customHeight="1" spans="1:16">
      <c r="A106" s="84" t="s">
        <v>5</v>
      </c>
      <c r="B106" s="84"/>
      <c r="C106" s="97">
        <f>C18+C33+C42+C50+C60+C67+C76+C85+C97+C105</f>
        <v>497026</v>
      </c>
      <c r="D106" s="97">
        <f>D18+D33+D42+D50+D60+D67+D76+D85+D97+D105</f>
        <v>23054.13357352</v>
      </c>
      <c r="E106" s="97">
        <f t="shared" ref="E106:P106" si="166">E18+E33+E42+E50+E60+E67+E76+E85+E97+E105</f>
        <v>23054.13357352</v>
      </c>
      <c r="F106" s="97">
        <f t="shared" si="166"/>
        <v>23054.13357352</v>
      </c>
      <c r="G106" s="97">
        <f t="shared" si="166"/>
        <v>23054.13357352</v>
      </c>
      <c r="H106" s="97">
        <f t="shared" si="166"/>
        <v>23054.13357352</v>
      </c>
      <c r="I106" s="97">
        <f t="shared" si="166"/>
        <v>23054.13357352</v>
      </c>
      <c r="J106" s="97">
        <f t="shared" si="166"/>
        <v>23054.13357352</v>
      </c>
      <c r="K106" s="97">
        <f t="shared" si="166"/>
        <v>23054.13357352</v>
      </c>
      <c r="L106" s="97">
        <f t="shared" si="166"/>
        <v>23054.13357352</v>
      </c>
      <c r="M106" s="97">
        <f t="shared" si="166"/>
        <v>23054.13357352</v>
      </c>
      <c r="N106" s="97">
        <f t="shared" si="166"/>
        <v>23054.13357352</v>
      </c>
      <c r="O106" s="97">
        <f t="shared" si="166"/>
        <v>23054.13357352</v>
      </c>
      <c r="P106" s="97">
        <f t="shared" si="166"/>
        <v>276649.60288224</v>
      </c>
    </row>
    <row r="107" customHeight="1" spans="3:1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3"/>
      <c r="N107" s="13"/>
      <c r="O107" s="13"/>
    </row>
    <row r="108" customHeight="1" spans="3:16">
      <c r="C108" s="98">
        <f>C104+C95+C83+C75+C66+C58+C48+C40+C31+C16</f>
        <v>3060</v>
      </c>
      <c r="M108" s="93"/>
      <c r="N108" s="93"/>
      <c r="O108" s="93"/>
      <c r="P108" s="93">
        <f>P104+P95+P83+P75+P66+P58+P48+P40+P31+P16</f>
        <v>18336.8410155731</v>
      </c>
    </row>
    <row r="109" customHeight="1" spans="4:16"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customHeight="1" spans="4:16"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customHeight="1" spans="4:16"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customHeight="1" spans="4:16"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</row>
    <row r="114" customFormat="1" customHeight="1" spans="4:16"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customFormat="1" customHeight="1" spans="4:16"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customFormat="1" customHeight="1" spans="4:16"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customFormat="1" customHeight="1" spans="4:16"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</row>
  </sheetData>
  <autoFilter ref="A2:R106">
    <extLst/>
  </autoFilter>
  <mergeCells count="12">
    <mergeCell ref="A1:P1"/>
    <mergeCell ref="A106:B106"/>
    <mergeCell ref="A3:A18"/>
    <mergeCell ref="A19:A33"/>
    <mergeCell ref="A34:A42"/>
    <mergeCell ref="A43:A50"/>
    <mergeCell ref="A51:A60"/>
    <mergeCell ref="A61:A67"/>
    <mergeCell ref="A68:A76"/>
    <mergeCell ref="A77:A85"/>
    <mergeCell ref="A86:A97"/>
    <mergeCell ref="A98:A105"/>
  </mergeCells>
  <pageMargins left="0.7" right="0.7" top="0.75" bottom="0.75" header="0.3" footer="0.3"/>
  <headerFooter/>
  <ignoredErrors>
    <ignoredError sqref="P51" formulaRange="1"/>
    <ignoredError sqref="D33:M33 N33:O33 M42:O42 D42 E42:L4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22" sqref="C22"/>
    </sheetView>
  </sheetViews>
  <sheetFormatPr defaultColWidth="8.25" defaultRowHeight="12"/>
  <cols>
    <col min="1" max="1" width="13.375" style="19" customWidth="1"/>
    <col min="2" max="10" width="15.125" style="19" customWidth="1"/>
    <col min="11" max="14" width="16.125" style="19" customWidth="1"/>
    <col min="15" max="15" width="12.25" style="19" customWidth="1"/>
    <col min="16" max="16384" width="8.25" style="19"/>
  </cols>
  <sheetData>
    <row r="1" spans="1:14">
      <c r="A1" s="20" t="s">
        <v>1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37" t="s">
        <v>48</v>
      </c>
    </row>
    <row r="2" spans="1:14">
      <c r="A2" s="153" t="s">
        <v>202</v>
      </c>
      <c r="B2" s="23">
        <v>100</v>
      </c>
      <c r="C2" s="23">
        <v>120</v>
      </c>
      <c r="D2" s="23">
        <v>170</v>
      </c>
      <c r="E2" s="23">
        <v>130</v>
      </c>
      <c r="F2" s="23">
        <v>130</v>
      </c>
      <c r="G2" s="23">
        <v>250</v>
      </c>
      <c r="H2" s="23">
        <v>190</v>
      </c>
      <c r="I2" s="23">
        <v>170</v>
      </c>
      <c r="J2" s="23">
        <v>180</v>
      </c>
      <c r="K2" s="23">
        <v>190</v>
      </c>
      <c r="L2" s="23">
        <v>180</v>
      </c>
      <c r="M2" s="23">
        <v>150</v>
      </c>
      <c r="N2" s="38">
        <f>SUM(B2:M2)</f>
        <v>1960</v>
      </c>
    </row>
    <row r="3" spans="1:14">
      <c r="A3" s="153" t="s">
        <v>75</v>
      </c>
      <c r="B3" s="23">
        <v>120</v>
      </c>
      <c r="C3" s="23">
        <v>50</v>
      </c>
      <c r="D3" s="23">
        <v>15</v>
      </c>
      <c r="E3" s="23">
        <v>50</v>
      </c>
      <c r="F3" s="23">
        <v>7</v>
      </c>
      <c r="G3" s="23">
        <v>5</v>
      </c>
      <c r="H3" s="23">
        <v>16</v>
      </c>
      <c r="I3" s="23">
        <v>10</v>
      </c>
      <c r="J3" s="23">
        <v>40</v>
      </c>
      <c r="K3" s="23">
        <v>20</v>
      </c>
      <c r="L3" s="23">
        <v>2</v>
      </c>
      <c r="M3" s="23">
        <v>60</v>
      </c>
      <c r="N3" s="38">
        <f t="shared" ref="N3:N25" si="0">SUM(B3:M3)</f>
        <v>395</v>
      </c>
    </row>
    <row r="4" spans="1:14">
      <c r="A4" s="153" t="s">
        <v>76</v>
      </c>
      <c r="B4" s="23">
        <v>6</v>
      </c>
      <c r="C4" s="23">
        <v>6</v>
      </c>
      <c r="D4" s="23">
        <v>6</v>
      </c>
      <c r="E4" s="23">
        <v>6</v>
      </c>
      <c r="F4" s="23">
        <v>6</v>
      </c>
      <c r="G4" s="23">
        <v>6</v>
      </c>
      <c r="H4" s="23">
        <v>6</v>
      </c>
      <c r="I4" s="23">
        <v>6</v>
      </c>
      <c r="J4" s="23">
        <v>6</v>
      </c>
      <c r="K4" s="23">
        <v>6</v>
      </c>
      <c r="L4" s="23">
        <v>6</v>
      </c>
      <c r="M4" s="23">
        <v>6</v>
      </c>
      <c r="N4" s="38">
        <f t="shared" si="0"/>
        <v>72</v>
      </c>
    </row>
    <row r="5" spans="1:14">
      <c r="A5" s="153" t="s">
        <v>203</v>
      </c>
      <c r="B5" s="23">
        <v>2</v>
      </c>
      <c r="C5" s="23">
        <v>2</v>
      </c>
      <c r="D5" s="23">
        <v>2</v>
      </c>
      <c r="E5" s="23">
        <v>2</v>
      </c>
      <c r="F5" s="23">
        <v>2</v>
      </c>
      <c r="G5" s="23">
        <v>2</v>
      </c>
      <c r="H5" s="23">
        <v>2</v>
      </c>
      <c r="I5" s="23">
        <v>2</v>
      </c>
      <c r="J5" s="23">
        <v>2</v>
      </c>
      <c r="K5" s="23">
        <v>2</v>
      </c>
      <c r="L5" s="23">
        <v>2</v>
      </c>
      <c r="M5" s="23">
        <v>2</v>
      </c>
      <c r="N5" s="38">
        <f t="shared" si="0"/>
        <v>24</v>
      </c>
    </row>
    <row r="6" spans="1:14">
      <c r="A6" s="153" t="s">
        <v>78</v>
      </c>
      <c r="B6" s="23">
        <v>1</v>
      </c>
      <c r="C6" s="23">
        <v>1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38">
        <f t="shared" si="0"/>
        <v>12</v>
      </c>
    </row>
    <row r="7" spans="1:14">
      <c r="A7" s="153" t="s">
        <v>79</v>
      </c>
      <c r="B7" s="23">
        <v>0.5</v>
      </c>
      <c r="C7" s="23">
        <v>0.5</v>
      </c>
      <c r="D7" s="23">
        <v>0.5</v>
      </c>
      <c r="E7" s="23">
        <v>0.5</v>
      </c>
      <c r="F7" s="23">
        <v>0.5</v>
      </c>
      <c r="G7" s="23">
        <v>0.5</v>
      </c>
      <c r="H7" s="23">
        <v>0.5</v>
      </c>
      <c r="I7" s="23">
        <v>0.5</v>
      </c>
      <c r="J7" s="23">
        <v>0.5</v>
      </c>
      <c r="K7" s="23">
        <v>0.5</v>
      </c>
      <c r="L7" s="23">
        <v>0.5</v>
      </c>
      <c r="M7" s="23">
        <v>0.5</v>
      </c>
      <c r="N7" s="38">
        <f t="shared" si="0"/>
        <v>6</v>
      </c>
    </row>
    <row r="8" spans="1:14">
      <c r="A8" s="153" t="s">
        <v>80</v>
      </c>
      <c r="B8" s="23">
        <v>0.5</v>
      </c>
      <c r="C8" s="23">
        <v>0.5</v>
      </c>
      <c r="D8" s="23">
        <v>0.5</v>
      </c>
      <c r="E8" s="23">
        <v>0.5</v>
      </c>
      <c r="F8" s="23">
        <v>0.5</v>
      </c>
      <c r="G8" s="23">
        <v>0.5</v>
      </c>
      <c r="H8" s="23">
        <v>0.5</v>
      </c>
      <c r="I8" s="23">
        <v>0.5</v>
      </c>
      <c r="J8" s="23">
        <v>0.5</v>
      </c>
      <c r="K8" s="23">
        <v>0.5</v>
      </c>
      <c r="L8" s="23">
        <v>0.5</v>
      </c>
      <c r="M8" s="23">
        <v>0.5</v>
      </c>
      <c r="N8" s="38">
        <f t="shared" si="0"/>
        <v>6</v>
      </c>
    </row>
    <row r="9" spans="1:14">
      <c r="A9" s="153" t="s">
        <v>81</v>
      </c>
      <c r="B9" s="23">
        <v>3</v>
      </c>
      <c r="C9" s="23">
        <v>1</v>
      </c>
      <c r="D9" s="23">
        <v>5</v>
      </c>
      <c r="E9" s="23">
        <v>8</v>
      </c>
      <c r="F9" s="23">
        <v>5</v>
      </c>
      <c r="G9" s="23">
        <v>4</v>
      </c>
      <c r="H9" s="23">
        <v>13</v>
      </c>
      <c r="I9" s="23">
        <v>15</v>
      </c>
      <c r="J9" s="23">
        <v>30</v>
      </c>
      <c r="K9" s="23">
        <v>15</v>
      </c>
      <c r="L9" s="23">
        <v>120</v>
      </c>
      <c r="M9" s="23">
        <v>12</v>
      </c>
      <c r="N9" s="38">
        <f t="shared" si="0"/>
        <v>231</v>
      </c>
    </row>
    <row r="10" spans="1:14">
      <c r="A10" s="153" t="s">
        <v>82</v>
      </c>
      <c r="B10" s="23">
        <v>8</v>
      </c>
      <c r="C10" s="23">
        <v>8</v>
      </c>
      <c r="D10" s="23">
        <v>9</v>
      </c>
      <c r="E10" s="23">
        <v>10</v>
      </c>
      <c r="F10" s="23">
        <v>13</v>
      </c>
      <c r="G10" s="23">
        <v>10</v>
      </c>
      <c r="H10" s="23">
        <v>20</v>
      </c>
      <c r="I10" s="23">
        <v>15</v>
      </c>
      <c r="J10" s="23">
        <v>20</v>
      </c>
      <c r="K10" s="23">
        <v>50</v>
      </c>
      <c r="L10" s="23">
        <v>10</v>
      </c>
      <c r="M10" s="23">
        <v>30</v>
      </c>
      <c r="N10" s="38">
        <f t="shared" si="0"/>
        <v>203</v>
      </c>
    </row>
    <row r="11" spans="1:14">
      <c r="A11" s="153" t="s">
        <v>83</v>
      </c>
      <c r="B11" s="23">
        <v>130</v>
      </c>
      <c r="C11" s="23">
        <v>70</v>
      </c>
      <c r="D11" s="23">
        <v>50</v>
      </c>
      <c r="E11" s="23">
        <v>130</v>
      </c>
      <c r="F11" s="23">
        <v>110</v>
      </c>
      <c r="G11" s="23">
        <v>150</v>
      </c>
      <c r="H11" s="23">
        <v>140</v>
      </c>
      <c r="I11" s="23">
        <v>90</v>
      </c>
      <c r="J11" s="23">
        <v>200</v>
      </c>
      <c r="K11" s="23">
        <v>180</v>
      </c>
      <c r="L11" s="23">
        <v>280</v>
      </c>
      <c r="M11" s="23">
        <v>190</v>
      </c>
      <c r="N11" s="38">
        <f t="shared" si="0"/>
        <v>1720</v>
      </c>
    </row>
    <row r="12" spans="1:14">
      <c r="A12" s="153" t="s">
        <v>84</v>
      </c>
      <c r="B12" s="23">
        <v>20</v>
      </c>
      <c r="C12" s="23">
        <v>6</v>
      </c>
      <c r="D12" s="23">
        <v>10</v>
      </c>
      <c r="E12" s="23">
        <v>12</v>
      </c>
      <c r="F12" s="23">
        <v>14</v>
      </c>
      <c r="G12" s="23">
        <v>9</v>
      </c>
      <c r="H12" s="23">
        <v>13</v>
      </c>
      <c r="I12" s="23">
        <v>15</v>
      </c>
      <c r="J12" s="23">
        <v>6</v>
      </c>
      <c r="K12" s="23">
        <v>15</v>
      </c>
      <c r="L12" s="23">
        <v>7</v>
      </c>
      <c r="M12" s="23">
        <v>7</v>
      </c>
      <c r="N12" s="38">
        <f t="shared" si="0"/>
        <v>134</v>
      </c>
    </row>
    <row r="13" spans="1:14">
      <c r="A13" s="153" t="s">
        <v>85</v>
      </c>
      <c r="B13" s="23">
        <v>180</v>
      </c>
      <c r="C13" s="23">
        <v>3</v>
      </c>
      <c r="D13" s="23">
        <v>0</v>
      </c>
      <c r="E13" s="23">
        <v>10</v>
      </c>
      <c r="F13" s="23">
        <v>50</v>
      </c>
      <c r="G13" s="23">
        <v>6</v>
      </c>
      <c r="H13" s="23">
        <v>5</v>
      </c>
      <c r="I13" s="23">
        <v>10</v>
      </c>
      <c r="J13" s="23">
        <v>10</v>
      </c>
      <c r="K13" s="23">
        <v>6</v>
      </c>
      <c r="L13" s="23">
        <v>2</v>
      </c>
      <c r="M13" s="23">
        <v>80</v>
      </c>
      <c r="N13" s="38">
        <f t="shared" si="0"/>
        <v>362</v>
      </c>
    </row>
    <row r="14" spans="1:14">
      <c r="A14" s="153" t="s">
        <v>86</v>
      </c>
      <c r="B14" s="23">
        <v>11</v>
      </c>
      <c r="C14" s="23">
        <v>1</v>
      </c>
      <c r="D14" s="23">
        <v>1</v>
      </c>
      <c r="E14" s="23">
        <v>1</v>
      </c>
      <c r="F14" s="23">
        <v>1</v>
      </c>
      <c r="G14" s="23">
        <v>0.7</v>
      </c>
      <c r="H14" s="23">
        <v>0.8</v>
      </c>
      <c r="I14" s="23">
        <v>0.6</v>
      </c>
      <c r="J14" s="23">
        <v>0.8</v>
      </c>
      <c r="K14" s="23">
        <v>0.7</v>
      </c>
      <c r="L14" s="23">
        <v>2</v>
      </c>
      <c r="M14" s="23">
        <v>1</v>
      </c>
      <c r="N14" s="38">
        <f t="shared" si="0"/>
        <v>21.6</v>
      </c>
    </row>
    <row r="15" spans="1:14">
      <c r="A15" s="153" t="s">
        <v>87</v>
      </c>
      <c r="B15" s="23">
        <v>30</v>
      </c>
      <c r="C15" s="23">
        <v>3</v>
      </c>
      <c r="D15" s="23">
        <v>30</v>
      </c>
      <c r="E15" s="23">
        <v>16</v>
      </c>
      <c r="F15" s="23">
        <v>20</v>
      </c>
      <c r="G15" s="23">
        <v>5</v>
      </c>
      <c r="H15" s="23">
        <v>20</v>
      </c>
      <c r="I15" s="23">
        <v>10</v>
      </c>
      <c r="J15" s="23">
        <v>20</v>
      </c>
      <c r="K15" s="23">
        <v>25</v>
      </c>
      <c r="L15" s="23">
        <v>16</v>
      </c>
      <c r="M15" s="23">
        <v>50</v>
      </c>
      <c r="N15" s="38">
        <f t="shared" si="0"/>
        <v>245</v>
      </c>
    </row>
    <row r="16" spans="1:14">
      <c r="A16" s="153" t="s">
        <v>88</v>
      </c>
      <c r="B16" s="23"/>
      <c r="C16" s="23">
        <v>10</v>
      </c>
      <c r="D16" s="23">
        <v>80</v>
      </c>
      <c r="E16" s="23">
        <v>20</v>
      </c>
      <c r="F16" s="23">
        <v>0.4</v>
      </c>
      <c r="G16" s="23">
        <v>70</v>
      </c>
      <c r="H16" s="23">
        <v>30</v>
      </c>
      <c r="I16" s="23">
        <v>10</v>
      </c>
      <c r="J16" s="23">
        <v>110</v>
      </c>
      <c r="K16" s="23">
        <v>0</v>
      </c>
      <c r="L16" s="23">
        <v>0</v>
      </c>
      <c r="M16" s="23">
        <v>2</v>
      </c>
      <c r="N16" s="38">
        <f t="shared" si="0"/>
        <v>332.4</v>
      </c>
    </row>
    <row r="17" spans="1:14">
      <c r="A17" s="153" t="s">
        <v>204</v>
      </c>
      <c r="B17" s="23"/>
      <c r="C17" s="23">
        <v>40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38">
        <f t="shared" si="0"/>
        <v>40</v>
      </c>
    </row>
    <row r="18" spans="1:14">
      <c r="A18" s="153" t="s">
        <v>90</v>
      </c>
      <c r="B18" s="23"/>
      <c r="C18" s="23">
        <v>1</v>
      </c>
      <c r="D18" s="23">
        <v>0.1</v>
      </c>
      <c r="E18" s="23">
        <v>0.3</v>
      </c>
      <c r="F18" s="23">
        <v>0.1</v>
      </c>
      <c r="G18" s="23">
        <v>0.4</v>
      </c>
      <c r="H18" s="23">
        <v>0.2</v>
      </c>
      <c r="I18" s="23">
        <v>0</v>
      </c>
      <c r="J18" s="23">
        <v>0.3</v>
      </c>
      <c r="K18" s="23">
        <v>0</v>
      </c>
      <c r="L18" s="23">
        <v>0</v>
      </c>
      <c r="M18" s="23">
        <v>0</v>
      </c>
      <c r="N18" s="38">
        <f t="shared" si="0"/>
        <v>2.4</v>
      </c>
    </row>
    <row r="19" spans="1:14">
      <c r="A19" s="153" t="s">
        <v>91</v>
      </c>
      <c r="B19" s="23">
        <v>10</v>
      </c>
      <c r="C19" s="23">
        <v>8</v>
      </c>
      <c r="D19" s="23">
        <v>9</v>
      </c>
      <c r="E19" s="23">
        <v>7</v>
      </c>
      <c r="F19" s="23">
        <v>10</v>
      </c>
      <c r="G19" s="23">
        <v>8</v>
      </c>
      <c r="H19" s="23">
        <v>8</v>
      </c>
      <c r="I19" s="23">
        <v>7</v>
      </c>
      <c r="J19" s="23">
        <v>8</v>
      </c>
      <c r="K19" s="23">
        <v>8</v>
      </c>
      <c r="L19" s="23">
        <v>9</v>
      </c>
      <c r="M19" s="23">
        <v>9</v>
      </c>
      <c r="N19" s="38">
        <f t="shared" si="0"/>
        <v>101</v>
      </c>
    </row>
    <row r="20" spans="1:14">
      <c r="A20" s="153" t="s">
        <v>205</v>
      </c>
      <c r="B20" s="23">
        <v>100</v>
      </c>
      <c r="C20" s="23">
        <v>90</v>
      </c>
      <c r="D20" s="23">
        <v>50</v>
      </c>
      <c r="E20" s="23">
        <v>20</v>
      </c>
      <c r="F20" s="23">
        <v>15</v>
      </c>
      <c r="G20" s="23">
        <v>9</v>
      </c>
      <c r="H20" s="23">
        <v>12</v>
      </c>
      <c r="I20" s="23">
        <v>16</v>
      </c>
      <c r="J20" s="23">
        <v>22</v>
      </c>
      <c r="K20" s="23">
        <v>40</v>
      </c>
      <c r="L20" s="23">
        <v>80</v>
      </c>
      <c r="M20" s="23">
        <v>100</v>
      </c>
      <c r="N20" s="38">
        <f t="shared" si="0"/>
        <v>554</v>
      </c>
    </row>
    <row r="21" spans="1:14">
      <c r="A21" s="153" t="s">
        <v>94</v>
      </c>
      <c r="B21" s="23">
        <v>6</v>
      </c>
      <c r="C21" s="23">
        <v>2</v>
      </c>
      <c r="D21" s="23">
        <v>0</v>
      </c>
      <c r="E21" s="23">
        <v>1</v>
      </c>
      <c r="F21" s="23">
        <v>6</v>
      </c>
      <c r="G21" s="23">
        <v>4</v>
      </c>
      <c r="H21" s="23">
        <v>16</v>
      </c>
      <c r="I21" s="23">
        <v>2</v>
      </c>
      <c r="J21" s="23">
        <v>2</v>
      </c>
      <c r="K21" s="23">
        <v>1</v>
      </c>
      <c r="L21" s="23">
        <v>12</v>
      </c>
      <c r="M21" s="23">
        <v>30</v>
      </c>
      <c r="N21" s="38">
        <f t="shared" si="0"/>
        <v>82</v>
      </c>
    </row>
    <row r="22" spans="1:14">
      <c r="A22" s="153" t="s">
        <v>95</v>
      </c>
      <c r="B22" s="24">
        <f>'2020回款及耗煤量'!$AT$14</f>
        <v>1016142.37525462</v>
      </c>
      <c r="C22" s="24">
        <f>'2020回款及耗煤量'!$AT$14</f>
        <v>1016142.37525462</v>
      </c>
      <c r="D22" s="24">
        <f>'2020回款及耗煤量'!$AT$14</f>
        <v>1016142.37525462</v>
      </c>
      <c r="E22" s="24">
        <f>'2020回款及耗煤量'!$AT$14</f>
        <v>1016142.37525462</v>
      </c>
      <c r="F22" s="24">
        <f>'2020回款及耗煤量'!$AT$14</f>
        <v>1016142.37525462</v>
      </c>
      <c r="G22" s="24">
        <f>'2020回款及耗煤量'!$AT$14</f>
        <v>1016142.37525462</v>
      </c>
      <c r="H22" s="24">
        <f>'2020回款及耗煤量'!$AT$14</f>
        <v>1016142.37525462</v>
      </c>
      <c r="I22" s="24">
        <f>'2020回款及耗煤量'!$AT$14</f>
        <v>1016142.37525462</v>
      </c>
      <c r="J22" s="24">
        <f>'2020回款及耗煤量'!$AT$14</f>
        <v>1016142.37525462</v>
      </c>
      <c r="K22" s="24">
        <f>'2020回款及耗煤量'!$AT$14</f>
        <v>1016142.37525462</v>
      </c>
      <c r="L22" s="24">
        <f>'2020回款及耗煤量'!$AT$14</f>
        <v>1016142.37525462</v>
      </c>
      <c r="M22" s="24">
        <f>'2020回款及耗煤量'!$AT$14</f>
        <v>1016142.37525462</v>
      </c>
      <c r="N22" s="38">
        <f t="shared" si="0"/>
        <v>12193708.5030554</v>
      </c>
    </row>
    <row r="23" spans="1:14">
      <c r="A23" s="153" t="s">
        <v>206</v>
      </c>
      <c r="B23" s="23">
        <v>109</v>
      </c>
      <c r="C23" s="23">
        <v>94</v>
      </c>
      <c r="D23" s="23">
        <v>94</v>
      </c>
      <c r="E23" s="23">
        <v>94</v>
      </c>
      <c r="F23" s="23">
        <v>100</v>
      </c>
      <c r="G23" s="23">
        <v>94</v>
      </c>
      <c r="H23" s="23">
        <v>100</v>
      </c>
      <c r="I23" s="23">
        <v>94</v>
      </c>
      <c r="J23" s="23">
        <v>100</v>
      </c>
      <c r="K23" s="23">
        <v>94</v>
      </c>
      <c r="L23" s="23">
        <v>94</v>
      </c>
      <c r="M23" s="23">
        <v>94</v>
      </c>
      <c r="N23" s="38">
        <f t="shared" si="0"/>
        <v>1161</v>
      </c>
    </row>
    <row r="24" spans="1:14">
      <c r="A24" s="153" t="s">
        <v>207</v>
      </c>
      <c r="B24" s="23">
        <v>28</v>
      </c>
      <c r="C24" s="23">
        <v>18</v>
      </c>
      <c r="D24" s="23"/>
      <c r="E24" s="23">
        <v>25</v>
      </c>
      <c r="F24" s="23">
        <v>150</v>
      </c>
      <c r="G24" s="23">
        <v>50</v>
      </c>
      <c r="H24" s="23">
        <v>170</v>
      </c>
      <c r="I24" s="23">
        <v>40</v>
      </c>
      <c r="J24" s="23">
        <v>70</v>
      </c>
      <c r="K24" s="23">
        <v>50</v>
      </c>
      <c r="L24" s="23">
        <v>100</v>
      </c>
      <c r="M24" s="23">
        <v>250</v>
      </c>
      <c r="N24" s="38">
        <f t="shared" si="0"/>
        <v>951</v>
      </c>
    </row>
    <row r="25" ht="12.75" spans="1:14">
      <c r="A25" s="25" t="s">
        <v>98</v>
      </c>
      <c r="B25" s="26">
        <f>SUM(B2:B24)</f>
        <v>1017007.37525462</v>
      </c>
      <c r="C25" s="26">
        <f t="shared" ref="C25:M25" si="1">SUM(C2:C24)</f>
        <v>1016677.37525462</v>
      </c>
      <c r="D25" s="26">
        <f t="shared" si="1"/>
        <v>1016675.47525462</v>
      </c>
      <c r="E25" s="26">
        <f t="shared" si="1"/>
        <v>1016686.67525462</v>
      </c>
      <c r="F25" s="26">
        <f t="shared" si="1"/>
        <v>1016783.87525462</v>
      </c>
      <c r="G25" s="26">
        <f t="shared" si="1"/>
        <v>1016827.47525462</v>
      </c>
      <c r="H25" s="26">
        <f t="shared" si="1"/>
        <v>1016906.37525462</v>
      </c>
      <c r="I25" s="26">
        <f t="shared" si="1"/>
        <v>1016656.97525462</v>
      </c>
      <c r="J25" s="26">
        <f t="shared" si="1"/>
        <v>1016971.47525462</v>
      </c>
      <c r="K25" s="26">
        <f t="shared" si="1"/>
        <v>1016847.07525462</v>
      </c>
      <c r="L25" s="26">
        <f t="shared" si="1"/>
        <v>1017066.37525462</v>
      </c>
      <c r="M25" s="26">
        <f t="shared" si="1"/>
        <v>1017217.37525462</v>
      </c>
      <c r="N25" s="39">
        <f t="shared" si="0"/>
        <v>12202323.9030554</v>
      </c>
    </row>
    <row r="26" ht="12.75" spans="1:14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40"/>
    </row>
    <row r="27" spans="1:14">
      <c r="A27" s="20" t="s">
        <v>99</v>
      </c>
      <c r="B27" s="28">
        <v>18</v>
      </c>
      <c r="C27" s="28">
        <v>20</v>
      </c>
      <c r="D27" s="28">
        <v>20</v>
      </c>
      <c r="E27" s="28">
        <v>20</v>
      </c>
      <c r="F27" s="28">
        <v>20</v>
      </c>
      <c r="G27" s="28">
        <v>20</v>
      </c>
      <c r="H27" s="28">
        <v>20</v>
      </c>
      <c r="I27" s="28">
        <v>20</v>
      </c>
      <c r="J27" s="28">
        <v>20</v>
      </c>
      <c r="K27" s="28">
        <v>20</v>
      </c>
      <c r="L27" s="28">
        <v>20</v>
      </c>
      <c r="M27" s="28">
        <v>20</v>
      </c>
      <c r="N27" s="41">
        <f>SUM(B27:M27)</f>
        <v>238</v>
      </c>
    </row>
    <row r="28" spans="1:14">
      <c r="A28" s="29" t="s">
        <v>100</v>
      </c>
      <c r="B28" s="30">
        <v>30</v>
      </c>
      <c r="C28" s="30">
        <v>4</v>
      </c>
      <c r="D28" s="30">
        <v>9</v>
      </c>
      <c r="E28" s="30">
        <v>15</v>
      </c>
      <c r="F28" s="30">
        <v>20</v>
      </c>
      <c r="G28" s="30">
        <v>12</v>
      </c>
      <c r="H28" s="30">
        <v>10</v>
      </c>
      <c r="I28" s="30">
        <v>8</v>
      </c>
      <c r="J28" s="30">
        <v>25</v>
      </c>
      <c r="K28" s="30">
        <v>10</v>
      </c>
      <c r="L28" s="30">
        <v>10</v>
      </c>
      <c r="M28" s="30">
        <v>18</v>
      </c>
      <c r="N28" s="42">
        <f>SUM(B28:M28)</f>
        <v>171</v>
      </c>
    </row>
    <row r="29" s="19" customFormat="1" spans="1:14">
      <c r="A29" s="29" t="s">
        <v>101</v>
      </c>
      <c r="B29" s="30">
        <v>0.1</v>
      </c>
      <c r="C29" s="30">
        <v>0.2</v>
      </c>
      <c r="D29" s="30">
        <v>0.1</v>
      </c>
      <c r="E29" s="30">
        <v>0.3</v>
      </c>
      <c r="F29" s="30">
        <v>1</v>
      </c>
      <c r="G29" s="30">
        <v>0.4</v>
      </c>
      <c r="H29" s="30">
        <v>0.2</v>
      </c>
      <c r="I29" s="30">
        <v>2.3</v>
      </c>
      <c r="J29" s="30">
        <v>0.3</v>
      </c>
      <c r="K29" s="30">
        <v>0.4</v>
      </c>
      <c r="L29" s="30">
        <v>0</v>
      </c>
      <c r="M29" s="30">
        <v>0.5</v>
      </c>
      <c r="N29" s="42">
        <f>SUM(B29:M29)</f>
        <v>5.8</v>
      </c>
    </row>
    <row r="30" s="19" customFormat="1" spans="1:14">
      <c r="A30" s="29" t="s">
        <v>102</v>
      </c>
      <c r="B30" s="31">
        <f>'2020回款及耗煤量'!AB31</f>
        <v>44.547</v>
      </c>
      <c r="C30" s="31">
        <f>'2020回款及耗煤量'!AC31</f>
        <v>44.547</v>
      </c>
      <c r="D30" s="31">
        <f>'2020回款及耗煤量'!AD31</f>
        <v>44.547</v>
      </c>
      <c r="E30" s="31">
        <f>'2020回款及耗煤量'!AE31</f>
        <v>44.547</v>
      </c>
      <c r="F30" s="31">
        <f>'2020回款及耗煤量'!AF31</f>
        <v>44.547</v>
      </c>
      <c r="G30" s="31">
        <f>'2020回款及耗煤量'!AG31</f>
        <v>44.547</v>
      </c>
      <c r="H30" s="31">
        <f>'2020回款及耗煤量'!AH31</f>
        <v>44.547</v>
      </c>
      <c r="I30" s="31">
        <f>'2020回款及耗煤量'!AI31</f>
        <v>44.547</v>
      </c>
      <c r="J30" s="31">
        <f>'2020回款及耗煤量'!AJ31</f>
        <v>44.547</v>
      </c>
      <c r="K30" s="31">
        <f>'2020回款及耗煤量'!AK31</f>
        <v>44.547</v>
      </c>
      <c r="L30" s="31">
        <f>'2020回款及耗煤量'!AL31</f>
        <v>44.547</v>
      </c>
      <c r="M30" s="31">
        <f>'2020回款及耗煤量'!AM31</f>
        <v>44.547</v>
      </c>
      <c r="N30" s="42">
        <f t="shared" ref="N30:N34" si="2">SUM(B30:M30)</f>
        <v>534.564</v>
      </c>
    </row>
    <row r="31" spans="1:14">
      <c r="A31" s="29" t="s">
        <v>103</v>
      </c>
      <c r="B31" s="30">
        <f>10000*6.5</f>
        <v>65000</v>
      </c>
      <c r="C31" s="30">
        <f>10000*6.5</f>
        <v>65000</v>
      </c>
      <c r="D31" s="30">
        <f>10000*6.5</f>
        <v>65000</v>
      </c>
      <c r="E31" s="30">
        <f t="shared" ref="E31:K31" si="3">15000*6.5</f>
        <v>97500</v>
      </c>
      <c r="F31" s="30">
        <f t="shared" si="3"/>
        <v>97500</v>
      </c>
      <c r="G31" s="30">
        <f t="shared" si="3"/>
        <v>97500</v>
      </c>
      <c r="H31" s="30">
        <f t="shared" si="3"/>
        <v>97500</v>
      </c>
      <c r="I31" s="30">
        <f t="shared" si="3"/>
        <v>97500</v>
      </c>
      <c r="J31" s="30">
        <f t="shared" si="3"/>
        <v>97500</v>
      </c>
      <c r="K31" s="30">
        <f t="shared" si="3"/>
        <v>97500</v>
      </c>
      <c r="L31" s="30">
        <f>10000*6.5</f>
        <v>65000</v>
      </c>
      <c r="M31" s="30">
        <f>10000*6.5</f>
        <v>65000</v>
      </c>
      <c r="N31" s="42">
        <f t="shared" si="2"/>
        <v>1007500</v>
      </c>
    </row>
    <row r="32" spans="1:14">
      <c r="A32" s="29" t="s">
        <v>104</v>
      </c>
      <c r="B32" s="30">
        <f t="shared" ref="B32:M32" si="4">20000*26</f>
        <v>520000</v>
      </c>
      <c r="C32" s="30">
        <f t="shared" si="4"/>
        <v>520000</v>
      </c>
      <c r="D32" s="30">
        <f t="shared" si="4"/>
        <v>520000</v>
      </c>
      <c r="E32" s="30">
        <f t="shared" si="4"/>
        <v>520000</v>
      </c>
      <c r="F32" s="30">
        <f t="shared" si="4"/>
        <v>520000</v>
      </c>
      <c r="G32" s="30">
        <f t="shared" si="4"/>
        <v>520000</v>
      </c>
      <c r="H32" s="30">
        <f t="shared" si="4"/>
        <v>520000</v>
      </c>
      <c r="I32" s="30">
        <f t="shared" si="4"/>
        <v>520000</v>
      </c>
      <c r="J32" s="30">
        <f t="shared" si="4"/>
        <v>520000</v>
      </c>
      <c r="K32" s="30">
        <f t="shared" si="4"/>
        <v>520000</v>
      </c>
      <c r="L32" s="30">
        <f t="shared" si="4"/>
        <v>520000</v>
      </c>
      <c r="M32" s="30">
        <f t="shared" si="4"/>
        <v>520000</v>
      </c>
      <c r="N32" s="42">
        <f t="shared" si="2"/>
        <v>6240000</v>
      </c>
    </row>
    <row r="33" spans="1:14">
      <c r="A33" s="29" t="s">
        <v>105</v>
      </c>
      <c r="B33" s="30">
        <f t="shared" ref="B33:M33" si="5">20000*4</f>
        <v>80000</v>
      </c>
      <c r="C33" s="30">
        <f t="shared" si="5"/>
        <v>80000</v>
      </c>
      <c r="D33" s="30">
        <f t="shared" si="5"/>
        <v>80000</v>
      </c>
      <c r="E33" s="30">
        <f t="shared" si="5"/>
        <v>80000</v>
      </c>
      <c r="F33" s="30">
        <f t="shared" si="5"/>
        <v>80000</v>
      </c>
      <c r="G33" s="30">
        <f t="shared" si="5"/>
        <v>80000</v>
      </c>
      <c r="H33" s="30">
        <f t="shared" si="5"/>
        <v>80000</v>
      </c>
      <c r="I33" s="30">
        <f t="shared" si="5"/>
        <v>80000</v>
      </c>
      <c r="J33" s="30">
        <f t="shared" si="5"/>
        <v>80000</v>
      </c>
      <c r="K33" s="30">
        <f t="shared" si="5"/>
        <v>80000</v>
      </c>
      <c r="L33" s="30">
        <f t="shared" si="5"/>
        <v>80000</v>
      </c>
      <c r="M33" s="30">
        <f t="shared" si="5"/>
        <v>80000</v>
      </c>
      <c r="N33" s="42">
        <f t="shared" si="2"/>
        <v>960000</v>
      </c>
    </row>
    <row r="34" ht="12.75" spans="1:14">
      <c r="A34" s="32" t="s">
        <v>106</v>
      </c>
      <c r="B34" s="33">
        <f>SUM(B27:B33)</f>
        <v>665092.647</v>
      </c>
      <c r="C34" s="33">
        <f t="shared" ref="C34:K34" si="6">SUM(C27:C33)</f>
        <v>665068.747</v>
      </c>
      <c r="D34" s="33">
        <f t="shared" si="6"/>
        <v>665073.647</v>
      </c>
      <c r="E34" s="33">
        <f t="shared" si="6"/>
        <v>697579.847</v>
      </c>
      <c r="F34" s="33">
        <f t="shared" si="6"/>
        <v>697585.547</v>
      </c>
      <c r="G34" s="33">
        <f t="shared" si="6"/>
        <v>697576.947</v>
      </c>
      <c r="H34" s="33">
        <f t="shared" si="6"/>
        <v>697574.747</v>
      </c>
      <c r="I34" s="33">
        <f t="shared" si="6"/>
        <v>697574.847</v>
      </c>
      <c r="J34" s="33">
        <f t="shared" si="6"/>
        <v>697589.847</v>
      </c>
      <c r="K34" s="26">
        <f t="shared" si="6"/>
        <v>697574.947</v>
      </c>
      <c r="L34" s="26">
        <f t="shared" ref="L34:M34" si="7">SUM(L27:L33)</f>
        <v>665074.547</v>
      </c>
      <c r="M34" s="26">
        <f t="shared" si="7"/>
        <v>665083.047</v>
      </c>
      <c r="N34" s="42">
        <f t="shared" si="2"/>
        <v>8208449.364</v>
      </c>
    </row>
    <row r="35" spans="3:14">
      <c r="C35" s="30"/>
      <c r="K35" s="31"/>
      <c r="L35" s="31"/>
      <c r="M35" s="31"/>
      <c r="N35" s="43">
        <f>N34/12</f>
        <v>684037.447</v>
      </c>
    </row>
    <row r="36" ht="12.75" spans="2:14">
      <c r="B36" s="34">
        <v>20064658.05</v>
      </c>
      <c r="K36" s="31"/>
      <c r="L36" s="31"/>
      <c r="M36" s="31"/>
      <c r="N36" s="43"/>
    </row>
    <row r="37" spans="1:14">
      <c r="A37" s="20" t="s">
        <v>107</v>
      </c>
      <c r="B37" s="35">
        <f>'2019回款及耗煤量'!M10/1.13*0.045+20064658.05</f>
        <v>32667628.6282301</v>
      </c>
      <c r="C37" s="35">
        <f>'2020回款及耗煤量'!AB10/1.13*0.045</f>
        <v>224.203539823009</v>
      </c>
      <c r="D37" s="35">
        <f>'2020回款及耗煤量'!AC10/1.13*0.045</f>
        <v>224.203539823009</v>
      </c>
      <c r="E37" s="35">
        <f>'2020回款及耗煤量'!AD10/1.13*0.045</f>
        <v>224.203539823009</v>
      </c>
      <c r="F37" s="35">
        <f>'2020回款及耗煤量'!AE10/1.13*0.045</f>
        <v>224.203539823009</v>
      </c>
      <c r="G37" s="35">
        <f>'2020回款及耗煤量'!AF10/1.13*0.045</f>
        <v>224.203539823009</v>
      </c>
      <c r="H37" s="35">
        <f>'2020回款及耗煤量'!AG10/1.13*0.045</f>
        <v>224.203539823009</v>
      </c>
      <c r="I37" s="35">
        <f>'2020回款及耗煤量'!AH10/1.13*0.045</f>
        <v>224.203539823009</v>
      </c>
      <c r="J37" s="35">
        <f>'2020回款及耗煤量'!AI10/1.13*0.045</f>
        <v>224.203539823009</v>
      </c>
      <c r="K37" s="35">
        <f>'2020回款及耗煤量'!AJ10/1.13*0.045</f>
        <v>224.203539823009</v>
      </c>
      <c r="L37" s="35">
        <f>'2020回款及耗煤量'!AK10/1.13*0.045</f>
        <v>224.203539823009</v>
      </c>
      <c r="M37" s="35">
        <f>'2020回款及耗煤量'!AL10/1.13*0.045</f>
        <v>224.203539823009</v>
      </c>
      <c r="N37" s="41">
        <f>SUM(B37:M37)</f>
        <v>32670094.8671681</v>
      </c>
    </row>
    <row r="38" spans="1:14">
      <c r="A38" s="29" t="s">
        <v>108</v>
      </c>
      <c r="B38" s="31">
        <f>'2019回款及耗煤量'!M11</f>
        <v>84019.8038548673</v>
      </c>
      <c r="C38" s="31">
        <f>'2020回款及耗煤量'!AB11</f>
        <v>1.49469026548673</v>
      </c>
      <c r="D38" s="31">
        <f>'2020回款及耗煤量'!AC11</f>
        <v>1.49469026548673</v>
      </c>
      <c r="E38" s="31">
        <f>'2020回款及耗煤量'!AD11</f>
        <v>1.49469026548673</v>
      </c>
      <c r="F38" s="31">
        <f>'2020回款及耗煤量'!AE11</f>
        <v>1.49469026548673</v>
      </c>
      <c r="G38" s="31">
        <f>'2020回款及耗煤量'!AF11</f>
        <v>1.49469026548673</v>
      </c>
      <c r="H38" s="31">
        <f>'2020回款及耗煤量'!AG11</f>
        <v>1.49469026548673</v>
      </c>
      <c r="I38" s="31">
        <f>'2020回款及耗煤量'!AH11</f>
        <v>1.49469026548673</v>
      </c>
      <c r="J38" s="31">
        <f>'2020回款及耗煤量'!AI11</f>
        <v>1.49469026548673</v>
      </c>
      <c r="K38" s="31">
        <f>'2020回款及耗煤量'!AJ11</f>
        <v>1.49469026548673</v>
      </c>
      <c r="L38" s="31">
        <f>'2020回款及耗煤量'!AK11</f>
        <v>1.49469026548673</v>
      </c>
      <c r="M38" s="31">
        <f>'2020回款及耗煤量'!AL11</f>
        <v>1.49469026548673</v>
      </c>
      <c r="N38" s="42">
        <f>SUM(B38:M38)</f>
        <v>84036.2454477877</v>
      </c>
    </row>
    <row r="39" spans="1:14">
      <c r="A39" s="29" t="s">
        <v>109</v>
      </c>
      <c r="B39" s="31">
        <f>'2019回款及耗煤量'!M29</f>
        <v>65072.6611380531</v>
      </c>
      <c r="C39" s="31">
        <f>'2020回款及耗煤量'!AB29+'2020回款及耗煤量'!AB55</f>
        <v>5.27052447836324</v>
      </c>
      <c r="D39" s="31">
        <f>'2020回款及耗煤量'!AC29+'2020回款及耗煤量'!AC55</f>
        <v>5.26999350491191</v>
      </c>
      <c r="E39" s="31">
        <f>'2020回款及耗煤量'!AD29+'2020回款及耗煤量'!AD55</f>
        <v>5.26893155800926</v>
      </c>
      <c r="F39" s="31">
        <f>'2020回款及耗煤量'!AE29+'2020回款及耗煤量'!AE55</f>
        <v>5.26680766420395</v>
      </c>
      <c r="G39" s="31">
        <f>'2020回款及耗煤量'!AF29+'2020回款及耗煤量'!AF55</f>
        <v>5.26733863765527</v>
      </c>
      <c r="H39" s="31">
        <f>'2020回款及耗煤量'!AG29+'2020回款及耗煤量'!AG55</f>
        <v>5.26680766420395</v>
      </c>
      <c r="I39" s="31">
        <f>'2020回款及耗煤量'!AH29+'2020回款及耗煤量'!AH55</f>
        <v>5.26680766420395</v>
      </c>
      <c r="J39" s="31">
        <f>'2020回款及耗煤量'!AI29+'2020回款及耗煤量'!AI55</f>
        <v>5.26680766420395</v>
      </c>
      <c r="K39" s="31">
        <f>'2020回款及耗煤量'!AJ29+'2020回款及耗煤量'!AJ55</f>
        <v>5.26680766420395</v>
      </c>
      <c r="L39" s="31">
        <f>'2020回款及耗煤量'!AK29+'2020回款及耗煤量'!AK55</f>
        <v>5.2678696111066</v>
      </c>
      <c r="M39" s="31">
        <f>'2020回款及耗煤量'!AL29+'2020回款及耗煤量'!AL55</f>
        <v>5.26999350491191</v>
      </c>
      <c r="N39" s="42">
        <f t="shared" ref="N39:N49" si="8">SUM(B39:M39)</f>
        <v>65130.6098276691</v>
      </c>
    </row>
    <row r="40" spans="1:14">
      <c r="A40" s="29" t="s">
        <v>110</v>
      </c>
      <c r="B40" s="31">
        <f>B37*0.1-B36*0.05</f>
        <v>2263529.96032301</v>
      </c>
      <c r="C40" s="31">
        <f>C37*0.1</f>
        <v>22.4203539823009</v>
      </c>
      <c r="D40" s="31">
        <f t="shared" ref="D40:M40" si="9">D37*0.1</f>
        <v>22.4203539823009</v>
      </c>
      <c r="E40" s="31">
        <f t="shared" si="9"/>
        <v>22.4203539823009</v>
      </c>
      <c r="F40" s="31">
        <f t="shared" si="9"/>
        <v>22.4203539823009</v>
      </c>
      <c r="G40" s="31">
        <f t="shared" si="9"/>
        <v>22.4203539823009</v>
      </c>
      <c r="H40" s="31">
        <f t="shared" si="9"/>
        <v>22.4203539823009</v>
      </c>
      <c r="I40" s="31">
        <f t="shared" si="9"/>
        <v>22.4203539823009</v>
      </c>
      <c r="J40" s="31">
        <f t="shared" si="9"/>
        <v>22.4203539823009</v>
      </c>
      <c r="K40" s="31">
        <f t="shared" si="9"/>
        <v>22.4203539823009</v>
      </c>
      <c r="L40" s="31">
        <f t="shared" si="9"/>
        <v>22.4203539823009</v>
      </c>
      <c r="M40" s="31">
        <f t="shared" si="9"/>
        <v>22.4203539823009</v>
      </c>
      <c r="N40" s="42">
        <f t="shared" si="8"/>
        <v>2263776.58421681</v>
      </c>
    </row>
    <row r="41" spans="1:14">
      <c r="A41" s="29" t="s">
        <v>111</v>
      </c>
      <c r="B41" s="30">
        <v>125000</v>
      </c>
      <c r="C41" s="30">
        <v>125000</v>
      </c>
      <c r="D41" s="30">
        <v>125000</v>
      </c>
      <c r="E41" s="30">
        <v>125000</v>
      </c>
      <c r="F41" s="30">
        <v>125000</v>
      </c>
      <c r="G41" s="30">
        <v>125000</v>
      </c>
      <c r="H41" s="30">
        <v>125000</v>
      </c>
      <c r="I41" s="30">
        <v>125000</v>
      </c>
      <c r="J41" s="30">
        <v>125000</v>
      </c>
      <c r="K41" s="30">
        <v>125000</v>
      </c>
      <c r="L41" s="30">
        <v>125000</v>
      </c>
      <c r="M41" s="30">
        <v>125000</v>
      </c>
      <c r="N41" s="42">
        <f t="shared" si="8"/>
        <v>1500000</v>
      </c>
    </row>
    <row r="42" spans="1:14">
      <c r="A42" s="29" t="s">
        <v>112</v>
      </c>
      <c r="B42" s="30">
        <v>700000</v>
      </c>
      <c r="E42" s="30">
        <v>700000</v>
      </c>
      <c r="H42" s="30">
        <v>700000</v>
      </c>
      <c r="K42" s="30">
        <v>700000</v>
      </c>
      <c r="L42" s="30"/>
      <c r="M42" s="30"/>
      <c r="N42" s="42">
        <f t="shared" si="8"/>
        <v>2800000</v>
      </c>
    </row>
    <row r="43" spans="1:14">
      <c r="A43" s="29" t="s">
        <v>113</v>
      </c>
      <c r="B43" s="30">
        <f>('2019回款及耗煤量'!G3+'2019回款及耗煤量'!G4)*5</f>
        <v>2115919</v>
      </c>
      <c r="E43" s="30">
        <f>('2020回款及耗煤量'!C3+'2020回款及耗煤量'!C4+'2020回款及耗煤量'!D3+'2020回款及耗煤量'!D4+'2020回款及耗煤量'!E3+'2020回款及耗煤量'!E4)*5</f>
        <v>450</v>
      </c>
      <c r="H43" s="30">
        <f>('2020回款及耗煤量'!F3+'2020回款及耗煤量'!F4+'2020回款及耗煤量'!G3+'2020回款及耗煤量'!G4+'2020回款及耗煤量'!H3+'2020回款及耗煤量'!H4)*5</f>
        <v>450</v>
      </c>
      <c r="K43" s="30">
        <f>('2020回款及耗煤量'!I3+'2020回款及耗煤量'!I4+'2020回款及耗煤量'!J3+'2020回款及耗煤量'!J4+'2020回款及耗煤量'!K3+'2020回款及耗煤量'!K4)*5</f>
        <v>450</v>
      </c>
      <c r="L43" s="30"/>
      <c r="M43" s="30"/>
      <c r="N43" s="42">
        <f t="shared" si="8"/>
        <v>2117269</v>
      </c>
    </row>
    <row r="44" spans="1:14">
      <c r="A44" s="29" t="s">
        <v>30</v>
      </c>
      <c r="B44" s="30">
        <v>50000</v>
      </c>
      <c r="E44" s="30">
        <v>50000</v>
      </c>
      <c r="H44" s="30">
        <v>50000</v>
      </c>
      <c r="K44" s="30">
        <v>50000</v>
      </c>
      <c r="L44" s="30"/>
      <c r="M44" s="30"/>
      <c r="N44" s="42">
        <f t="shared" si="8"/>
        <v>200000</v>
      </c>
    </row>
    <row r="45" spans="1:14">
      <c r="A45" s="29" t="s">
        <v>114</v>
      </c>
      <c r="D45" s="30">
        <v>190000</v>
      </c>
      <c r="G45" s="30">
        <v>190000</v>
      </c>
      <c r="J45" s="30">
        <v>190000</v>
      </c>
      <c r="K45" s="30"/>
      <c r="L45" s="30"/>
      <c r="M45" s="30">
        <v>190000</v>
      </c>
      <c r="N45" s="42">
        <f t="shared" si="8"/>
        <v>760000</v>
      </c>
    </row>
    <row r="46" spans="1:14">
      <c r="A46" s="29" t="s">
        <v>115</v>
      </c>
      <c r="G46" s="30">
        <v>990637.43</v>
      </c>
      <c r="K46" s="30"/>
      <c r="L46" s="30"/>
      <c r="M46" s="30">
        <v>990637.43</v>
      </c>
      <c r="N46" s="42">
        <f t="shared" si="8"/>
        <v>1981274.86</v>
      </c>
    </row>
    <row r="47" spans="1:14">
      <c r="A47" s="29" t="s">
        <v>116</v>
      </c>
      <c r="D47" s="30">
        <v>385737.34</v>
      </c>
      <c r="G47" s="30">
        <v>385737.34</v>
      </c>
      <c r="J47" s="30">
        <v>385737.34</v>
      </c>
      <c r="K47" s="30"/>
      <c r="L47" s="30"/>
      <c r="M47" s="30">
        <v>385737.34</v>
      </c>
      <c r="N47" s="42">
        <f t="shared" si="8"/>
        <v>1542949.36</v>
      </c>
    </row>
    <row r="48" spans="1:14">
      <c r="A48" s="29" t="s">
        <v>117</v>
      </c>
      <c r="B48" s="30">
        <v>300000</v>
      </c>
      <c r="E48" s="30">
        <v>300000</v>
      </c>
      <c r="F48" s="30">
        <v>39000000</v>
      </c>
      <c r="H48" s="30">
        <v>300000</v>
      </c>
      <c r="K48" s="30">
        <v>300000</v>
      </c>
      <c r="L48" s="30"/>
      <c r="M48" s="30"/>
      <c r="N48" s="42">
        <f t="shared" si="8"/>
        <v>40200000</v>
      </c>
    </row>
    <row r="49" ht="12.75" spans="1:14">
      <c r="A49" s="32" t="s">
        <v>118</v>
      </c>
      <c r="B49" s="33">
        <f>SUM(B37:B48)</f>
        <v>38371170.053546</v>
      </c>
      <c r="C49" s="33">
        <f t="shared" ref="C49:M49" si="10">SUM(C37:C48)</f>
        <v>125253.389108549</v>
      </c>
      <c r="D49" s="33">
        <f t="shared" si="10"/>
        <v>700990.728577576</v>
      </c>
      <c r="E49" s="33">
        <f t="shared" si="10"/>
        <v>1175703.38751563</v>
      </c>
      <c r="F49" s="33">
        <f t="shared" si="10"/>
        <v>39125253.3853917</v>
      </c>
      <c r="G49" s="33">
        <f t="shared" si="10"/>
        <v>1691628.15592271</v>
      </c>
      <c r="H49" s="33">
        <f t="shared" si="10"/>
        <v>1175703.38539174</v>
      </c>
      <c r="I49" s="33">
        <f t="shared" si="10"/>
        <v>125253.385391735</v>
      </c>
      <c r="J49" s="33">
        <f t="shared" si="10"/>
        <v>700990.725391735</v>
      </c>
      <c r="K49" s="33">
        <f t="shared" si="10"/>
        <v>1175703.38539174</v>
      </c>
      <c r="L49" s="33">
        <f t="shared" si="10"/>
        <v>125253.386453682</v>
      </c>
      <c r="M49" s="33">
        <f t="shared" si="10"/>
        <v>1691628.15857758</v>
      </c>
      <c r="N49" s="44">
        <f t="shared" si="8"/>
        <v>86184531.5266604</v>
      </c>
    </row>
    <row r="50" spans="1:14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45"/>
      <c r="L50" s="45"/>
      <c r="M50" s="45"/>
      <c r="N50" s="45"/>
    </row>
  </sheetData>
  <pageMargins left="0.7" right="0.7" top="0.75" bottom="0.75" header="0.3" footer="0.3"/>
  <pageSetup paperSize="9" orientation="portrait" horizontalDpi="300"/>
  <headerFooter/>
  <ignoredErrors>
    <ignoredError sqref="B25 C25:M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汇总表</vt:lpstr>
      <vt:lpstr>2019回款及耗煤量</vt:lpstr>
      <vt:lpstr>2019年费用税金</vt:lpstr>
      <vt:lpstr>2019成本</vt:lpstr>
      <vt:lpstr>蒸汽动力2019</vt:lpstr>
      <vt:lpstr>制造费用2019</vt:lpstr>
      <vt:lpstr>2020回款及耗煤量</vt:lpstr>
      <vt:lpstr>成本2020年</vt:lpstr>
      <vt:lpstr>费用税金2020年</vt:lpstr>
      <vt:lpstr>蒸汽动力2020</vt:lpstr>
      <vt:lpstr>制造费用2020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2020-08-18T07:55:28Z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