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7490" windowHeight="7620" tabRatio="952"/>
  </bookViews>
  <sheets>
    <sheet name="Movies" sheetId="1" r:id="rId1"/>
    <sheet name="Star Economic history" sheetId="15" r:id="rId2"/>
    <sheet name="Actor Success Count" sheetId="9" r:id="rId3"/>
    <sheet name="Actress Success Count Years" sheetId="14" r:id="rId4"/>
    <sheet name="Sheet5" sheetId="8" r:id="rId5"/>
    <sheet name="Links" sheetId="2" r:id="rId6"/>
    <sheet name="Ctor-Actress Combination" sheetId="4" r:id="rId7"/>
    <sheet name="sheet  verdict" sheetId="5" r:id="rId8"/>
    <sheet name="Actress Success Count" sheetId="10" r:id="rId9"/>
    <sheet name="Director Success Count" sheetId="11" r:id="rId10"/>
    <sheet name="Banner Success Count" sheetId="12" r:id="rId11"/>
    <sheet name="Actor and Actress Success" sheetId="13" r:id="rId12"/>
    <sheet name="Sheet2" sheetId="16" r:id="rId13"/>
    <sheet name="success count " sheetId="17" r:id="rId14"/>
  </sheets>
  <definedNames>
    <definedName name="_xlnm._FilterDatabase" localSheetId="0" hidden="1">Movies!$A$1:$AL$433</definedName>
    <definedName name="_xlnm._FilterDatabase" localSheetId="1" hidden="1">'Star Economic history'!$D$1:$D$256</definedName>
  </definedNames>
  <calcPr calcId="125725"/>
</workbook>
</file>

<file path=xl/calcChain.xml><?xml version="1.0" encoding="utf-8"?>
<calcChain xmlns="http://schemas.openxmlformats.org/spreadsheetml/2006/main">
  <c r="O2" i="1"/>
  <c r="AB77" i="15" l="1"/>
  <c r="X77"/>
  <c r="W77"/>
  <c r="V77"/>
  <c r="U77"/>
  <c r="T77"/>
  <c r="S77"/>
  <c r="R77"/>
  <c r="Q77"/>
  <c r="Z77"/>
  <c r="O77"/>
  <c r="AA75"/>
  <c r="Y75"/>
  <c r="W75"/>
  <c r="V75"/>
  <c r="U75"/>
  <c r="AB75"/>
  <c r="X75"/>
  <c r="T75"/>
  <c r="S75"/>
  <c r="Y73"/>
  <c r="W73"/>
  <c r="V73"/>
  <c r="T73"/>
  <c r="X71"/>
  <c r="V71"/>
  <c r="S71"/>
  <c r="AA70"/>
  <c r="U70"/>
  <c r="R70"/>
  <c r="J70"/>
  <c r="I70"/>
  <c r="X69"/>
  <c r="V69"/>
  <c r="U69"/>
  <c r="N69"/>
  <c r="I69"/>
  <c r="G69"/>
  <c r="F69"/>
  <c r="AB68"/>
  <c r="AA68"/>
  <c r="Z68"/>
  <c r="X68"/>
  <c r="W68"/>
  <c r="V68"/>
  <c r="U68"/>
  <c r="T68"/>
  <c r="S68"/>
  <c r="R68"/>
  <c r="Q68"/>
  <c r="AB62"/>
  <c r="AA62"/>
  <c r="Z62"/>
  <c r="Y62"/>
  <c r="X62"/>
  <c r="W62"/>
  <c r="V62"/>
  <c r="U62"/>
  <c r="T62"/>
  <c r="S62"/>
  <c r="R62"/>
  <c r="P62"/>
  <c r="N62"/>
  <c r="M62"/>
  <c r="L62"/>
  <c r="K62"/>
  <c r="J62"/>
  <c r="I62"/>
  <c r="H62"/>
  <c r="G62"/>
  <c r="F62"/>
  <c r="V59"/>
  <c r="U59"/>
  <c r="R59"/>
  <c r="Q59"/>
  <c r="P59"/>
  <c r="N59"/>
  <c r="M59"/>
  <c r="K59"/>
  <c r="U58"/>
  <c r="T58"/>
  <c r="R58"/>
  <c r="P58"/>
  <c r="AB57"/>
  <c r="Z57"/>
  <c r="X57"/>
  <c r="W57"/>
  <c r="V57"/>
  <c r="U57"/>
  <c r="T57"/>
  <c r="S57"/>
  <c r="R57"/>
  <c r="Q57"/>
  <c r="P57"/>
  <c r="AB56"/>
  <c r="AA56"/>
  <c r="Z56"/>
  <c r="Y56"/>
  <c r="X56"/>
  <c r="W56"/>
  <c r="V56"/>
  <c r="U56"/>
  <c r="S56"/>
  <c r="R56"/>
  <c r="Q56"/>
  <c r="P56"/>
  <c r="Y55"/>
  <c r="V55"/>
  <c r="U55"/>
  <c r="S55"/>
  <c r="R55"/>
  <c r="Q55"/>
  <c r="P55"/>
  <c r="Z54"/>
  <c r="V54"/>
  <c r="S54"/>
  <c r="Q54"/>
  <c r="P54"/>
  <c r="O54"/>
  <c r="N54"/>
  <c r="M54"/>
  <c r="L54"/>
  <c r="K54"/>
  <c r="I54"/>
  <c r="H54"/>
  <c r="G54"/>
  <c r="F54"/>
  <c r="X53"/>
  <c r="W53"/>
  <c r="V53"/>
  <c r="U53"/>
  <c r="T53"/>
  <c r="S53"/>
  <c r="R53"/>
  <c r="Q53"/>
  <c r="P53"/>
  <c r="O53"/>
  <c r="N53"/>
  <c r="L53"/>
  <c r="AB52"/>
  <c r="AA52"/>
  <c r="W52"/>
  <c r="V51"/>
  <c r="T51"/>
  <c r="S51"/>
  <c r="R51"/>
  <c r="P51"/>
  <c r="O51"/>
  <c r="N51"/>
  <c r="K51"/>
  <c r="J51"/>
  <c r="I51"/>
  <c r="AB50"/>
  <c r="Z50"/>
  <c r="X50"/>
  <c r="W50"/>
  <c r="V50"/>
  <c r="U50"/>
  <c r="S50"/>
  <c r="R50"/>
  <c r="Q50"/>
  <c r="P50"/>
  <c r="O50"/>
  <c r="Z49"/>
  <c r="X49"/>
  <c r="V49"/>
  <c r="U49"/>
  <c r="T49"/>
  <c r="S49"/>
  <c r="R49"/>
  <c r="Q49"/>
  <c r="P49"/>
  <c r="O49"/>
  <c r="N49"/>
  <c r="P48"/>
  <c r="N48"/>
  <c r="T47"/>
  <c r="Q47"/>
  <c r="P47"/>
  <c r="O47"/>
  <c r="N47"/>
  <c r="M47"/>
  <c r="L47"/>
  <c r="K47"/>
  <c r="J47"/>
  <c r="I47"/>
  <c r="H47"/>
  <c r="G47"/>
  <c r="F47"/>
  <c r="X46"/>
  <c r="S46"/>
  <c r="R46"/>
  <c r="Q46"/>
  <c r="P46"/>
  <c r="O46"/>
  <c r="N46"/>
  <c r="M46"/>
  <c r="L46"/>
  <c r="J46"/>
  <c r="U44"/>
  <c r="S44"/>
  <c r="R44"/>
  <c r="Q44"/>
  <c r="P44"/>
  <c r="O44"/>
  <c r="N44"/>
  <c r="M44"/>
  <c r="AB43"/>
  <c r="Z43"/>
  <c r="X43"/>
  <c r="V43"/>
  <c r="T43"/>
  <c r="S43"/>
  <c r="R43"/>
  <c r="O43"/>
  <c r="M43"/>
  <c r="AB42"/>
  <c r="Y42"/>
  <c r="X42"/>
  <c r="W42"/>
  <c r="T42"/>
  <c r="S42"/>
  <c r="Q42"/>
  <c r="P42"/>
  <c r="N42"/>
  <c r="AB40"/>
  <c r="Y40"/>
  <c r="X40"/>
  <c r="W40"/>
  <c r="V40"/>
  <c r="U40"/>
  <c r="S40"/>
  <c r="Q40"/>
  <c r="P40"/>
  <c r="O40"/>
  <c r="M40"/>
  <c r="L40"/>
  <c r="K40"/>
  <c r="I40"/>
  <c r="H40"/>
  <c r="V39"/>
  <c r="R39"/>
  <c r="O39"/>
  <c r="N39"/>
  <c r="M39"/>
  <c r="L39"/>
  <c r="T38"/>
  <c r="R38"/>
  <c r="Q38"/>
  <c r="O38"/>
  <c r="N38"/>
  <c r="L38"/>
  <c r="K38"/>
  <c r="J38"/>
  <c r="I38"/>
  <c r="F38"/>
  <c r="U37"/>
  <c r="Q37"/>
  <c r="P37"/>
  <c r="N37"/>
  <c r="M37"/>
  <c r="I37"/>
  <c r="G37"/>
  <c r="AA36"/>
  <c r="Z36"/>
  <c r="Y36"/>
  <c r="W36"/>
  <c r="V36"/>
  <c r="U36"/>
  <c r="T36"/>
  <c r="S36"/>
  <c r="R36"/>
  <c r="Q36"/>
  <c r="O36"/>
  <c r="K36"/>
  <c r="J36"/>
  <c r="O35"/>
  <c r="I35"/>
  <c r="H35"/>
  <c r="G35"/>
  <c r="AB31"/>
  <c r="AA31"/>
  <c r="W31"/>
  <c r="V31"/>
  <c r="U31"/>
  <c r="T31"/>
  <c r="S31"/>
  <c r="R31"/>
  <c r="Q31"/>
  <c r="P31"/>
  <c r="O31"/>
  <c r="N31"/>
  <c r="M31"/>
  <c r="K31"/>
  <c r="J31"/>
  <c r="AA29"/>
  <c r="V29"/>
  <c r="T29"/>
  <c r="Q29"/>
  <c r="O29"/>
  <c r="N29"/>
  <c r="L29"/>
  <c r="K29"/>
  <c r="J29"/>
  <c r="I29"/>
  <c r="H29"/>
  <c r="Q28"/>
  <c r="AA27"/>
  <c r="Z27"/>
  <c r="X27"/>
  <c r="W27"/>
  <c r="V27"/>
  <c r="U27"/>
  <c r="T27"/>
  <c r="S27"/>
  <c r="R27"/>
  <c r="Q27"/>
  <c r="P27"/>
  <c r="O27"/>
  <c r="N27"/>
  <c r="L27"/>
  <c r="K27"/>
  <c r="J27"/>
  <c r="I27"/>
  <c r="H27"/>
  <c r="G27"/>
  <c r="F27"/>
  <c r="Z26"/>
  <c r="Y26"/>
  <c r="X26"/>
  <c r="U26"/>
  <c r="T26"/>
  <c r="S26"/>
  <c r="R26"/>
  <c r="Q26"/>
  <c r="P26"/>
  <c r="O26"/>
  <c r="M26"/>
  <c r="K26"/>
  <c r="J26"/>
  <c r="I26"/>
  <c r="H26"/>
  <c r="F26"/>
  <c r="E26"/>
  <c r="Y21"/>
  <c r="V21"/>
  <c r="S21"/>
  <c r="R21"/>
  <c r="P21"/>
  <c r="O21"/>
  <c r="N21"/>
  <c r="M21"/>
  <c r="K21"/>
  <c r="J21"/>
  <c r="I21"/>
  <c r="H21"/>
  <c r="F21"/>
  <c r="AA20"/>
  <c r="Z20"/>
  <c r="Y20"/>
  <c r="X20"/>
  <c r="W20"/>
  <c r="V20"/>
  <c r="U20"/>
  <c r="T20"/>
  <c r="S20"/>
  <c r="R20"/>
  <c r="P20"/>
  <c r="O20"/>
  <c r="N20"/>
  <c r="M20"/>
  <c r="L20"/>
  <c r="K20"/>
  <c r="J20"/>
  <c r="I20"/>
  <c r="H20"/>
  <c r="G20"/>
  <c r="F20"/>
  <c r="R19"/>
  <c r="M19"/>
  <c r="K19"/>
  <c r="G19"/>
  <c r="J18"/>
  <c r="S17"/>
  <c r="O17"/>
  <c r="M17"/>
  <c r="I17"/>
  <c r="H17"/>
  <c r="G17"/>
  <c r="W16"/>
  <c r="U16"/>
  <c r="S16"/>
  <c r="Q16"/>
  <c r="P16"/>
  <c r="N16"/>
  <c r="M16"/>
  <c r="L16"/>
  <c r="J16"/>
  <c r="I16"/>
  <c r="W14"/>
  <c r="S14"/>
  <c r="M14"/>
  <c r="L14"/>
  <c r="K14"/>
  <c r="J14"/>
  <c r="I14"/>
  <c r="H14"/>
  <c r="G14"/>
  <c r="F14"/>
  <c r="H13"/>
  <c r="G13"/>
  <c r="F13"/>
  <c r="E13"/>
  <c r="Z12"/>
  <c r="Y12"/>
  <c r="X12"/>
  <c r="W12"/>
  <c r="V12"/>
  <c r="U12"/>
  <c r="T12"/>
  <c r="S12"/>
  <c r="R12"/>
  <c r="Q12"/>
  <c r="P12"/>
  <c r="O12"/>
  <c r="N12"/>
  <c r="L12"/>
  <c r="K12"/>
  <c r="I12"/>
  <c r="H12"/>
  <c r="G12"/>
  <c r="F12"/>
  <c r="AB10"/>
  <c r="W10"/>
  <c r="S10"/>
  <c r="R10"/>
  <c r="P10"/>
  <c r="O10"/>
  <c r="N10"/>
  <c r="M10"/>
  <c r="L10"/>
  <c r="J10"/>
  <c r="I10"/>
  <c r="H10"/>
  <c r="G10"/>
  <c r="F10"/>
  <c r="Z9"/>
  <c r="Y9"/>
  <c r="X9"/>
  <c r="V9"/>
  <c r="U9"/>
  <c r="T9"/>
  <c r="R9"/>
  <c r="Q9"/>
  <c r="N9"/>
  <c r="M9"/>
  <c r="L9"/>
  <c r="K9"/>
  <c r="J9"/>
  <c r="I9"/>
  <c r="H9"/>
  <c r="G9"/>
  <c r="F9"/>
  <c r="E9"/>
  <c r="Z8"/>
  <c r="W8"/>
  <c r="V8"/>
  <c r="U8"/>
  <c r="T8"/>
  <c r="S8"/>
  <c r="R8"/>
  <c r="Q8"/>
  <c r="P8"/>
  <c r="O8"/>
  <c r="N8"/>
  <c r="M8"/>
  <c r="L8"/>
  <c r="K8"/>
  <c r="J8"/>
  <c r="I8"/>
  <c r="H8"/>
  <c r="G8"/>
  <c r="F8"/>
  <c r="AA7"/>
  <c r="Z7"/>
  <c r="Y7"/>
  <c r="X7"/>
  <c r="W7"/>
  <c r="V7"/>
  <c r="U7"/>
  <c r="R7"/>
  <c r="L7"/>
  <c r="H7"/>
  <c r="G7"/>
  <c r="F7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AA5"/>
  <c r="Y5"/>
  <c r="T5"/>
  <c r="S5"/>
  <c r="Q5"/>
  <c r="O5"/>
  <c r="N5"/>
  <c r="M5"/>
  <c r="L5"/>
  <c r="K5"/>
  <c r="J5"/>
  <c r="I5"/>
  <c r="H5"/>
  <c r="F5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AA3"/>
  <c r="W3"/>
  <c r="U3"/>
  <c r="S3"/>
  <c r="R3"/>
  <c r="Q3"/>
  <c r="O3"/>
  <c r="N3"/>
  <c r="M3"/>
  <c r="L3"/>
  <c r="K3"/>
  <c r="J3"/>
  <c r="I3"/>
  <c r="H3"/>
  <c r="G3"/>
  <c r="F3"/>
  <c r="E3"/>
  <c r="Z2"/>
  <c r="N2"/>
  <c r="M2"/>
  <c r="L2"/>
  <c r="I2"/>
  <c r="H2"/>
  <c r="G2"/>
  <c r="F2"/>
  <c r="X73"/>
  <c r="AA73"/>
  <c r="U73"/>
  <c r="AB71"/>
  <c r="Z71"/>
  <c r="Y71"/>
  <c r="W71"/>
  <c r="U71"/>
  <c r="T71"/>
  <c r="R71"/>
  <c r="Q71"/>
  <c r="Y70"/>
  <c r="X70"/>
  <c r="V70"/>
  <c r="T70"/>
  <c r="Q70"/>
  <c r="H70" l="1"/>
  <c r="G70"/>
  <c r="F70"/>
  <c r="AA69"/>
  <c r="Z69"/>
  <c r="Y69"/>
  <c r="W69"/>
  <c r="S69"/>
  <c r="M69"/>
  <c r="H69"/>
  <c r="P68"/>
  <c r="O68"/>
  <c r="N68"/>
  <c r="M68"/>
  <c r="G68"/>
  <c r="O62"/>
  <c r="Q62"/>
  <c r="E62"/>
  <c r="S59" l="1"/>
  <c r="O59"/>
  <c r="L59"/>
  <c r="J59"/>
  <c r="H59"/>
  <c r="V58"/>
  <c r="S58"/>
  <c r="Q58"/>
  <c r="O58"/>
  <c r="N58"/>
  <c r="O57" l="1"/>
  <c r="T56"/>
  <c r="O56"/>
  <c r="AB55"/>
  <c r="AA55"/>
  <c r="Z55"/>
  <c r="X55"/>
  <c r="W55"/>
  <c r="T55"/>
  <c r="O55"/>
  <c r="AB54"/>
  <c r="AA54"/>
  <c r="Y54"/>
  <c r="R54"/>
  <c r="J54"/>
  <c r="AB53"/>
  <c r="AA53"/>
  <c r="Z53"/>
  <c r="Y53"/>
  <c r="M53"/>
  <c r="Y52"/>
  <c r="X52"/>
  <c r="S52"/>
  <c r="V52"/>
  <c r="U52"/>
  <c r="T52"/>
  <c r="R52"/>
  <c r="AB51"/>
  <c r="X51"/>
  <c r="U51"/>
  <c r="M51"/>
  <c r="AA50" l="1"/>
  <c r="Y50"/>
  <c r="T50"/>
  <c r="AA49"/>
  <c r="Y49"/>
  <c r="W49"/>
  <c r="M49"/>
  <c r="Y48"/>
  <c r="V48"/>
  <c r="O48"/>
  <c r="R48"/>
  <c r="Q48"/>
  <c r="L48"/>
  <c r="AA47"/>
  <c r="X47"/>
  <c r="W47"/>
  <c r="V47"/>
  <c r="S47"/>
  <c r="R47"/>
  <c r="E47"/>
  <c r="Z46"/>
  <c r="W46"/>
  <c r="U46"/>
  <c r="T46"/>
  <c r="K46"/>
  <c r="H46"/>
  <c r="V44"/>
  <c r="L44"/>
  <c r="J44"/>
  <c r="AA43"/>
  <c r="Y43"/>
  <c r="U43"/>
  <c r="Q43"/>
  <c r="K43"/>
  <c r="V42"/>
  <c r="U42"/>
  <c r="R42"/>
  <c r="O42"/>
  <c r="M42"/>
  <c r="AA40"/>
  <c r="T40"/>
  <c r="N40"/>
  <c r="J40"/>
  <c r="G40"/>
  <c r="AB39"/>
  <c r="Z39"/>
  <c r="Y39"/>
  <c r="X39"/>
  <c r="W39"/>
  <c r="T39"/>
  <c r="P39"/>
  <c r="S38"/>
  <c r="P38"/>
  <c r="M38"/>
  <c r="G38"/>
  <c r="E38"/>
  <c r="AA37" l="1"/>
  <c r="Z37"/>
  <c r="V37"/>
  <c r="R37"/>
  <c r="L37"/>
  <c r="J37"/>
  <c r="H37"/>
  <c r="AB36"/>
  <c r="X36"/>
  <c r="P36"/>
  <c r="N36"/>
  <c r="M36"/>
  <c r="L36"/>
  <c r="I36"/>
  <c r="H36"/>
  <c r="M35"/>
  <c r="J35"/>
  <c r="Z31"/>
  <c r="Y31"/>
  <c r="X31"/>
  <c r="L31"/>
  <c r="H31"/>
  <c r="F31"/>
  <c r="Y29"/>
  <c r="X29"/>
  <c r="W29"/>
  <c r="U29"/>
  <c r="S29"/>
  <c r="P29"/>
  <c r="G29"/>
  <c r="F29"/>
  <c r="Y28"/>
  <c r="M28"/>
  <c r="L28"/>
  <c r="K28"/>
  <c r="I28"/>
  <c r="AB27"/>
  <c r="M27"/>
  <c r="AA26"/>
  <c r="W26"/>
  <c r="N26"/>
  <c r="G26"/>
  <c r="L26"/>
  <c r="AB21" l="1"/>
  <c r="AA21"/>
  <c r="Z21"/>
  <c r="W21"/>
  <c r="U21"/>
  <c r="Q21"/>
  <c r="L21"/>
  <c r="G21"/>
  <c r="E21"/>
  <c r="AB20"/>
  <c r="Q20"/>
  <c r="E20"/>
  <c r="AB19"/>
  <c r="Z19"/>
  <c r="Y19"/>
  <c r="X19"/>
  <c r="W19"/>
  <c r="S19"/>
  <c r="T19"/>
  <c r="U19"/>
  <c r="Q19"/>
  <c r="L19"/>
  <c r="J19"/>
  <c r="I19"/>
  <c r="H19"/>
  <c r="F19"/>
  <c r="O18"/>
  <c r="N18"/>
  <c r="H18"/>
  <c r="G18"/>
  <c r="Z17"/>
  <c r="U17"/>
  <c r="R17"/>
  <c r="Q17"/>
  <c r="N17"/>
  <c r="L17"/>
  <c r="K17"/>
  <c r="J17"/>
  <c r="F17"/>
  <c r="Y16" l="1"/>
  <c r="X16"/>
  <c r="V16"/>
  <c r="T16"/>
  <c r="R16"/>
  <c r="K16"/>
  <c r="G16"/>
  <c r="AA14"/>
  <c r="Y14"/>
  <c r="P14"/>
  <c r="O14"/>
  <c r="Q13"/>
  <c r="M13"/>
  <c r="K13"/>
  <c r="M12"/>
  <c r="AA10"/>
  <c r="Z10"/>
  <c r="Y10"/>
  <c r="X10"/>
  <c r="V10"/>
  <c r="U10"/>
  <c r="T10"/>
  <c r="Q10"/>
  <c r="K10"/>
  <c r="E10"/>
  <c r="AA9"/>
  <c r="S9"/>
  <c r="O9"/>
  <c r="AA8"/>
  <c r="Y8"/>
  <c r="X8"/>
  <c r="Y233" i="1"/>
  <c r="Y146"/>
  <c r="Y315"/>
  <c r="Y313"/>
  <c r="Y87"/>
  <c r="Y361"/>
  <c r="Y308"/>
  <c r="Y85"/>
  <c r="Y354"/>
  <c r="Y351"/>
  <c r="Y82" l="1"/>
  <c r="Y80"/>
  <c r="AE149"/>
  <c r="AE166"/>
  <c r="AE374"/>
  <c r="AA195"/>
  <c r="AE161"/>
  <c r="AA381"/>
  <c r="Y81"/>
  <c r="Y79"/>
  <c r="Y369"/>
  <c r="Y311"/>
  <c r="AA358"/>
  <c r="Y305"/>
  <c r="Y348"/>
  <c r="Y312"/>
  <c r="AB7" i="15"/>
  <c r="Y257" i="1"/>
  <c r="AI288"/>
  <c r="S7" i="15"/>
  <c r="AE177" i="1"/>
  <c r="Q7" i="15"/>
  <c r="AE119" i="1" s="1"/>
  <c r="P7" i="15"/>
  <c r="N7"/>
  <c r="M7"/>
  <c r="K7"/>
  <c r="I7"/>
  <c r="Y61" i="1" l="1"/>
  <c r="AA357"/>
  <c r="AA123"/>
  <c r="Y97"/>
  <c r="Y220"/>
  <c r="Y77"/>
  <c r="AA140"/>
  <c r="AE222"/>
  <c r="E6" i="15"/>
  <c r="AA55" i="1" s="1"/>
  <c r="Y345"/>
  <c r="Y40"/>
  <c r="X5" i="15"/>
  <c r="V5"/>
  <c r="R5"/>
  <c r="P5"/>
  <c r="G5"/>
  <c r="Y57" i="1" l="1"/>
  <c r="Y58"/>
  <c r="Y344"/>
  <c r="Y48"/>
  <c r="AB4" i="15"/>
  <c r="AA4"/>
  <c r="Y3" l="1"/>
  <c r="V3"/>
  <c r="T3"/>
  <c r="S2"/>
  <c r="K2"/>
  <c r="J2"/>
  <c r="E2"/>
  <c r="Y55" i="1" l="1"/>
  <c r="Y53"/>
  <c r="Y33"/>
  <c r="Y26"/>
  <c r="Y71"/>
  <c r="M3" i="1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  <c r="AK222" i="1"/>
  <c r="AK211"/>
  <c r="W269"/>
  <c r="AF252"/>
  <c r="W19"/>
  <c r="AB250"/>
  <c r="AB303"/>
  <c r="AF283"/>
  <c r="AK186"/>
  <c r="AB42"/>
  <c r="W45"/>
  <c r="AB181"/>
  <c r="AB35"/>
  <c r="AF7"/>
  <c r="M3" i="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2"/>
  <c r="AK10" i="1"/>
  <c r="AK14"/>
  <c r="AK26"/>
  <c r="AK33"/>
  <c r="AK40"/>
  <c r="AK48"/>
  <c r="AK53"/>
  <c r="AK55"/>
  <c r="AK57"/>
  <c r="AK58"/>
  <c r="AK71"/>
  <c r="AK78"/>
  <c r="AK79"/>
  <c r="AK80"/>
  <c r="AK81"/>
  <c r="AK83"/>
  <c r="AK84"/>
  <c r="AK93"/>
  <c r="AK100"/>
  <c r="AK301"/>
  <c r="AK302"/>
  <c r="AK344"/>
  <c r="AK345"/>
  <c r="AK346"/>
  <c r="AK3"/>
  <c r="AK7"/>
  <c r="AK11"/>
  <c r="AK13"/>
  <c r="AK17"/>
  <c r="AK29"/>
  <c r="AK34"/>
  <c r="AK43"/>
  <c r="AK52"/>
  <c r="AK61"/>
  <c r="AK82"/>
  <c r="AK303"/>
  <c r="AK304"/>
  <c r="AK347"/>
  <c r="AK348"/>
  <c r="AK349"/>
  <c r="AK350"/>
  <c r="AK4"/>
  <c r="AK12"/>
  <c r="AK22"/>
  <c r="AK24"/>
  <c r="AK25"/>
  <c r="AK28"/>
  <c r="AK31"/>
  <c r="AK46"/>
  <c r="AK60"/>
  <c r="AK62"/>
  <c r="AK63"/>
  <c r="AK67"/>
  <c r="AK75"/>
  <c r="AK97"/>
  <c r="AK98"/>
  <c r="AK305"/>
  <c r="AK306"/>
  <c r="AK351"/>
  <c r="AK352"/>
  <c r="AK353"/>
  <c r="AK354"/>
  <c r="AK5"/>
  <c r="AK8"/>
  <c r="AK15"/>
  <c r="AK16"/>
  <c r="AK19"/>
  <c r="AK21"/>
  <c r="AK30"/>
  <c r="AK36"/>
  <c r="AK39"/>
  <c r="AK42"/>
  <c r="AK51"/>
  <c r="AK54"/>
  <c r="AK59"/>
  <c r="AK66"/>
  <c r="AK72"/>
  <c r="AK74"/>
  <c r="AK77"/>
  <c r="AK85"/>
  <c r="AK88"/>
  <c r="AK91"/>
  <c r="AK307"/>
  <c r="AK308"/>
  <c r="AK355"/>
  <c r="AK356"/>
  <c r="AK357"/>
  <c r="AK358"/>
  <c r="AK6"/>
  <c r="AK20"/>
  <c r="AK23"/>
  <c r="AK27"/>
  <c r="AK37"/>
  <c r="AK44"/>
  <c r="AK47"/>
  <c r="AK49"/>
  <c r="AK50"/>
  <c r="AK65"/>
  <c r="AK68"/>
  <c r="AK87"/>
  <c r="AK90"/>
  <c r="AK96"/>
  <c r="AK309"/>
  <c r="AK310"/>
  <c r="AK359"/>
  <c r="AK360"/>
  <c r="AK361"/>
  <c r="AK362"/>
  <c r="AK9"/>
  <c r="AK18"/>
  <c r="AK32"/>
  <c r="AK35"/>
  <c r="AK38"/>
  <c r="AK41"/>
  <c r="AK45"/>
  <c r="AK56"/>
  <c r="AK64"/>
  <c r="AK69"/>
  <c r="AK70"/>
  <c r="AK73"/>
  <c r="AK76"/>
  <c r="AK86"/>
  <c r="AK89"/>
  <c r="AK92"/>
  <c r="AK94"/>
  <c r="AK95"/>
  <c r="AK99"/>
  <c r="AK311"/>
  <c r="AK312"/>
  <c r="AK363"/>
  <c r="AK364"/>
  <c r="AK365"/>
  <c r="AK104"/>
  <c r="AK105"/>
  <c r="AK129"/>
  <c r="AK137"/>
  <c r="AK144"/>
  <c r="AK152"/>
  <c r="AK175"/>
  <c r="AK313"/>
  <c r="AK314"/>
  <c r="AK366"/>
  <c r="AK367"/>
  <c r="AK368"/>
  <c r="AK369"/>
  <c r="AK101"/>
  <c r="AK103"/>
  <c r="AK125"/>
  <c r="AK134"/>
  <c r="AK135"/>
  <c r="AK142"/>
  <c r="AK173"/>
  <c r="AK198"/>
  <c r="AK315"/>
  <c r="AK370"/>
  <c r="AK371"/>
  <c r="AK372"/>
  <c r="AK373"/>
  <c r="AK112"/>
  <c r="AK133"/>
  <c r="AK162"/>
  <c r="AK170"/>
  <c r="AK194"/>
  <c r="AK316"/>
  <c r="AK374"/>
  <c r="AK375"/>
  <c r="AK376"/>
  <c r="AK377"/>
  <c r="AK114"/>
  <c r="AK136"/>
  <c r="AK154"/>
  <c r="AK155"/>
  <c r="AK156"/>
  <c r="AK157"/>
  <c r="AK165"/>
  <c r="AK168"/>
  <c r="AK183"/>
  <c r="AK188"/>
  <c r="AK190"/>
  <c r="AK226"/>
  <c r="AK317"/>
  <c r="AK378"/>
  <c r="AK379"/>
  <c r="AK380"/>
  <c r="AK381"/>
  <c r="AK120"/>
  <c r="AK127"/>
  <c r="AK132"/>
  <c r="AK140"/>
  <c r="AK148"/>
  <c r="AK160"/>
  <c r="AK161"/>
  <c r="AK166"/>
  <c r="AK196"/>
  <c r="AK197"/>
  <c r="AK200"/>
  <c r="AK318"/>
  <c r="AK319"/>
  <c r="AK382"/>
  <c r="AK383"/>
  <c r="AK384"/>
  <c r="AK385"/>
  <c r="AK121"/>
  <c r="AK124"/>
  <c r="AK153"/>
  <c r="AK163"/>
  <c r="AK167"/>
  <c r="AK180"/>
  <c r="AK182"/>
  <c r="AK187"/>
  <c r="AK192"/>
  <c r="AK320"/>
  <c r="AK321"/>
  <c r="AK386"/>
  <c r="AK387"/>
  <c r="AK388"/>
  <c r="AK389"/>
  <c r="AK107"/>
  <c r="AK108"/>
  <c r="AK110"/>
  <c r="AK113"/>
  <c r="AK119"/>
  <c r="AK123"/>
  <c r="AK130"/>
  <c r="AK139"/>
  <c r="AK141"/>
  <c r="AK151"/>
  <c r="AK159"/>
  <c r="AK174"/>
  <c r="AK185"/>
  <c r="AK191"/>
  <c r="AK195"/>
  <c r="AK322"/>
  <c r="AK323"/>
  <c r="AK390"/>
  <c r="AK391"/>
  <c r="AK392"/>
  <c r="AK393"/>
  <c r="AK109"/>
  <c r="AK115"/>
  <c r="AK116"/>
  <c r="AK118"/>
  <c r="AK122"/>
  <c r="AK143"/>
  <c r="AK145"/>
  <c r="AK146"/>
  <c r="AK164"/>
  <c r="AK172"/>
  <c r="AK177"/>
  <c r="AK178"/>
  <c r="AK179"/>
  <c r="AK181"/>
  <c r="AK199"/>
  <c r="AK324"/>
  <c r="AK325"/>
  <c r="AK394"/>
  <c r="AK395"/>
  <c r="AK396"/>
  <c r="AK397"/>
  <c r="AK106"/>
  <c r="AK111"/>
  <c r="AK117"/>
  <c r="AK128"/>
  <c r="AK131"/>
  <c r="AK147"/>
  <c r="AK150"/>
  <c r="AK169"/>
  <c r="AK171"/>
  <c r="AK176"/>
  <c r="AK184"/>
  <c r="AK326"/>
  <c r="AK327"/>
  <c r="AK398"/>
  <c r="AK399"/>
  <c r="AK400"/>
  <c r="AK401"/>
  <c r="AK102"/>
  <c r="AK126"/>
  <c r="AK138"/>
  <c r="AK149"/>
  <c r="AK158"/>
  <c r="AK189"/>
  <c r="AK193"/>
  <c r="AK328"/>
  <c r="AK329"/>
  <c r="AK402"/>
  <c r="AK403"/>
  <c r="AK404"/>
  <c r="AK405"/>
  <c r="AK206"/>
  <c r="AK215"/>
  <c r="AK223"/>
  <c r="AK246"/>
  <c r="AK248"/>
  <c r="AK250"/>
  <c r="AK264"/>
  <c r="AK275"/>
  <c r="AK285"/>
  <c r="AK330"/>
  <c r="AK331"/>
  <c r="AK406"/>
  <c r="AK407"/>
  <c r="AK408"/>
  <c r="AK409"/>
  <c r="AK209"/>
  <c r="AK214"/>
  <c r="AK221"/>
  <c r="AK230"/>
  <c r="AK235"/>
  <c r="AK239"/>
  <c r="AK240"/>
  <c r="AK249"/>
  <c r="AK252"/>
  <c r="AK258"/>
  <c r="AK263"/>
  <c r="AK271"/>
  <c r="AK276"/>
  <c r="AK287"/>
  <c r="AK332"/>
  <c r="AK333"/>
  <c r="AK410"/>
  <c r="AK411"/>
  <c r="AK412"/>
  <c r="AK413"/>
  <c r="AK207"/>
  <c r="AK213"/>
  <c r="AK220"/>
  <c r="AK229"/>
  <c r="AK233"/>
  <c r="AK234"/>
  <c r="AK241"/>
  <c r="AK244"/>
  <c r="AK245"/>
  <c r="AK251"/>
  <c r="AK260"/>
  <c r="AK266"/>
  <c r="AK267"/>
  <c r="AK274"/>
  <c r="AK282"/>
  <c r="AK288"/>
  <c r="AK292"/>
  <c r="AK294"/>
  <c r="AK298"/>
  <c r="AK334"/>
  <c r="AK335"/>
  <c r="AK414"/>
  <c r="AK415"/>
  <c r="AK416"/>
  <c r="AK417"/>
  <c r="AK203"/>
  <c r="AK205"/>
  <c r="AK210"/>
  <c r="AK212"/>
  <c r="AK217"/>
  <c r="AK228"/>
  <c r="AK243"/>
  <c r="AK259"/>
  <c r="AK270"/>
  <c r="AK273"/>
  <c r="AK277"/>
  <c r="AK281"/>
  <c r="AK289"/>
  <c r="AK296"/>
  <c r="AK297"/>
  <c r="AK299"/>
  <c r="AK336"/>
  <c r="AK337"/>
  <c r="AK418"/>
  <c r="AK419"/>
  <c r="AK420"/>
  <c r="AK421"/>
  <c r="AK201"/>
  <c r="AK208"/>
  <c r="AK218"/>
  <c r="AK219"/>
  <c r="AK231"/>
  <c r="AK232"/>
  <c r="AK242"/>
  <c r="AK255"/>
  <c r="AK261"/>
  <c r="AK262"/>
  <c r="AK265"/>
  <c r="AK279"/>
  <c r="AK280"/>
  <c r="AK286"/>
  <c r="AK290"/>
  <c r="AK291"/>
  <c r="AK295"/>
  <c r="AK300"/>
  <c r="AK338"/>
  <c r="AK339"/>
  <c r="AK422"/>
  <c r="AK423"/>
  <c r="AK424"/>
  <c r="AK425"/>
  <c r="AK202"/>
  <c r="AK216"/>
  <c r="AK227"/>
  <c r="AK236"/>
  <c r="AK237"/>
  <c r="AK238"/>
  <c r="AK253"/>
  <c r="AK268"/>
  <c r="AK269"/>
  <c r="AK272"/>
  <c r="AK278"/>
  <c r="AK283"/>
  <c r="AK284"/>
  <c r="AK340"/>
  <c r="AK341"/>
  <c r="AK426"/>
  <c r="AK427"/>
  <c r="AK428"/>
  <c r="AK429"/>
  <c r="AK204"/>
  <c r="AK224"/>
  <c r="AK225"/>
  <c r="AK247"/>
  <c r="AK254"/>
  <c r="AK256"/>
  <c r="AK257"/>
  <c r="AK293"/>
  <c r="AK342"/>
  <c r="AK343"/>
  <c r="AK430"/>
  <c r="AK431"/>
  <c r="AK432"/>
  <c r="AK433"/>
  <c r="AK2"/>
  <c r="AF10"/>
  <c r="AF14"/>
  <c r="AF26"/>
  <c r="AF33"/>
  <c r="AF40"/>
  <c r="AF48"/>
  <c r="AF53"/>
  <c r="AF55"/>
  <c r="AF57"/>
  <c r="AF58"/>
  <c r="AF71"/>
  <c r="AF78"/>
  <c r="AF79"/>
  <c r="AF80"/>
  <c r="AF81"/>
  <c r="AF83"/>
  <c r="AF84"/>
  <c r="AF93"/>
  <c r="AF100"/>
  <c r="AF301"/>
  <c r="AF302"/>
  <c r="AF344"/>
  <c r="AF345"/>
  <c r="AF346"/>
  <c r="AF3"/>
  <c r="AF11"/>
  <c r="AF13"/>
  <c r="AF17"/>
  <c r="AF29"/>
  <c r="AF34"/>
  <c r="AF43"/>
  <c r="AF52"/>
  <c r="AF61"/>
  <c r="AF82"/>
  <c r="AF303"/>
  <c r="AF304"/>
  <c r="AF347"/>
  <c r="AF348"/>
  <c r="AF349"/>
  <c r="AF350"/>
  <c r="AF4"/>
  <c r="AF12"/>
  <c r="AF22"/>
  <c r="AF24"/>
  <c r="AF25"/>
  <c r="AF28"/>
  <c r="AF31"/>
  <c r="AF46"/>
  <c r="AF60"/>
  <c r="AF62"/>
  <c r="AF63"/>
  <c r="AF67"/>
  <c r="AF75"/>
  <c r="AF97"/>
  <c r="AF98"/>
  <c r="AF305"/>
  <c r="AF306"/>
  <c r="AF351"/>
  <c r="AF352"/>
  <c r="AF353"/>
  <c r="AF354"/>
  <c r="AF8"/>
  <c r="AF15"/>
  <c r="AF16"/>
  <c r="AF19"/>
  <c r="AF21"/>
  <c r="AF30"/>
  <c r="AF36"/>
  <c r="AF39"/>
  <c r="AF42"/>
  <c r="AF51"/>
  <c r="AF54"/>
  <c r="AF59"/>
  <c r="AF66"/>
  <c r="AF72"/>
  <c r="AF74"/>
  <c r="AF77"/>
  <c r="AF85"/>
  <c r="AF88"/>
  <c r="AF91"/>
  <c r="AF307"/>
  <c r="AF308"/>
  <c r="AF355"/>
  <c r="AF356"/>
  <c r="AF357"/>
  <c r="AF358"/>
  <c r="AF6"/>
  <c r="AF20"/>
  <c r="AF23"/>
  <c r="AF27"/>
  <c r="AF37"/>
  <c r="AF44"/>
  <c r="AF47"/>
  <c r="AF49"/>
  <c r="AF50"/>
  <c r="AF65"/>
  <c r="AF68"/>
  <c r="AF87"/>
  <c r="AF90"/>
  <c r="AF96"/>
  <c r="AF309"/>
  <c r="AF310"/>
  <c r="AF359"/>
  <c r="AF360"/>
  <c r="AF361"/>
  <c r="AF362"/>
  <c r="AF9"/>
  <c r="AF18"/>
  <c r="AF32"/>
  <c r="AF35"/>
  <c r="AF38"/>
  <c r="AF41"/>
  <c r="AF45"/>
  <c r="AF56"/>
  <c r="AF64"/>
  <c r="AF69"/>
  <c r="AF70"/>
  <c r="AF73"/>
  <c r="AF76"/>
  <c r="AF86"/>
  <c r="AF89"/>
  <c r="AF92"/>
  <c r="AF94"/>
  <c r="AF95"/>
  <c r="AF99"/>
  <c r="AF311"/>
  <c r="AF312"/>
  <c r="AF363"/>
  <c r="AF364"/>
  <c r="AF365"/>
  <c r="AF104"/>
  <c r="AF105"/>
  <c r="AF129"/>
  <c r="AF137"/>
  <c r="AF144"/>
  <c r="AF152"/>
  <c r="AF175"/>
  <c r="AF313"/>
  <c r="AF314"/>
  <c r="AF366"/>
  <c r="AF367"/>
  <c r="AF368"/>
  <c r="AF369"/>
  <c r="AF101"/>
  <c r="AF125"/>
  <c r="AF134"/>
  <c r="AF135"/>
  <c r="AF142"/>
  <c r="AF173"/>
  <c r="AF198"/>
  <c r="AF315"/>
  <c r="AF370"/>
  <c r="AF371"/>
  <c r="AF372"/>
  <c r="AF373"/>
  <c r="AF112"/>
  <c r="AF133"/>
  <c r="AF162"/>
  <c r="AF170"/>
  <c r="AF194"/>
  <c r="AF316"/>
  <c r="AF374"/>
  <c r="AF375"/>
  <c r="AF376"/>
  <c r="AF377"/>
  <c r="AF114"/>
  <c r="AF136"/>
  <c r="AF154"/>
  <c r="AF155"/>
  <c r="AF156"/>
  <c r="AF157"/>
  <c r="AF165"/>
  <c r="AF168"/>
  <c r="AF183"/>
  <c r="AF188"/>
  <c r="AF190"/>
  <c r="AF226"/>
  <c r="AF317"/>
  <c r="AF378"/>
  <c r="AF379"/>
  <c r="AF380"/>
  <c r="AF381"/>
  <c r="AF120"/>
  <c r="AF132"/>
  <c r="AF140"/>
  <c r="AF148"/>
  <c r="AF160"/>
  <c r="AF161"/>
  <c r="AF166"/>
  <c r="AF196"/>
  <c r="AF197"/>
  <c r="AF200"/>
  <c r="AF318"/>
  <c r="AF319"/>
  <c r="AF382"/>
  <c r="AF383"/>
  <c r="AF384"/>
  <c r="AF385"/>
  <c r="AF121"/>
  <c r="AF124"/>
  <c r="AF153"/>
  <c r="AF163"/>
  <c r="AF167"/>
  <c r="AF180"/>
  <c r="AF182"/>
  <c r="AF187"/>
  <c r="AF192"/>
  <c r="AF320"/>
  <c r="AF321"/>
  <c r="AF386"/>
  <c r="AF387"/>
  <c r="AF388"/>
  <c r="AF389"/>
  <c r="AF107"/>
  <c r="AF108"/>
  <c r="AF110"/>
  <c r="AF113"/>
  <c r="AF119"/>
  <c r="AF123"/>
  <c r="AF130"/>
  <c r="AF139"/>
  <c r="AF141"/>
  <c r="AF151"/>
  <c r="AF159"/>
  <c r="AF174"/>
  <c r="AF185"/>
  <c r="AF191"/>
  <c r="AF195"/>
  <c r="AF322"/>
  <c r="AF323"/>
  <c r="AF390"/>
  <c r="AF391"/>
  <c r="AF392"/>
  <c r="AF393"/>
  <c r="AF109"/>
  <c r="AF115"/>
  <c r="AF116"/>
  <c r="AF118"/>
  <c r="AF122"/>
  <c r="AF143"/>
  <c r="AF145"/>
  <c r="AF146"/>
  <c r="AF164"/>
  <c r="AF172"/>
  <c r="AF177"/>
  <c r="AF178"/>
  <c r="AF179"/>
  <c r="AF181"/>
  <c r="AF199"/>
  <c r="AF324"/>
  <c r="AF325"/>
  <c r="AF394"/>
  <c r="AF395"/>
  <c r="AF396"/>
  <c r="AF397"/>
  <c r="AF106"/>
  <c r="AF111"/>
  <c r="AF117"/>
  <c r="AF128"/>
  <c r="AF131"/>
  <c r="AF147"/>
  <c r="AF150"/>
  <c r="AF169"/>
  <c r="AF171"/>
  <c r="AF176"/>
  <c r="AF184"/>
  <c r="AF326"/>
  <c r="AF327"/>
  <c r="AF398"/>
  <c r="AF399"/>
  <c r="AF400"/>
  <c r="AF401"/>
  <c r="AF102"/>
  <c r="AF126"/>
  <c r="AF149"/>
  <c r="AF158"/>
  <c r="AF186"/>
  <c r="AF189"/>
  <c r="AF193"/>
  <c r="AF328"/>
  <c r="AF329"/>
  <c r="AF402"/>
  <c r="AF403"/>
  <c r="AF404"/>
  <c r="AF405"/>
  <c r="AF215"/>
  <c r="AF223"/>
  <c r="AF246"/>
  <c r="AF248"/>
  <c r="AF250"/>
  <c r="AF264"/>
  <c r="AF275"/>
  <c r="AF285"/>
  <c r="AF330"/>
  <c r="AF331"/>
  <c r="AF406"/>
  <c r="AF407"/>
  <c r="AF408"/>
  <c r="AF409"/>
  <c r="AF209"/>
  <c r="AF214"/>
  <c r="AF221"/>
  <c r="AF230"/>
  <c r="AF235"/>
  <c r="AF239"/>
  <c r="AF240"/>
  <c r="AF249"/>
  <c r="AF258"/>
  <c r="AF263"/>
  <c r="AF271"/>
  <c r="AF276"/>
  <c r="AF287"/>
  <c r="AF332"/>
  <c r="AF333"/>
  <c r="AF410"/>
  <c r="AF411"/>
  <c r="AF412"/>
  <c r="AF413"/>
  <c r="AF207"/>
  <c r="AF211"/>
  <c r="AF213"/>
  <c r="AF220"/>
  <c r="AF222"/>
  <c r="AF229"/>
  <c r="AF233"/>
  <c r="AF234"/>
  <c r="AF241"/>
  <c r="AF244"/>
  <c r="AF245"/>
  <c r="AF251"/>
  <c r="AF260"/>
  <c r="AF266"/>
  <c r="AF267"/>
  <c r="AF274"/>
  <c r="AF282"/>
  <c r="AF288"/>
  <c r="AF292"/>
  <c r="AF294"/>
  <c r="AF298"/>
  <c r="AF334"/>
  <c r="AF335"/>
  <c r="AF414"/>
  <c r="AF415"/>
  <c r="AF416"/>
  <c r="AF417"/>
  <c r="AF203"/>
  <c r="AF205"/>
  <c r="AF210"/>
  <c r="AF212"/>
  <c r="AF217"/>
  <c r="AF228"/>
  <c r="AF243"/>
  <c r="AF259"/>
  <c r="AF270"/>
  <c r="AF273"/>
  <c r="AF277"/>
  <c r="AF289"/>
  <c r="AF296"/>
  <c r="AF297"/>
  <c r="AF299"/>
  <c r="AF336"/>
  <c r="AF337"/>
  <c r="AF418"/>
  <c r="AF419"/>
  <c r="AF420"/>
  <c r="AF421"/>
  <c r="AF208"/>
  <c r="AF218"/>
  <c r="AF219"/>
  <c r="AF231"/>
  <c r="AF232"/>
  <c r="AF242"/>
  <c r="AF255"/>
  <c r="AF261"/>
  <c r="AF262"/>
  <c r="AF265"/>
  <c r="AF279"/>
  <c r="AF280"/>
  <c r="AF286"/>
  <c r="AF290"/>
  <c r="AF291"/>
  <c r="AF295"/>
  <c r="AF300"/>
  <c r="AF338"/>
  <c r="AF339"/>
  <c r="AF422"/>
  <c r="AF423"/>
  <c r="AF424"/>
  <c r="AF425"/>
  <c r="AF202"/>
  <c r="AF216"/>
  <c r="AF227"/>
  <c r="AF236"/>
  <c r="AF237"/>
  <c r="AF238"/>
  <c r="AF253"/>
  <c r="AF268"/>
  <c r="AF269"/>
  <c r="AF272"/>
  <c r="AF278"/>
  <c r="AF284"/>
  <c r="AF340"/>
  <c r="AF341"/>
  <c r="AF426"/>
  <c r="AF427"/>
  <c r="AF428"/>
  <c r="AF429"/>
  <c r="AF204"/>
  <c r="AF224"/>
  <c r="AF225"/>
  <c r="AF247"/>
  <c r="AF254"/>
  <c r="AF256"/>
  <c r="AF257"/>
  <c r="AF293"/>
  <c r="AF342"/>
  <c r="AF343"/>
  <c r="AF430"/>
  <c r="AF431"/>
  <c r="AF432"/>
  <c r="AF433"/>
  <c r="AF2"/>
  <c r="AB26"/>
  <c r="AB33"/>
  <c r="AB40"/>
  <c r="AB48"/>
  <c r="AB53"/>
  <c r="AB55"/>
  <c r="AB57"/>
  <c r="AB58"/>
  <c r="AB71"/>
  <c r="AB78"/>
  <c r="AB79"/>
  <c r="AB80"/>
  <c r="AB81"/>
  <c r="AB83"/>
  <c r="AB84"/>
  <c r="AB93"/>
  <c r="AB100"/>
  <c r="AB302"/>
  <c r="AB344"/>
  <c r="AB345"/>
  <c r="AB346"/>
  <c r="AB3"/>
  <c r="AB7"/>
  <c r="AB11"/>
  <c r="AB13"/>
  <c r="AB17"/>
  <c r="AB29"/>
  <c r="AB34"/>
  <c r="AB43"/>
  <c r="AB52"/>
  <c r="AB61"/>
  <c r="AB82"/>
  <c r="AB304"/>
  <c r="AB347"/>
  <c r="AB348"/>
  <c r="AB349"/>
  <c r="AB4"/>
  <c r="AB12"/>
  <c r="AB22"/>
  <c r="AB24"/>
  <c r="AB25"/>
  <c r="AB28"/>
  <c r="AB31"/>
  <c r="AB46"/>
  <c r="AB60"/>
  <c r="AB62"/>
  <c r="AB63"/>
  <c r="AB67"/>
  <c r="AB75"/>
  <c r="AB97"/>
  <c r="AB98"/>
  <c r="AB305"/>
  <c r="AB306"/>
  <c r="AB351"/>
  <c r="AB352"/>
  <c r="AB353"/>
  <c r="AB354"/>
  <c r="AB5"/>
  <c r="AB16"/>
  <c r="AB19"/>
  <c r="AB21"/>
  <c r="AB30"/>
  <c r="AB36"/>
  <c r="AB39"/>
  <c r="AB51"/>
  <c r="AB59"/>
  <c r="AB66"/>
  <c r="AB72"/>
  <c r="AB74"/>
  <c r="AB77"/>
  <c r="AB88"/>
  <c r="AB91"/>
  <c r="AB307"/>
  <c r="AB308"/>
  <c r="AB356"/>
  <c r="AB357"/>
  <c r="AB358"/>
  <c r="AB6"/>
  <c r="AB23"/>
  <c r="AB27"/>
  <c r="AB44"/>
  <c r="AB47"/>
  <c r="AB49"/>
  <c r="AB50"/>
  <c r="AB65"/>
  <c r="AB68"/>
  <c r="AB87"/>
  <c r="AB90"/>
  <c r="AB96"/>
  <c r="AB309"/>
  <c r="AB310"/>
  <c r="AB359"/>
  <c r="AB360"/>
  <c r="AB361"/>
  <c r="AB362"/>
  <c r="AB9"/>
  <c r="AB18"/>
  <c r="AB32"/>
  <c r="AB38"/>
  <c r="AB41"/>
  <c r="AB45"/>
  <c r="AB56"/>
  <c r="AB64"/>
  <c r="AB69"/>
  <c r="AB70"/>
  <c r="AB73"/>
  <c r="AB76"/>
  <c r="AB86"/>
  <c r="AB89"/>
  <c r="AB92"/>
  <c r="AB99"/>
  <c r="AB311"/>
  <c r="AB312"/>
  <c r="AB363"/>
  <c r="AB364"/>
  <c r="AB365"/>
  <c r="AB104"/>
  <c r="AB129"/>
  <c r="AB137"/>
  <c r="AB144"/>
  <c r="AB152"/>
  <c r="AB175"/>
  <c r="AB313"/>
  <c r="AB314"/>
  <c r="AB366"/>
  <c r="AB367"/>
  <c r="AB368"/>
  <c r="AB369"/>
  <c r="AB101"/>
  <c r="AB103"/>
  <c r="AB125"/>
  <c r="AB134"/>
  <c r="AB135"/>
  <c r="AB142"/>
  <c r="AB173"/>
  <c r="AB198"/>
  <c r="AB315"/>
  <c r="AB370"/>
  <c r="AB371"/>
  <c r="AB372"/>
  <c r="AB112"/>
  <c r="AB133"/>
  <c r="AB162"/>
  <c r="AB170"/>
  <c r="AB194"/>
  <c r="AB316"/>
  <c r="AB375"/>
  <c r="AB376"/>
  <c r="AB377"/>
  <c r="AB114"/>
  <c r="AB154"/>
  <c r="AB155"/>
  <c r="AB156"/>
  <c r="AB157"/>
  <c r="AB165"/>
  <c r="AB183"/>
  <c r="AB188"/>
  <c r="AB190"/>
  <c r="AB226"/>
  <c r="AB317"/>
  <c r="AB378"/>
  <c r="AB379"/>
  <c r="AB380"/>
  <c r="AB381"/>
  <c r="AB120"/>
  <c r="AB127"/>
  <c r="AB132"/>
  <c r="AB140"/>
  <c r="AB148"/>
  <c r="AB160"/>
  <c r="AB161"/>
  <c r="AB166"/>
  <c r="AB196"/>
  <c r="AB197"/>
  <c r="AB200"/>
  <c r="AB318"/>
  <c r="AB319"/>
  <c r="AB382"/>
  <c r="AB383"/>
  <c r="AB384"/>
  <c r="AB385"/>
  <c r="AB121"/>
  <c r="AB124"/>
  <c r="AB163"/>
  <c r="AB167"/>
  <c r="AB180"/>
  <c r="AB182"/>
  <c r="AB187"/>
  <c r="AB192"/>
  <c r="AB320"/>
  <c r="AB321"/>
  <c r="AB386"/>
  <c r="AB387"/>
  <c r="AB388"/>
  <c r="AB389"/>
  <c r="AB107"/>
  <c r="AB108"/>
  <c r="AB110"/>
  <c r="AB113"/>
  <c r="AB119"/>
  <c r="AB123"/>
  <c r="AB130"/>
  <c r="AB139"/>
  <c r="AB141"/>
  <c r="AB151"/>
  <c r="AB159"/>
  <c r="AB185"/>
  <c r="AB191"/>
  <c r="AB195"/>
  <c r="AB322"/>
  <c r="AB323"/>
  <c r="AB390"/>
  <c r="AB391"/>
  <c r="AB392"/>
  <c r="AB393"/>
  <c r="AB109"/>
  <c r="AB115"/>
  <c r="AB116"/>
  <c r="AB118"/>
  <c r="AB122"/>
  <c r="AB143"/>
  <c r="AB145"/>
  <c r="AB146"/>
  <c r="AB164"/>
  <c r="AB172"/>
  <c r="AB177"/>
  <c r="AB178"/>
  <c r="AB179"/>
  <c r="AB199"/>
  <c r="AB324"/>
  <c r="AB325"/>
  <c r="AB395"/>
  <c r="AB396"/>
  <c r="AB397"/>
  <c r="AB106"/>
  <c r="AB111"/>
  <c r="AB117"/>
  <c r="AB128"/>
  <c r="AB131"/>
  <c r="AB147"/>
  <c r="AB150"/>
  <c r="AB169"/>
  <c r="AB171"/>
  <c r="AB176"/>
  <c r="AB184"/>
  <c r="AB326"/>
  <c r="AB327"/>
  <c r="AB398"/>
  <c r="AB399"/>
  <c r="AB400"/>
  <c r="AB401"/>
  <c r="AB102"/>
  <c r="AB126"/>
  <c r="AB138"/>
  <c r="AB149"/>
  <c r="AB158"/>
  <c r="AB189"/>
  <c r="AB193"/>
  <c r="AB328"/>
  <c r="AB329"/>
  <c r="AB402"/>
  <c r="AB403"/>
  <c r="AB404"/>
  <c r="AB405"/>
  <c r="AB206"/>
  <c r="AB246"/>
  <c r="AB248"/>
  <c r="AB264"/>
  <c r="AB275"/>
  <c r="AB285"/>
  <c r="AB330"/>
  <c r="AB331"/>
  <c r="AB406"/>
  <c r="AB407"/>
  <c r="AB408"/>
  <c r="AB409"/>
  <c r="AB209"/>
  <c r="AB214"/>
  <c r="AB221"/>
  <c r="AB230"/>
  <c r="AB235"/>
  <c r="AB239"/>
  <c r="AB240"/>
  <c r="AB249"/>
  <c r="AB252"/>
  <c r="AB258"/>
  <c r="AB263"/>
  <c r="AB271"/>
  <c r="AB276"/>
  <c r="AB287"/>
  <c r="AB332"/>
  <c r="AB333"/>
  <c r="AB410"/>
  <c r="AB411"/>
  <c r="AB412"/>
  <c r="AB413"/>
  <c r="AB207"/>
  <c r="AB211"/>
  <c r="AB213"/>
  <c r="AB229"/>
  <c r="AB233"/>
  <c r="AB241"/>
  <c r="AB244"/>
  <c r="AB251"/>
  <c r="AB260"/>
  <c r="AB266"/>
  <c r="AB267"/>
  <c r="AB274"/>
  <c r="AB282"/>
  <c r="AB288"/>
  <c r="AB292"/>
  <c r="AB294"/>
  <c r="AB298"/>
  <c r="AB334"/>
  <c r="AB335"/>
  <c r="AB414"/>
  <c r="AB415"/>
  <c r="AB416"/>
  <c r="AB417"/>
  <c r="AB203"/>
  <c r="AB205"/>
  <c r="AB210"/>
  <c r="AB212"/>
  <c r="AB217"/>
  <c r="AB228"/>
  <c r="AB243"/>
  <c r="AB259"/>
  <c r="AB270"/>
  <c r="AB273"/>
  <c r="AB277"/>
  <c r="AB281"/>
  <c r="AB289"/>
  <c r="AB296"/>
  <c r="AB297"/>
  <c r="AB299"/>
  <c r="AB336"/>
  <c r="AB337"/>
  <c r="AB418"/>
  <c r="AB419"/>
  <c r="AB420"/>
  <c r="AB201"/>
  <c r="AB208"/>
  <c r="AB218"/>
  <c r="AB219"/>
  <c r="AB231"/>
  <c r="AB232"/>
  <c r="AB242"/>
  <c r="AB255"/>
  <c r="AB261"/>
  <c r="AB262"/>
  <c r="AB265"/>
  <c r="AB279"/>
  <c r="AB280"/>
  <c r="AB286"/>
  <c r="AB290"/>
  <c r="AB291"/>
  <c r="AB295"/>
  <c r="AB300"/>
  <c r="AB338"/>
  <c r="AB339"/>
  <c r="AB422"/>
  <c r="AB423"/>
  <c r="AB424"/>
  <c r="AB425"/>
  <c r="AB202"/>
  <c r="AB216"/>
  <c r="AB236"/>
  <c r="AB237"/>
  <c r="AB238"/>
  <c r="AB253"/>
  <c r="AB268"/>
  <c r="AB269"/>
  <c r="AB272"/>
  <c r="AB278"/>
  <c r="AB283"/>
  <c r="AB284"/>
  <c r="AB340"/>
  <c r="AB341"/>
  <c r="AB426"/>
  <c r="AB427"/>
  <c r="AB428"/>
  <c r="AB429"/>
  <c r="AB204"/>
  <c r="AB224"/>
  <c r="AB225"/>
  <c r="AB247"/>
  <c r="AB254"/>
  <c r="AB256"/>
  <c r="AB257"/>
  <c r="AB293"/>
  <c r="AB342"/>
  <c r="AB343"/>
  <c r="AB430"/>
  <c r="AB431"/>
  <c r="AB432"/>
  <c r="AB433"/>
  <c r="AB10"/>
  <c r="AB14"/>
  <c r="AB2"/>
  <c r="W2"/>
  <c r="W57"/>
  <c r="W58"/>
  <c r="W78"/>
  <c r="W79"/>
  <c r="W80"/>
  <c r="W81"/>
  <c r="W84"/>
  <c r="W93"/>
  <c r="W100"/>
  <c r="W301"/>
  <c r="W302"/>
  <c r="W344"/>
  <c r="W345"/>
  <c r="W7"/>
  <c r="W11"/>
  <c r="W29"/>
  <c r="W34"/>
  <c r="W43"/>
  <c r="W61"/>
  <c r="W303"/>
  <c r="W347"/>
  <c r="W348"/>
  <c r="W349"/>
  <c r="W350"/>
  <c r="W4"/>
  <c r="W24"/>
  <c r="W25"/>
  <c r="W31"/>
  <c r="W46"/>
  <c r="W60"/>
  <c r="W62"/>
  <c r="W63"/>
  <c r="W67"/>
  <c r="W75"/>
  <c r="W97"/>
  <c r="W305"/>
  <c r="W306"/>
  <c r="W352"/>
  <c r="W353"/>
  <c r="W354"/>
  <c r="W5"/>
  <c r="W8"/>
  <c r="W15"/>
  <c r="W16"/>
  <c r="W30"/>
  <c r="W36"/>
  <c r="W39"/>
  <c r="W42"/>
  <c r="W51"/>
  <c r="W54"/>
  <c r="W59"/>
  <c r="W66"/>
  <c r="W72"/>
  <c r="W74"/>
  <c r="W77"/>
  <c r="W88"/>
  <c r="W91"/>
  <c r="W307"/>
  <c r="W355"/>
  <c r="W356"/>
  <c r="W357"/>
  <c r="W20"/>
  <c r="W27"/>
  <c r="W44"/>
  <c r="W47"/>
  <c r="W49"/>
  <c r="W50"/>
  <c r="W65"/>
  <c r="W68"/>
  <c r="W90"/>
  <c r="W96"/>
  <c r="W309"/>
  <c r="W310"/>
  <c r="W359"/>
  <c r="W360"/>
  <c r="W362"/>
  <c r="W9"/>
  <c r="W18"/>
  <c r="W32"/>
  <c r="W35"/>
  <c r="W38"/>
  <c r="W41"/>
  <c r="W64"/>
  <c r="W69"/>
  <c r="W70"/>
  <c r="W86"/>
  <c r="W89"/>
  <c r="W92"/>
  <c r="W95"/>
  <c r="W311"/>
  <c r="W312"/>
  <c r="W363"/>
  <c r="W364"/>
  <c r="W104"/>
  <c r="W105"/>
  <c r="W129"/>
  <c r="W137"/>
  <c r="W152"/>
  <c r="W175"/>
  <c r="W314"/>
  <c r="W366"/>
  <c r="W368"/>
  <c r="W369"/>
  <c r="W101"/>
  <c r="W125"/>
  <c r="W134"/>
  <c r="W135"/>
  <c r="W173"/>
  <c r="W198"/>
  <c r="W315"/>
  <c r="W371"/>
  <c r="W372"/>
  <c r="W373"/>
  <c r="W112"/>
  <c r="W162"/>
  <c r="W170"/>
  <c r="W194"/>
  <c r="W375"/>
  <c r="W114"/>
  <c r="W136"/>
  <c r="W155"/>
  <c r="W157"/>
  <c r="W168"/>
  <c r="W183"/>
  <c r="W188"/>
  <c r="W190"/>
  <c r="W226"/>
  <c r="W317"/>
  <c r="W378"/>
  <c r="W379"/>
  <c r="W380"/>
  <c r="W381"/>
  <c r="W120"/>
  <c r="W127"/>
  <c r="W148"/>
  <c r="W161"/>
  <c r="W166"/>
  <c r="W196"/>
  <c r="W197"/>
  <c r="W200"/>
  <c r="W318"/>
  <c r="W319"/>
  <c r="W382"/>
  <c r="W383"/>
  <c r="W384"/>
  <c r="W385"/>
  <c r="W121"/>
  <c r="W153"/>
  <c r="W163"/>
  <c r="W167"/>
  <c r="W180"/>
  <c r="W187"/>
  <c r="W192"/>
  <c r="W320"/>
  <c r="W321"/>
  <c r="W386"/>
  <c r="W388"/>
  <c r="W107"/>
  <c r="W108"/>
  <c r="W113"/>
  <c r="W119"/>
  <c r="W123"/>
  <c r="W130"/>
  <c r="W139"/>
  <c r="W141"/>
  <c r="W151"/>
  <c r="W185"/>
  <c r="W191"/>
  <c r="W322"/>
  <c r="W323"/>
  <c r="W390"/>
  <c r="W391"/>
  <c r="W392"/>
  <c r="W393"/>
  <c r="W115"/>
  <c r="W118"/>
  <c r="W122"/>
  <c r="W143"/>
  <c r="W145"/>
  <c r="W146"/>
  <c r="W164"/>
  <c r="W172"/>
  <c r="W177"/>
  <c r="W178"/>
  <c r="W324"/>
  <c r="W325"/>
  <c r="W394"/>
  <c r="W395"/>
  <c r="W396"/>
  <c r="W397"/>
  <c r="W106"/>
  <c r="W117"/>
  <c r="W128"/>
  <c r="W147"/>
  <c r="W150"/>
  <c r="W169"/>
  <c r="W171"/>
  <c r="W176"/>
  <c r="W184"/>
  <c r="W326"/>
  <c r="W327"/>
  <c r="W398"/>
  <c r="W399"/>
  <c r="W400"/>
  <c r="W401"/>
  <c r="W102"/>
  <c r="W126"/>
  <c r="W138"/>
  <c r="W149"/>
  <c r="W186"/>
  <c r="W193"/>
  <c r="W328"/>
  <c r="W329"/>
  <c r="W402"/>
  <c r="W403"/>
  <c r="W404"/>
  <c r="W405"/>
  <c r="W206"/>
  <c r="W223"/>
  <c r="W246"/>
  <c r="W264"/>
  <c r="W275"/>
  <c r="W285"/>
  <c r="W331"/>
  <c r="W406"/>
  <c r="W407"/>
  <c r="W408"/>
  <c r="W409"/>
  <c r="W209"/>
  <c r="W214"/>
  <c r="W230"/>
  <c r="W235"/>
  <c r="W249"/>
  <c r="W252"/>
  <c r="W258"/>
  <c r="W263"/>
  <c r="W271"/>
  <c r="W276"/>
  <c r="W287"/>
  <c r="W332"/>
  <c r="W333"/>
  <c r="W410"/>
  <c r="W411"/>
  <c r="W412"/>
  <c r="W413"/>
  <c r="W207"/>
  <c r="W211"/>
  <c r="W213"/>
  <c r="W220"/>
  <c r="W222"/>
  <c r="W229"/>
  <c r="W234"/>
  <c r="W241"/>
  <c r="W251"/>
  <c r="W260"/>
  <c r="W266"/>
  <c r="W267"/>
  <c r="W274"/>
  <c r="W282"/>
  <c r="W288"/>
  <c r="W294"/>
  <c r="W298"/>
  <c r="W334"/>
  <c r="W335"/>
  <c r="W414"/>
  <c r="W415"/>
  <c r="W416"/>
  <c r="W417"/>
  <c r="W203"/>
  <c r="W205"/>
  <c r="W210"/>
  <c r="W212"/>
  <c r="W217"/>
  <c r="W228"/>
  <c r="W243"/>
  <c r="W259"/>
  <c r="W270"/>
  <c r="W273"/>
  <c r="W277"/>
  <c r="W281"/>
  <c r="W289"/>
  <c r="W296"/>
  <c r="W297"/>
  <c r="W299"/>
  <c r="W336"/>
  <c r="W337"/>
  <c r="W418"/>
  <c r="W419"/>
  <c r="W420"/>
  <c r="W421"/>
  <c r="W201"/>
  <c r="W208"/>
  <c r="W219"/>
  <c r="W231"/>
  <c r="W232"/>
  <c r="W242"/>
  <c r="W255"/>
  <c r="W261"/>
  <c r="W262"/>
  <c r="W265"/>
  <c r="W279"/>
  <c r="W280"/>
  <c r="W286"/>
  <c r="W290"/>
  <c r="W291"/>
  <c r="W295"/>
  <c r="W300"/>
  <c r="W338"/>
  <c r="W339"/>
  <c r="W422"/>
  <c r="W423"/>
  <c r="W424"/>
  <c r="W425"/>
  <c r="W202"/>
  <c r="W216"/>
  <c r="W227"/>
  <c r="W236"/>
  <c r="W237"/>
  <c r="W238"/>
  <c r="W268"/>
  <c r="W272"/>
  <c r="W283"/>
  <c r="W284"/>
  <c r="W340"/>
  <c r="W341"/>
  <c r="W426"/>
  <c r="W427"/>
  <c r="W429"/>
  <c r="W204"/>
  <c r="W224"/>
  <c r="W225"/>
  <c r="W247"/>
  <c r="W254"/>
  <c r="W256"/>
  <c r="W257"/>
  <c r="W293"/>
  <c r="W342"/>
  <c r="W343"/>
  <c r="W431"/>
  <c r="W432"/>
  <c r="W14"/>
  <c r="W33"/>
  <c r="W40"/>
  <c r="W48"/>
  <c r="W10"/>
  <c r="L12" i="10"/>
  <c r="L32"/>
  <c r="K3"/>
  <c r="L3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K33"/>
  <c r="L33" s="1"/>
  <c r="K34"/>
  <c r="L34" s="1"/>
  <c r="K35"/>
  <c r="L35" s="1"/>
  <c r="K2"/>
  <c r="L2" s="1"/>
  <c r="L7" i="9"/>
  <c r="K3"/>
  <c r="L3" s="1"/>
  <c r="K4"/>
  <c r="L4" s="1"/>
  <c r="K5"/>
  <c r="L5" s="1"/>
  <c r="K6"/>
  <c r="L6" s="1"/>
  <c r="K7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2"/>
  <c r="L2" s="1"/>
  <c r="AA38" i="1"/>
  <c r="AA13"/>
  <c r="AA10"/>
  <c r="Q345"/>
  <c r="Q29" s="1"/>
  <c r="Q28" s="1"/>
  <c r="Q75" s="1"/>
  <c r="Y100" l="1"/>
  <c r="Y2"/>
  <c r="W218"/>
  <c r="W158"/>
  <c r="W116"/>
  <c r="W174"/>
  <c r="W140"/>
  <c r="W156"/>
  <c r="W144"/>
  <c r="W76"/>
  <c r="AB95"/>
  <c r="W278"/>
  <c r="W253"/>
  <c r="W111"/>
  <c r="W389"/>
  <c r="W304"/>
  <c r="W52"/>
  <c r="AB421"/>
  <c r="AB186"/>
  <c r="AB136"/>
  <c r="AB373"/>
  <c r="AB54"/>
  <c r="W430"/>
  <c r="W428"/>
  <c r="W292"/>
  <c r="W245"/>
  <c r="W233"/>
  <c r="W240"/>
  <c r="W221"/>
  <c r="W330"/>
  <c r="W250"/>
  <c r="W215"/>
  <c r="W131"/>
  <c r="W181"/>
  <c r="W195"/>
  <c r="W159"/>
  <c r="W110"/>
  <c r="W124"/>
  <c r="W132"/>
  <c r="W377"/>
  <c r="W316"/>
  <c r="W133"/>
  <c r="W313"/>
  <c r="W365"/>
  <c r="W73"/>
  <c r="W56"/>
  <c r="W87"/>
  <c r="W358"/>
  <c r="W308"/>
  <c r="W85"/>
  <c r="W21"/>
  <c r="W98"/>
  <c r="W22"/>
  <c r="W13"/>
  <c r="W346"/>
  <c r="W83"/>
  <c r="W55"/>
  <c r="AB227"/>
  <c r="AB234"/>
  <c r="AB220"/>
  <c r="AB223"/>
  <c r="AB174"/>
  <c r="AB153"/>
  <c r="AB374"/>
  <c r="AB94"/>
  <c r="AB37"/>
  <c r="AB355"/>
  <c r="AB15"/>
  <c r="AB350"/>
  <c r="AF201"/>
  <c r="AF206"/>
  <c r="AF138"/>
  <c r="AF127"/>
  <c r="AF103"/>
  <c r="AF5"/>
  <c r="W26"/>
  <c r="W199"/>
  <c r="W182"/>
  <c r="W374"/>
  <c r="W94"/>
  <c r="W37"/>
  <c r="W6"/>
  <c r="W17"/>
  <c r="W3"/>
  <c r="AB222"/>
  <c r="AB105"/>
  <c r="AB20"/>
  <c r="AF281"/>
  <c r="W433"/>
  <c r="W244"/>
  <c r="W239"/>
  <c r="W248"/>
  <c r="W189"/>
  <c r="W179"/>
  <c r="W109"/>
  <c r="W387"/>
  <c r="W160"/>
  <c r="W165"/>
  <c r="W154"/>
  <c r="W376"/>
  <c r="W370"/>
  <c r="W142"/>
  <c r="W103"/>
  <c r="W367"/>
  <c r="W99"/>
  <c r="W361"/>
  <c r="W23"/>
  <c r="W351"/>
  <c r="W28"/>
  <c r="W12"/>
  <c r="W82"/>
  <c r="W71"/>
  <c r="W53"/>
  <c r="AB245"/>
  <c r="AB215"/>
  <c r="AB394"/>
  <c r="AB168"/>
  <c r="AB85"/>
  <c r="AB8"/>
  <c r="AB301"/>
  <c r="Q39"/>
  <c r="Q21"/>
  <c r="Q42" s="1"/>
  <c r="Q72" s="1"/>
  <c r="S346"/>
  <c r="S79"/>
  <c r="S55"/>
  <c r="S26"/>
  <c r="S40" s="1"/>
  <c r="S302" s="1"/>
  <c r="S344" s="1"/>
  <c r="S14"/>
  <c r="Q14"/>
  <c r="AA27"/>
  <c r="Q36"/>
  <c r="S188"/>
  <c r="S37"/>
  <c r="S36"/>
  <c r="S60"/>
  <c r="S61"/>
  <c r="Q237"/>
  <c r="Q113"/>
  <c r="Q9"/>
  <c r="S81" l="1"/>
  <c r="S29" s="1"/>
  <c r="Q362"/>
  <c r="Q37"/>
  <c r="Q18" s="1"/>
  <c r="S306"/>
  <c r="S46"/>
  <c r="S100"/>
  <c r="S9"/>
  <c r="S2"/>
  <c r="AA11"/>
  <c r="Q45" l="1"/>
  <c r="S354"/>
  <c r="S98"/>
  <c r="C16" i="2"/>
  <c r="C17"/>
  <c r="C18"/>
  <c r="C19"/>
  <c r="C20"/>
  <c r="C21"/>
  <c r="C15"/>
  <c r="S21" i="1" l="1"/>
  <c r="S77" s="1"/>
  <c r="S82" s="1"/>
  <c r="S66"/>
  <c r="C22" i="2"/>
  <c r="S358" i="1" l="1"/>
  <c r="S85"/>
  <c r="S361" l="1"/>
  <c r="S87"/>
  <c r="S360" s="1"/>
  <c r="S70" s="1"/>
  <c r="S44"/>
  <c r="S73" s="1"/>
  <c r="Y222"/>
  <c r="Y213"/>
  <c r="AA233"/>
  <c r="Y43"/>
  <c r="Y75"/>
  <c r="Y247"/>
  <c r="Y429"/>
  <c r="Y224"/>
  <c r="Y225"/>
  <c r="Y145"/>
  <c r="Y177"/>
  <c r="AI115"/>
  <c r="Y143"/>
  <c r="Y123"/>
  <c r="Y151"/>
  <c r="Y373"/>
  <c r="Y385"/>
  <c r="AA148"/>
  <c r="Y364"/>
  <c r="Y70"/>
  <c r="Y147"/>
  <c r="Y289"/>
  <c r="Y121"/>
  <c r="Y155"/>
  <c r="Y362"/>
  <c r="Y160"/>
  <c r="Y67"/>
  <c r="Y46"/>
  <c r="Y23"/>
  <c r="Y381"/>
  <c r="Y165"/>
  <c r="Y284"/>
  <c r="Y64"/>
  <c r="Y32"/>
  <c r="Y18"/>
  <c r="Y51"/>
  <c r="Y42"/>
  <c r="Y30"/>
  <c r="Y242"/>
  <c r="Y152"/>
  <c r="AA115"/>
  <c r="Y117"/>
  <c r="Y250"/>
  <c r="Y330"/>
  <c r="Y41"/>
  <c r="Y73"/>
  <c r="Y221"/>
  <c r="Y241"/>
  <c r="Y219"/>
  <c r="Y370"/>
  <c r="AA142"/>
  <c r="Y29"/>
  <c r="AA42"/>
  <c r="Y21"/>
  <c r="AA133"/>
  <c r="AA24"/>
  <c r="Y352"/>
  <c r="Y285"/>
  <c r="Y246"/>
  <c r="Y153"/>
  <c r="Y72"/>
  <c r="Y159"/>
  <c r="Y150"/>
  <c r="Y187"/>
  <c r="Y116"/>
  <c r="Y316"/>
  <c r="AA37"/>
  <c r="Y44"/>
  <c r="Y360"/>
  <c r="AA45"/>
  <c r="AA50" s="1"/>
  <c r="Y76"/>
  <c r="Y428"/>
  <c r="Y8"/>
  <c r="AA91"/>
  <c r="Y367"/>
  <c r="Y366"/>
  <c r="Y283"/>
  <c r="Y377"/>
  <c r="Y337"/>
  <c r="Y28"/>
  <c r="Y421"/>
  <c r="AA151"/>
  <c r="S315" l="1"/>
  <c r="S372" s="1"/>
  <c r="S75"/>
  <c r="Q116"/>
  <c r="Q137"/>
  <c r="Q367"/>
  <c r="Q142"/>
  <c r="Q148"/>
  <c r="Q180"/>
  <c r="Q273"/>
  <c r="Q291"/>
</calcChain>
</file>

<file path=xl/sharedStrings.xml><?xml version="1.0" encoding="utf-8"?>
<sst xmlns="http://schemas.openxmlformats.org/spreadsheetml/2006/main" count="7188" uniqueCount="2266">
  <si>
    <t>Title</t>
  </si>
  <si>
    <t>Release date</t>
  </si>
  <si>
    <t>Genre</t>
  </si>
  <si>
    <t>Screens</t>
  </si>
  <si>
    <t>Director</t>
  </si>
  <si>
    <t>Hum Aapke Hain Koun..!</t>
  </si>
  <si>
    <t>Drama</t>
  </si>
  <si>
    <t>http://ibosnetwork.com/</t>
  </si>
  <si>
    <t>http://www.boxofficeindia.com/</t>
  </si>
  <si>
    <t>http://www.bollywoodtrade.com/</t>
  </si>
  <si>
    <t>Year</t>
  </si>
  <si>
    <t>All Time Rank</t>
  </si>
  <si>
    <t>Adjusted nett gross</t>
  </si>
  <si>
    <t>Budget (not adjusted)</t>
  </si>
  <si>
    <t>Madhuri Dixit</t>
  </si>
  <si>
    <t>Hum Tumhare Hain Sanam</t>
  </si>
  <si>
    <t>Salman Khan</t>
  </si>
  <si>
    <t>Mohnish Bahl</t>
  </si>
  <si>
    <t>Renuka Shahane</t>
  </si>
  <si>
    <t>Music</t>
  </si>
  <si>
    <t>Actor-Actress Combination</t>
  </si>
  <si>
    <t xml:space="preserve">Salman Khan - Madhuri Dixit </t>
  </si>
  <si>
    <t>Rs. 6,80,77,57,024</t>
  </si>
  <si>
    <t>Rank</t>
  </si>
  <si>
    <t>Films Done</t>
  </si>
  <si>
    <t>Number Of Hits</t>
  </si>
  <si>
    <t>Total BO Impact</t>
  </si>
  <si>
    <t>Hum Aapke Hai Kaun</t>
  </si>
  <si>
    <t>Aug 5 1994</t>
  </si>
  <si>
    <t>Rs. 60,00,00,000</t>
  </si>
  <si>
    <t>Rs. 5,48,69,29,920</t>
  </si>
  <si>
    <t>Saajan</t>
  </si>
  <si>
    <t>Aug 30 1991</t>
  </si>
  <si>
    <t>Rs. 7,50,00,000</t>
  </si>
  <si>
    <t>Rs. 90,84,88,896</t>
  </si>
  <si>
    <t>May 24 2002</t>
  </si>
  <si>
    <t>Rs. 12,50,00,000</t>
  </si>
  <si>
    <t>Rs. 41,23,38,208</t>
  </si>
  <si>
    <t>Dil Tera Aashiq</t>
  </si>
  <si>
    <t>Oct 22 1993</t>
  </si>
  <si>
    <t>Rs. 1,84,00,000</t>
  </si>
  <si>
    <t>Rs. 18,47,94,640</t>
  </si>
  <si>
    <t>Film Name</t>
  </si>
  <si>
    <t>Raw Net</t>
  </si>
  <si>
    <t>Adjusted Net</t>
  </si>
  <si>
    <t>Total Box Office Impact</t>
  </si>
  <si>
    <t>Sooraj Barjatya</t>
  </si>
  <si>
    <t>All Time Blockbuster</t>
  </si>
  <si>
    <t>Raam - Laxman</t>
  </si>
  <si>
    <t>Keshav Prasad Mishra  </t>
  </si>
  <si>
    <t>Action</t>
  </si>
  <si>
    <t>Star1</t>
  </si>
  <si>
    <t>Star2</t>
  </si>
  <si>
    <t>Star3</t>
  </si>
  <si>
    <t>Star4</t>
  </si>
  <si>
    <t>Verdict</t>
  </si>
  <si>
    <t>Love story</t>
  </si>
  <si>
    <t>Aditya Chopra</t>
  </si>
  <si>
    <t>Shahrukh Khan</t>
  </si>
  <si>
    <t>Kajol</t>
  </si>
  <si>
    <t>Amrish Puri</t>
  </si>
  <si>
    <t>Farida-Jalal</t>
  </si>
  <si>
    <t>Aditya Chopra  </t>
  </si>
  <si>
    <t>Jatin - Lalit  </t>
  </si>
  <si>
    <t>Dilwale Dulhania Le Jayenge</t>
  </si>
  <si>
    <t>Raja Hindustani</t>
  </si>
  <si>
    <t>Dharmesh Darshan</t>
  </si>
  <si>
    <t>Nadeem - Shravan  </t>
  </si>
  <si>
    <t>Robin Bhatt  </t>
  </si>
  <si>
    <t>Karisma Kapoor</t>
  </si>
  <si>
    <t>Suresh Oberoi</t>
  </si>
  <si>
    <t>Johny Lever</t>
  </si>
  <si>
    <t>Border</t>
  </si>
  <si>
    <t>Aamir Khan</t>
  </si>
  <si>
    <t>J.P. Dutta  </t>
  </si>
  <si>
    <t>Anu Malik </t>
  </si>
  <si>
    <t>Rakhee</t>
  </si>
  <si>
    <t>Sunny Deol</t>
  </si>
  <si>
    <t>Jackie Shroff</t>
  </si>
  <si>
    <t>Suneil Shetty</t>
  </si>
  <si>
    <t>Kuch Kuch Hota Hai</t>
  </si>
  <si>
    <t>Karan Arjun</t>
  </si>
  <si>
    <t>Blockbuster</t>
  </si>
  <si>
    <t>Dil To Pagal Hai</t>
  </si>
  <si>
    <t>Hum Saath Saath Hain</t>
  </si>
  <si>
    <t>Mohra</t>
  </si>
  <si>
    <t>Raja</t>
  </si>
  <si>
    <t>Agni Sakshi</t>
  </si>
  <si>
    <t>Rangeela</t>
  </si>
  <si>
    <t>Krantiveer</t>
  </si>
  <si>
    <t>Pardes</t>
  </si>
  <si>
    <t>Ishq</t>
  </si>
  <si>
    <t>Barsaat</t>
  </si>
  <si>
    <t>Biwi No.1</t>
  </si>
  <si>
    <t>Ziddi</t>
  </si>
  <si>
    <t>Soldier</t>
  </si>
  <si>
    <t>Hero No. 1</t>
  </si>
  <si>
    <t>Jeet</t>
  </si>
  <si>
    <t>Pyaar To Hona Hi Tha</t>
  </si>
  <si>
    <t>Khiladiyon Ka Khiladi</t>
  </si>
  <si>
    <t>Ghatak</t>
  </si>
  <si>
    <t>Raja Babu</t>
  </si>
  <si>
    <t>Pyaar Kiya To Darna Kya</t>
  </si>
  <si>
    <t>Saajan Chale Sasural</t>
  </si>
  <si>
    <t>Coolie No. 1</t>
  </si>
  <si>
    <t>Judaai</t>
  </si>
  <si>
    <t>Bandit Queen</t>
  </si>
  <si>
    <t>Hum Aapke Dil Mein Rehte Hain</t>
  </si>
  <si>
    <t>Dilwale</t>
  </si>
  <si>
    <t>Bewafa Sanam</t>
  </si>
  <si>
    <t>Hum Dil De Chuke Sanam</t>
  </si>
  <si>
    <t>Gupt</t>
  </si>
  <si>
    <t>Bade Miyan Chote Miyan</t>
  </si>
  <si>
    <t>Sarfarosh</t>
  </si>
  <si>
    <t>Judwaa</t>
  </si>
  <si>
    <t>Laadla</t>
  </si>
  <si>
    <t>Kachche Dhaage</t>
  </si>
  <si>
    <t>Deewana Mastana</t>
  </si>
  <si>
    <t>Sabse Bada Khiladi</t>
  </si>
  <si>
    <t>Dulhe Raja</t>
  </si>
  <si>
    <t>Haseena Maan Jayegi</t>
  </si>
  <si>
    <t>Jaan</t>
  </si>
  <si>
    <t>Satya</t>
  </si>
  <si>
    <t>Main Khiladi Tu Anari</t>
  </si>
  <si>
    <t>Ghulam</t>
  </si>
  <si>
    <t>Bandhan</t>
  </si>
  <si>
    <t>Virasat</t>
  </si>
  <si>
    <t>Ram Jaane</t>
  </si>
  <si>
    <t>Vijaypath</t>
  </si>
  <si>
    <t>Yes Boss</t>
  </si>
  <si>
    <t>Suhaag</t>
  </si>
  <si>
    <t>Daag - The Fire</t>
  </si>
  <si>
    <t>Elaan</t>
  </si>
  <si>
    <t>Yeh Dillagi</t>
  </si>
  <si>
    <t>Chachi 420</t>
  </si>
  <si>
    <t>Tere Mere Sapne</t>
  </si>
  <si>
    <t>Ravan Raaj</t>
  </si>
  <si>
    <t>Masoom</t>
  </si>
  <si>
    <t>Fareb</t>
  </si>
  <si>
    <t>Taal</t>
  </si>
  <si>
    <t>Major Saab</t>
  </si>
  <si>
    <t>Yeshwant</t>
  </si>
  <si>
    <t>Diljale</t>
  </si>
  <si>
    <t>Jab Pyaar Kisise Hota Hai</t>
  </si>
  <si>
    <t>Vaastav</t>
  </si>
  <si>
    <t>Jaanwar</t>
  </si>
  <si>
    <t>Khuddar</t>
  </si>
  <si>
    <t>Mr. &amp; Mrs. Khiladi</t>
  </si>
  <si>
    <t>Hogi Pyar Ki Jeet</t>
  </si>
  <si>
    <t>Ghulam-E-Musthafa</t>
  </si>
  <si>
    <t>Loafer</t>
  </si>
  <si>
    <t>Anari No.1</t>
  </si>
  <si>
    <t>Bhai</t>
  </si>
  <si>
    <t>Saajan Ka Ghar</t>
  </si>
  <si>
    <t>Anth</t>
  </si>
  <si>
    <t>Cheetah</t>
  </si>
  <si>
    <t>Gopi Kishen</t>
  </si>
  <si>
    <t>Jallaad</t>
  </si>
  <si>
    <t>Kabhi Haan Kabhi Naa</t>
  </si>
  <si>
    <t>Salaami</t>
  </si>
  <si>
    <t>Shapath</t>
  </si>
  <si>
    <t>Sirf Tum</t>
  </si>
  <si>
    <t>Chandaal</t>
  </si>
  <si>
    <t>Aastha</t>
  </si>
  <si>
    <t>Munnibai</t>
  </si>
  <si>
    <t>Murdaa</t>
  </si>
  <si>
    <t>Koyla</t>
  </si>
  <si>
    <t>Mann</t>
  </si>
  <si>
    <t>Aatish</t>
  </si>
  <si>
    <t>Hindustan Ki Kasam</t>
  </si>
  <si>
    <t>Baadshah</t>
  </si>
  <si>
    <t>China Gate</t>
  </si>
  <si>
    <t>Krishna</t>
  </si>
  <si>
    <t>Ajay</t>
  </si>
  <si>
    <t>Arjun Pandit</t>
  </si>
  <si>
    <t>Anjaam</t>
  </si>
  <si>
    <t>Super Hit</t>
  </si>
  <si>
    <t>Hit</t>
  </si>
  <si>
    <t>Semi Hit</t>
  </si>
  <si>
    <t>Average</t>
  </si>
  <si>
    <t>http://www.boxofficeindia.com/hit-down.php?txtYearlyData=1990-1999</t>
  </si>
  <si>
    <t>http://www.boxofficeindia.com/hit-down.php?txtYearlyData=2000-2009</t>
  </si>
  <si>
    <t>http://www.boxofficeindia.com/hit-down.php?txtYearlyData=2010-2019</t>
  </si>
  <si>
    <t>Gadar - Ek Prem Katha</t>
  </si>
  <si>
    <t>3 Idiots</t>
  </si>
  <si>
    <t>Kabhi Khushi Kabhie Gham...</t>
  </si>
  <si>
    <t>Kaho Naa... Pyaar Hai</t>
  </si>
  <si>
    <t>Mohabbatein</t>
  </si>
  <si>
    <t>Ghajini</t>
  </si>
  <si>
    <t>Dhoom 2</t>
  </si>
  <si>
    <t>Krrish</t>
  </si>
  <si>
    <t>Om Shanti Om</t>
  </si>
  <si>
    <t>Lage Raho Munnabhai</t>
  </si>
  <si>
    <t>Rab Ne Bana Di Jodi</t>
  </si>
  <si>
    <t>Raaz</t>
  </si>
  <si>
    <t>Vivah</t>
  </si>
  <si>
    <t>Koi Mil Gaya</t>
  </si>
  <si>
    <t>Welcome</t>
  </si>
  <si>
    <t>Partner</t>
  </si>
  <si>
    <t>Singh Is Kinng</t>
  </si>
  <si>
    <t>Chak De India</t>
  </si>
  <si>
    <t>Fanaa</t>
  </si>
  <si>
    <t>Veer Zaara</t>
  </si>
  <si>
    <t>No Entry</t>
  </si>
  <si>
    <t>Taare Zameen Par</t>
  </si>
  <si>
    <t>Phir Hera Pheri</t>
  </si>
  <si>
    <t>Bunty Aur Babli</t>
  </si>
  <si>
    <t>Mujhe Kucch Kehna Hai</t>
  </si>
  <si>
    <t>Ajab Prem Ki Ghazab Kahani</t>
  </si>
  <si>
    <t>Dhoom</t>
  </si>
  <si>
    <t>Jaane Tu... Ya Jaane Na</t>
  </si>
  <si>
    <t>Kya Kehna</t>
  </si>
  <si>
    <t>Malamaal Weekly</t>
  </si>
  <si>
    <t>Jannat</t>
  </si>
  <si>
    <t>Murder</t>
  </si>
  <si>
    <t>Devdas</t>
  </si>
  <si>
    <t>Lagaan</t>
  </si>
  <si>
    <t>Indian</t>
  </si>
  <si>
    <t>Kal Ho Naa Ho</t>
  </si>
  <si>
    <t>Dulhan Hum Le Jayenge</t>
  </si>
  <si>
    <t>Wanted</t>
  </si>
  <si>
    <t>Rang De Basanti</t>
  </si>
  <si>
    <t>Main Hoon Na</t>
  </si>
  <si>
    <t>Don - The Chase Begins Again</t>
  </si>
  <si>
    <t>Jodi No.1</t>
  </si>
  <si>
    <t>Bhool Bhulaiyaa</t>
  </si>
  <si>
    <t>Badal</t>
  </si>
  <si>
    <t>Heyy Babyy</t>
  </si>
  <si>
    <t>Guru</t>
  </si>
  <si>
    <t>Race</t>
  </si>
  <si>
    <t>Mujhse Shaadi Karogi</t>
  </si>
  <si>
    <t>Love Aaj Kal</t>
  </si>
  <si>
    <t>Golmaal Returns</t>
  </si>
  <si>
    <t>Bhagam Bhag</t>
  </si>
  <si>
    <t>Hamara Dil Aapke Paas Hai</t>
  </si>
  <si>
    <t>Garam Masala</t>
  </si>
  <si>
    <t>Baghban</t>
  </si>
  <si>
    <t>Andaaz</t>
  </si>
  <si>
    <t>Chalte Chalte</t>
  </si>
  <si>
    <t>Munnabhai M.B.B.S.</t>
  </si>
  <si>
    <t>New York</t>
  </si>
  <si>
    <t>Golmaal - Fun Unlimited</t>
  </si>
  <si>
    <t>Masti</t>
  </si>
  <si>
    <t>Hulchul</t>
  </si>
  <si>
    <t>Saathiya</t>
  </si>
  <si>
    <t>Salaam Namaste</t>
  </si>
  <si>
    <t>Jab We Met</t>
  </si>
  <si>
    <t>Bhoot</t>
  </si>
  <si>
    <t>Hum Tum</t>
  </si>
  <si>
    <t>Kyaa Kool Hai Hum</t>
  </si>
  <si>
    <t>Jism</t>
  </si>
  <si>
    <t>Phoonk</t>
  </si>
  <si>
    <t>Ek Chhotisi Love Story</t>
  </si>
  <si>
    <t>A Wednesday!</t>
  </si>
  <si>
    <t>Bheja Fry</t>
  </si>
  <si>
    <t>Chori Chori Chupke Chupke</t>
  </si>
  <si>
    <t>Kabhi Alvida Na Kehna</t>
  </si>
  <si>
    <t>Fiza</t>
  </si>
  <si>
    <t>Jodhaa Akbar</t>
  </si>
  <si>
    <t>Namastey London</t>
  </si>
  <si>
    <t>Ta Ra Rum Pum</t>
  </si>
  <si>
    <t>Dhamaal</t>
  </si>
  <si>
    <t>Maine Pyaar Kyun Kiya?</t>
  </si>
  <si>
    <t>Shootout At Lokhandwala</t>
  </si>
  <si>
    <t>Sarkar</t>
  </si>
  <si>
    <t>Tere Naam</t>
  </si>
  <si>
    <t>Bachna Ae Haseeno</t>
  </si>
  <si>
    <t>36 China Town</t>
  </si>
  <si>
    <t>Raaz - The Mystery Continues</t>
  </si>
  <si>
    <t>Apaharan</t>
  </si>
  <si>
    <t>Tujhe Meri Kasam</t>
  </si>
  <si>
    <t>Paa</t>
  </si>
  <si>
    <t>Hungama</t>
  </si>
  <si>
    <t>Taxi Number 9 2 11</t>
  </si>
  <si>
    <t>Bluffmaster</t>
  </si>
  <si>
    <t>Wake Up Sid</t>
  </si>
  <si>
    <t>Mere Yaar Ki Shaadi Hai</t>
  </si>
  <si>
    <t>Apna Sapna Money Money</t>
  </si>
  <si>
    <t>Gangster - A Love Story</t>
  </si>
  <si>
    <t>Julie</t>
  </si>
  <si>
    <t>Style</t>
  </si>
  <si>
    <t>Cheeni Kum</t>
  </si>
  <si>
    <t>Ab Tak Chhappan</t>
  </si>
  <si>
    <t>PK</t>
  </si>
  <si>
    <t>Bajrangi Bhaijaan</t>
  </si>
  <si>
    <t>Dhoom 3</t>
  </si>
  <si>
    <t>Sultan</t>
  </si>
  <si>
    <t>Chennai Express</t>
  </si>
  <si>
    <t>Dabangg</t>
  </si>
  <si>
    <t>Ek Tha Tiger</t>
  </si>
  <si>
    <t>Kick</t>
  </si>
  <si>
    <t>Bodyguard</t>
  </si>
  <si>
    <t>Krrish 3</t>
  </si>
  <si>
    <t>Dabangg 2</t>
  </si>
  <si>
    <t>Yeh Jawaani Hai Deewani</t>
  </si>
  <si>
    <t>Rowdy Rathore</t>
  </si>
  <si>
    <t>Ready</t>
  </si>
  <si>
    <t>Golmaal 3</t>
  </si>
  <si>
    <t>Tanu Weds Manu Returns</t>
  </si>
  <si>
    <t>Aashiqui 2</t>
  </si>
  <si>
    <t>Happy New Year</t>
  </si>
  <si>
    <t>Singham Returns</t>
  </si>
  <si>
    <t>Agneepath</t>
  </si>
  <si>
    <t>Singham</t>
  </si>
  <si>
    <t>Housefull 2</t>
  </si>
  <si>
    <t>Raajneeti</t>
  </si>
  <si>
    <t>Rustom</t>
  </si>
  <si>
    <t>Airlift</t>
  </si>
  <si>
    <t>Bhaag Milkha Bhaag</t>
  </si>
  <si>
    <t>ABCD 2</t>
  </si>
  <si>
    <t>Grand Masti</t>
  </si>
  <si>
    <t>Barfi!</t>
  </si>
  <si>
    <t>The Dirty Picture</t>
  </si>
  <si>
    <t>Ek Villain</t>
  </si>
  <si>
    <t>2 States</t>
  </si>
  <si>
    <t>OMG! Oh My God</t>
  </si>
  <si>
    <t>Raaz 3</t>
  </si>
  <si>
    <t>Murder 2</t>
  </si>
  <si>
    <t>Pyaar Ka Punchnama 2</t>
  </si>
  <si>
    <t>Prem Ratan Dhan Payo</t>
  </si>
  <si>
    <t>Bajirao Mastani</t>
  </si>
  <si>
    <t>Ra.One</t>
  </si>
  <si>
    <t>Don 2</t>
  </si>
  <si>
    <t>Bol Bachchan</t>
  </si>
  <si>
    <t>Holiday - A Soldier Is Never Off Duty</t>
  </si>
  <si>
    <t>Goliyon Ki Raasleela Ram - Leela</t>
  </si>
  <si>
    <t>Jab Tak Hai Jaan</t>
  </si>
  <si>
    <t>Son Of Sardaar</t>
  </si>
  <si>
    <t>Housefull</t>
  </si>
  <si>
    <t>Housefull 3</t>
  </si>
  <si>
    <t>My Name Is Khan</t>
  </si>
  <si>
    <t>Zindagi Na Milegi Dobara</t>
  </si>
  <si>
    <t>Once Upon A Time In Mumbaai</t>
  </si>
  <si>
    <t>Cocktail</t>
  </si>
  <si>
    <t>Yamla Pagla Deewana</t>
  </si>
  <si>
    <t>Piku - Motion Se Hi Emotion</t>
  </si>
  <si>
    <t>Baaghi</t>
  </si>
  <si>
    <t>Humpty Sharma Ki Dulhania</t>
  </si>
  <si>
    <t>Neerja</t>
  </si>
  <si>
    <t>Kapoor &amp; Sons</t>
  </si>
  <si>
    <t>Mere Brother Ki Dulhan</t>
  </si>
  <si>
    <t>Raanjhanaa</t>
  </si>
  <si>
    <t>Kahaani</t>
  </si>
  <si>
    <t>Heropanti</t>
  </si>
  <si>
    <t>Queen</t>
  </si>
  <si>
    <t>Delhi Belly</t>
  </si>
  <si>
    <t>I Hate Luv Storys</t>
  </si>
  <si>
    <t>Ragini MMS 2</t>
  </si>
  <si>
    <t>Ishaqzaade</t>
  </si>
  <si>
    <t>Kyaa Super Kool Hain Hum</t>
  </si>
  <si>
    <t>Hate Story 3</t>
  </si>
  <si>
    <t>Badlapur</t>
  </si>
  <si>
    <t>Shuddh Desi Romance</t>
  </si>
  <si>
    <t>Tanu Weds Manu</t>
  </si>
  <si>
    <t>Kis Kisko Pyaar Karoon</t>
  </si>
  <si>
    <t>Chasme Baddoor</t>
  </si>
  <si>
    <t>Vicky Donor</t>
  </si>
  <si>
    <t>Peepli [Live]</t>
  </si>
  <si>
    <t>Haunted 3D</t>
  </si>
  <si>
    <t>Jolly LLB</t>
  </si>
  <si>
    <t>Bang Bang</t>
  </si>
  <si>
    <t>Jai Ho</t>
  </si>
  <si>
    <t>Race 2</t>
  </si>
  <si>
    <t>Talaash</t>
  </si>
  <si>
    <t>Welcome Back</t>
  </si>
  <si>
    <t>Gabbar Is Back</t>
  </si>
  <si>
    <t>Tees Maar Khan</t>
  </si>
  <si>
    <t>Gunday</t>
  </si>
  <si>
    <t>Rockstar</t>
  </si>
  <si>
    <t>Student Of The Year</t>
  </si>
  <si>
    <t>Special 26</t>
  </si>
  <si>
    <t>Mary Kom</t>
  </si>
  <si>
    <t>Main Tera Hero</t>
  </si>
  <si>
    <t>Jannat 2</t>
  </si>
  <si>
    <t>Ki &amp; Ka</t>
  </si>
  <si>
    <t>Jism 2</t>
  </si>
  <si>
    <t>Yaariyan</t>
  </si>
  <si>
    <t>Kai Po Che</t>
  </si>
  <si>
    <t>ABCD - Any Body Can Dance</t>
  </si>
  <si>
    <t>English Vinglish</t>
  </si>
  <si>
    <t>Fukrey</t>
  </si>
  <si>
    <t>Mardaani</t>
  </si>
  <si>
    <t>Karan Johar  </t>
  </si>
  <si>
    <t>Rani Mukherjee</t>
  </si>
  <si>
    <t>Farida Jalal</t>
  </si>
  <si>
    <t>Rakesh Roshan  </t>
  </si>
  <si>
    <t>Sachin Bhowmick</t>
  </si>
  <si>
    <t>Rajesh Roshan  </t>
  </si>
  <si>
    <t>Pamela Chopra  </t>
  </si>
  <si>
    <t>Ravi Kapoor  </t>
  </si>
  <si>
    <t>Yash Chopra  </t>
  </si>
  <si>
    <t>Uttam Singh  </t>
  </si>
  <si>
    <t>Sooraj Barjatya  </t>
  </si>
  <si>
    <t>Saif Ali Khan</t>
  </si>
  <si>
    <t>Tabu</t>
  </si>
  <si>
    <t>Raam - Laxman  </t>
  </si>
  <si>
    <t>Naseeruddin Shah</t>
  </si>
  <si>
    <t>Akshay Kumar</t>
  </si>
  <si>
    <t>Raveena Tandon</t>
  </si>
  <si>
    <t>Rajiv Rai  </t>
  </si>
  <si>
    <t>Viju Shah </t>
  </si>
  <si>
    <t>Flop</t>
  </si>
  <si>
    <t>Number of observations</t>
  </si>
  <si>
    <t>Sum</t>
  </si>
  <si>
    <t>Indra Kumar  </t>
  </si>
  <si>
    <t>Sanjay Kapoor</t>
  </si>
  <si>
    <t>Mukesh Khanna</t>
  </si>
  <si>
    <t>Dalip Tahil</t>
  </si>
  <si>
    <t>Thriller</t>
  </si>
  <si>
    <t>Honey Irani  </t>
  </si>
  <si>
    <t>Juhi Chawla</t>
  </si>
  <si>
    <t>Anupam Kher</t>
  </si>
  <si>
    <t>Verdict-new</t>
  </si>
  <si>
    <t>Ranbir Pushp  </t>
  </si>
  <si>
    <t>Partho Ghosh</t>
  </si>
  <si>
    <t>Nana Patekar</t>
  </si>
  <si>
    <t>Manisha Koirala</t>
  </si>
  <si>
    <t>Divya Dutta</t>
  </si>
  <si>
    <t>A.R. Rehman  </t>
  </si>
  <si>
    <t>Urmila Matondkar</t>
  </si>
  <si>
    <t>Gulshan Grover</t>
  </si>
  <si>
    <t>Ram Gopal Verma  </t>
  </si>
  <si>
    <t>K.K. Singh  </t>
  </si>
  <si>
    <t>Mehul Kumar  </t>
  </si>
  <si>
    <t>Dimple Kapadia</t>
  </si>
  <si>
    <t>Atul Agnihotri</t>
  </si>
  <si>
    <t>Mamta Kulkarni</t>
  </si>
  <si>
    <t>Anand - Milind  </t>
  </si>
  <si>
    <t>Masala</t>
  </si>
  <si>
    <t>Ajay Devgn</t>
  </si>
  <si>
    <t>Anu Malik  </t>
  </si>
  <si>
    <t>Subhash Ghai  </t>
  </si>
  <si>
    <t>Mahima Chaudhary</t>
  </si>
  <si>
    <t>Apoorva Agnihotri</t>
  </si>
  <si>
    <t>Rajkumar Santoshi  </t>
  </si>
  <si>
    <t>Bobby Deol</t>
  </si>
  <si>
    <t>Twinkle Khanna</t>
  </si>
  <si>
    <t>Raj Babbar</t>
  </si>
  <si>
    <t>ID</t>
  </si>
  <si>
    <t>Comedy</t>
  </si>
  <si>
    <t>Kamal Hassan  </t>
  </si>
  <si>
    <t>David Dhawan  </t>
  </si>
  <si>
    <t>Anil Kapoor</t>
  </si>
  <si>
    <t>Robin Henry  </t>
  </si>
  <si>
    <t>Guddu Dhanoa</t>
  </si>
  <si>
    <t>Ashish Vidyarthi</t>
  </si>
  <si>
    <t>Dilip Sen - Sameer Sen  </t>
  </si>
  <si>
    <t>Shyam Goel  </t>
  </si>
  <si>
    <t>Abbas - Mustan  </t>
  </si>
  <si>
    <t>Preity Zinta</t>
  </si>
  <si>
    <t>Rumi Jaffery  </t>
  </si>
  <si>
    <t>Govinda</t>
  </si>
  <si>
    <t>Kader Khan</t>
  </si>
  <si>
    <t>Paresh Rawal</t>
  </si>
  <si>
    <t>Raj Kanwar  </t>
  </si>
  <si>
    <t>Anees Bazmee</t>
  </si>
  <si>
    <t>Bijay Anand</t>
  </si>
  <si>
    <t>Kashmira Shah</t>
  </si>
  <si>
    <t>Umesh Mehra  </t>
  </si>
  <si>
    <t>Rekha</t>
  </si>
  <si>
    <t>Inder Kumar</t>
  </si>
  <si>
    <t>Meenakshi Sheshadri</t>
  </si>
  <si>
    <t>Danny Denzongpa</t>
  </si>
  <si>
    <r>
      <t>Anu Malik  R.D. Burman  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/>
    </r>
  </si>
  <si>
    <t>K. Bhagyaraj  </t>
  </si>
  <si>
    <t>Shakti Kapoor</t>
  </si>
  <si>
    <t>Aruna Irani</t>
  </si>
  <si>
    <t>Sohail Khan  </t>
  </si>
  <si>
    <t>Dharmendra</t>
  </si>
  <si>
    <t>Arbaaz Khan</t>
  </si>
  <si>
    <r>
      <t>Jatin - Lalit  Sajid - Wajid   Himesh Reshammiya  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/>
    </r>
  </si>
  <si>
    <t>Harish</t>
  </si>
  <si>
    <t>Kanchan</t>
  </si>
  <si>
    <t>Kaushik Kapadia  </t>
  </si>
  <si>
    <t>Sridevi</t>
  </si>
  <si>
    <t>Mala Sen  </t>
  </si>
  <si>
    <t>Shekhar Kapur  </t>
  </si>
  <si>
    <t>Seema Biswas</t>
  </si>
  <si>
    <t>Nirmal Pandey</t>
  </si>
  <si>
    <t>Manoj Bajpai</t>
  </si>
  <si>
    <t>Rajesh Vivek</t>
  </si>
  <si>
    <t>Nusrat Fateh Ali Khan  </t>
  </si>
  <si>
    <t>Satish Kaushik  </t>
  </si>
  <si>
    <t>Karan Razdan  </t>
  </si>
  <si>
    <t>Harry Baweja  </t>
  </si>
  <si>
    <t>Sachin Bhowmick  </t>
  </si>
  <si>
    <t>Gulshan Kumar  </t>
  </si>
  <si>
    <t>Krishan Kumar</t>
  </si>
  <si>
    <t>Shilpa Shirodkar</t>
  </si>
  <si>
    <t>Sagar</t>
  </si>
  <si>
    <r>
      <t>Nikhil - Vinay</t>
    </r>
    <r>
      <rPr>
        <sz val="11"/>
        <color rgb="FF000000"/>
        <rFont val="Roboto"/>
      </rPr>
      <t>   Milind Sagar </t>
    </r>
  </si>
  <si>
    <t>Sanjay Leela Bhansali  </t>
  </si>
  <si>
    <t>Aishwarya Rai</t>
  </si>
  <si>
    <t>Zohra Sehgal</t>
  </si>
  <si>
    <t>Ismail Darbar  </t>
  </si>
  <si>
    <t>Prem Chopra</t>
  </si>
  <si>
    <t>Viju Shah  </t>
  </si>
  <si>
    <t>Amitabh Bachchan</t>
  </si>
  <si>
    <t>Ramya Krishnan</t>
  </si>
  <si>
    <t>John M. Matthan  </t>
  </si>
  <si>
    <t>Sonali Bendre</t>
  </si>
  <si>
    <t>Mukesh Rishi</t>
  </si>
  <si>
    <t>Rambha</t>
  </si>
  <si>
    <t>Anees Bazmee  </t>
  </si>
  <si>
    <t>Anand - Milind</t>
  </si>
  <si>
    <t>Anjum Rajabali  </t>
  </si>
  <si>
    <t>Milan Luthria  </t>
  </si>
  <si>
    <t>Namrata Shirodkar</t>
  </si>
  <si>
    <t>Laxmikant - Pyarelal  </t>
  </si>
  <si>
    <t>Ved Prakash Sharma  </t>
  </si>
  <si>
    <t>Harmesh Malhotra  </t>
  </si>
  <si>
    <t>Sanjay Dutt</t>
  </si>
  <si>
    <t>Pooja Batra</t>
  </si>
  <si>
    <t>Vivek Mushran</t>
  </si>
  <si>
    <t>J.D. Chakravarthi</t>
  </si>
  <si>
    <t>Vishal Bhardwaj  </t>
  </si>
  <si>
    <t>Saurabh Shukla</t>
  </si>
  <si>
    <t>Sameer Malkan  </t>
  </si>
  <si>
    <t>Shilpa Shetty</t>
  </si>
  <si>
    <t>Raageshwari</t>
  </si>
  <si>
    <t>Vikram Bhatt  </t>
  </si>
  <si>
    <t>Rajit Kapoor</t>
  </si>
  <si>
    <t>Mita Vashisht</t>
  </si>
  <si>
    <t>K. Murali Mohana Rao  </t>
  </si>
  <si>
    <t>Ashwini Bhave</t>
  </si>
  <si>
    <t>Himesh Reshammiya   Anand Raj Anand</t>
  </si>
  <si>
    <t>Priyadarshan  </t>
  </si>
  <si>
    <t>Vinay Shukla </t>
  </si>
  <si>
    <t>Rajiv Mehra  </t>
  </si>
  <si>
    <t>Vinay Shukla  </t>
  </si>
  <si>
    <t>Pankaj Kapoor</t>
  </si>
  <si>
    <t>Faroogh Siddiqui  </t>
  </si>
  <si>
    <t>Talat Rekhi </t>
  </si>
  <si>
    <t>Aziz Mirza  </t>
  </si>
  <si>
    <t>Aditya Pancholi</t>
  </si>
  <si>
    <t>Kuku Kohli  </t>
  </si>
  <si>
    <t>Honey Irani</t>
  </si>
  <si>
    <t>Nagma</t>
  </si>
  <si>
    <t>Chandrachur Singh</t>
  </si>
  <si>
    <t>Guddu Dhanoa  </t>
  </si>
  <si>
    <t>Shyam - Surendra  </t>
  </si>
  <si>
    <t>Dilip Shukla  </t>
  </si>
  <si>
    <t>Madhoo</t>
  </si>
  <si>
    <t>Naresh Malhotra  </t>
  </si>
  <si>
    <t>Saeed Jaffrey</t>
  </si>
  <si>
    <t>Kamal Hassan</t>
  </si>
  <si>
    <t>Om Puri</t>
  </si>
  <si>
    <t>Rom-Com</t>
  </si>
  <si>
    <t>Joy Augustine  </t>
  </si>
  <si>
    <t>Ranjit Kapoor  </t>
  </si>
  <si>
    <t>Arshad Warsi</t>
  </si>
  <si>
    <t>Priya Gill</t>
  </si>
  <si>
    <t>Simran</t>
  </si>
  <si>
    <t>T. Rama Rao  </t>
  </si>
  <si>
    <t>Sanjeev Duggal  </t>
  </si>
  <si>
    <t>Mithun Chakraborty</t>
  </si>
  <si>
    <t>Mahesh Kothare  </t>
  </si>
  <si>
    <t>Anand Raj Anand  </t>
  </si>
  <si>
    <t>Ram Kelkar  </t>
  </si>
  <si>
    <t>Ayesha Jhulka</t>
  </si>
  <si>
    <t>Omkar Kapoor</t>
  </si>
  <si>
    <t>Mohan Joshi</t>
  </si>
  <si>
    <t>Vikram Bhatt </t>
  </si>
  <si>
    <t>Iqbal Raj  </t>
  </si>
  <si>
    <t>Faraaz Khan</t>
  </si>
  <si>
    <t>Suman Ranganathan</t>
  </si>
  <si>
    <t>Milind Gunaji</t>
  </si>
  <si>
    <t>Vishwajeet Pradhan</t>
  </si>
  <si>
    <t>A.R. Rehman </t>
  </si>
  <si>
    <t>Akshaye Khanna</t>
  </si>
  <si>
    <t>Alok Nath</t>
  </si>
  <si>
    <t>Tinnu Anand  </t>
  </si>
  <si>
    <t>Anand Raj Anand   Aadesh Shrivastava  </t>
  </si>
  <si>
    <t>Nafisa Ali</t>
  </si>
  <si>
    <t>Santosh Saroj  </t>
  </si>
  <si>
    <t>Anil Mattoo </t>
  </si>
  <si>
    <t>Anil Mattoo  </t>
  </si>
  <si>
    <t>Parmeet Sethi</t>
  </si>
  <si>
    <t>Ekk Deewana Tha</t>
  </si>
  <si>
    <t>Dangerous Ishhq</t>
  </si>
  <si>
    <t>Chatur Singh Two Star</t>
  </si>
  <si>
    <t>Teen Thay Bhai</t>
  </si>
  <si>
    <t>Chauraha</t>
  </si>
  <si>
    <t>Maha Shaktishaali</t>
  </si>
  <si>
    <t>Calendar Girls</t>
  </si>
  <si>
    <t>Main Aur Charles</t>
  </si>
  <si>
    <t>Nishana</t>
  </si>
  <si>
    <t>Oh Darling Yeh Hai India</t>
  </si>
  <si>
    <t>Vishwasghaat</t>
  </si>
  <si>
    <t>Bambai Ka Babu</t>
  </si>
  <si>
    <t>Gundagardi</t>
  </si>
  <si>
    <t>Jodidar</t>
  </si>
  <si>
    <t>Sham Ghansham</t>
  </si>
  <si>
    <t>Hero Hindustani</t>
  </si>
  <si>
    <t>Bade Dilwala</t>
  </si>
  <si>
    <t>Jai Hind</t>
  </si>
  <si>
    <t>Billa No.786</t>
  </si>
  <si>
    <t>Dil Pe Mat Le Yaar</t>
  </si>
  <si>
    <t>Zahreela</t>
  </si>
  <si>
    <t>Waah! Tera Kya Kehna</t>
  </si>
  <si>
    <t>Mumbai Se Aaya Mera Dost</t>
  </si>
  <si>
    <t>I Proud To Be An Indian</t>
  </si>
  <si>
    <t>Phir Milenge</t>
  </si>
  <si>
    <t>Mumbai Xpress</t>
  </si>
  <si>
    <t>Bachke Rehna Re Baba</t>
  </si>
  <si>
    <t>Tathastu</t>
  </si>
  <si>
    <t>Rocky</t>
  </si>
  <si>
    <t>Risk</t>
  </si>
  <si>
    <t>Kya Love Story Hai</t>
  </si>
  <si>
    <t>One Night Stand</t>
  </si>
  <si>
    <t>Traffic</t>
  </si>
  <si>
    <t>Zid</t>
  </si>
  <si>
    <t>Ugly</t>
  </si>
  <si>
    <t>Zanjeer</t>
  </si>
  <si>
    <t>Contract</t>
  </si>
  <si>
    <t>Quick Gun Murugun</t>
  </si>
  <si>
    <t>Teree Sang</t>
  </si>
  <si>
    <t>Toonpur Ka Superrhero</t>
  </si>
  <si>
    <t>Jaane Kahan Se Aayi Hai</t>
  </si>
  <si>
    <t>http://www.boxofficeindia.com/years.php?year=1994&amp;pageId=4</t>
  </si>
  <si>
    <t>Jai Kishen</t>
  </si>
  <si>
    <t>Below Average</t>
  </si>
  <si>
    <t>Andaz</t>
  </si>
  <si>
    <t>Zamane Se Kya Darna</t>
  </si>
  <si>
    <t>Disaster</t>
  </si>
  <si>
    <t>Criminal</t>
  </si>
  <si>
    <t>Raghuveer</t>
  </si>
  <si>
    <t>Policewala Gunda</t>
  </si>
  <si>
    <t>Naajayaz</t>
  </si>
  <si>
    <t>Jung</t>
  </si>
  <si>
    <t>Tu Chor Main Sipahi</t>
  </si>
  <si>
    <t>Maachis</t>
  </si>
  <si>
    <t>Muqadar</t>
  </si>
  <si>
    <t>Loha</t>
  </si>
  <si>
    <t>Bhai Bhai</t>
  </si>
  <si>
    <t>Judge Mujrim</t>
  </si>
  <si>
    <t>Qahar</t>
  </si>
  <si>
    <t>Mehndi</t>
  </si>
  <si>
    <t>Aunty No. 1</t>
  </si>
  <si>
    <t>Sher-E-Hindustan</t>
  </si>
  <si>
    <t>Gharwali Baharwali</t>
  </si>
  <si>
    <t>Kaun?</t>
  </si>
  <si>
    <t>Sangharsh</t>
  </si>
  <si>
    <t>Khoobsurat</t>
  </si>
  <si>
    <t>Joru Ka Ghulam</t>
  </si>
  <si>
    <t>Kunwara</t>
  </si>
  <si>
    <t>Daku Ramkali</t>
  </si>
  <si>
    <t>Jungle</t>
  </si>
  <si>
    <t>Aamdani Atthani Kharcha Rupaiyaa</t>
  </si>
  <si>
    <t>Pyaar Tune Kya Kiya</t>
  </si>
  <si>
    <t>Chhupa Rustam</t>
  </si>
  <si>
    <t>Ajnabee</t>
  </si>
  <si>
    <t>Kaante</t>
  </si>
  <si>
    <t>Maa Tujhhe Salaam</t>
  </si>
  <si>
    <t>Humraaz</t>
  </si>
  <si>
    <t>Company</t>
  </si>
  <si>
    <t>Market</t>
  </si>
  <si>
    <t>Hawa</t>
  </si>
  <si>
    <t>Ishq Vishk</t>
  </si>
  <si>
    <t>Qayamat</t>
  </si>
  <si>
    <t>Vaastu Shastra</t>
  </si>
  <si>
    <t>Girlfriend</t>
  </si>
  <si>
    <t>Tauba Tauba</t>
  </si>
  <si>
    <t>Aitraaz</t>
  </si>
  <si>
    <t>Aashiq Banaye Aapne</t>
  </si>
  <si>
    <t>Iqbal</t>
  </si>
  <si>
    <t>Zeher</t>
  </si>
  <si>
    <t>Khosla Ka Ghosla</t>
  </si>
  <si>
    <t>Pyaar Ke Side Effects</t>
  </si>
  <si>
    <t>Tom Dick and Harry</t>
  </si>
  <si>
    <t>Corporate</t>
  </si>
  <si>
    <t>Jhoom Barabar Jhoom</t>
  </si>
  <si>
    <t>Traffic Signal</t>
  </si>
  <si>
    <t>Honeymoon Travels Pvt. Ltd.</t>
  </si>
  <si>
    <t>Aap Kaa Surroor</t>
  </si>
  <si>
    <t>Mithya</t>
  </si>
  <si>
    <t>Mere Baap Pehle Aap</t>
  </si>
  <si>
    <t>Welcome to Sajjanpur</t>
  </si>
  <si>
    <t>Rocket Singh: Salesman Of The Year</t>
  </si>
  <si>
    <t>Dev D</t>
  </si>
  <si>
    <t>All The Best - Fun Begins</t>
  </si>
  <si>
    <t>Tere Bin Laden</t>
  </si>
  <si>
    <t>Lafangey Parindey</t>
  </si>
  <si>
    <t>Khichdi The Movie</t>
  </si>
  <si>
    <t>Band Baaja Baaraat</t>
  </si>
  <si>
    <t>Saheb Biwi Aur Gangster</t>
  </si>
  <si>
    <t>Bheja Fry 2</t>
  </si>
  <si>
    <t>Pyaar Ka Punchnama</t>
  </si>
  <si>
    <t>F.A.L.T.U</t>
  </si>
  <si>
    <t>Tere Naal Love Ho Gaya</t>
  </si>
  <si>
    <t>Gangs Of Wasseypur 1</t>
  </si>
  <si>
    <t>Hate Story</t>
  </si>
  <si>
    <t>Ek Main Aur Ekk Tu</t>
  </si>
  <si>
    <t>Mere Dad Ki Maruti</t>
  </si>
  <si>
    <t>Table No. 21</t>
  </si>
  <si>
    <t>The Lunchbox</t>
  </si>
  <si>
    <t>Shootout At Wadala</t>
  </si>
  <si>
    <t>Highway</t>
  </si>
  <si>
    <t>Hate Story 2</t>
  </si>
  <si>
    <t>Hasee Toh Phasee</t>
  </si>
  <si>
    <t>Hunterrr</t>
  </si>
  <si>
    <t>Manjhi - The Mountain Man</t>
  </si>
  <si>
    <t>Drishyam</t>
  </si>
  <si>
    <t>Baby</t>
  </si>
  <si>
    <t>Wazir</t>
  </si>
  <si>
    <t>Happy Bhaag Jayegi</t>
  </si>
  <si>
    <t>Udta Punjab</t>
  </si>
  <si>
    <t>Dishoom</t>
  </si>
  <si>
    <t>Deepak Sareen  </t>
  </si>
  <si>
    <t>Mahesh Manjrekar  </t>
  </si>
  <si>
    <t>Ektaa</t>
  </si>
  <si>
    <t>Suneel Darshan  </t>
  </si>
  <si>
    <t>Iqbal Durrani  </t>
  </si>
  <si>
    <t>P. Vasu  </t>
  </si>
  <si>
    <t>Anwar Khan  </t>
  </si>
  <si>
    <t>Neha</t>
  </si>
  <si>
    <t>Mayuri Kango</t>
  </si>
  <si>
    <t>Partho Ghosh  </t>
  </si>
  <si>
    <t>Kuku Kohli</t>
  </si>
  <si>
    <t>Dilip Sen - Sameer Sen</t>
  </si>
  <si>
    <t>Deepak Shivdasani  </t>
  </si>
  <si>
    <t>Kader Khan  </t>
  </si>
  <si>
    <t>Surendra Kumar Bohra  </t>
  </si>
  <si>
    <t>Dhirendra Bohra  </t>
  </si>
  <si>
    <t>Rishi Kapoor</t>
  </si>
  <si>
    <t>Deepak Tijori</t>
  </si>
  <si>
    <t>Farheen</t>
  </si>
  <si>
    <t>Sanjay Khanna  </t>
  </si>
  <si>
    <t>Somy Ali</t>
  </si>
  <si>
    <t>Shikha Swaroop</t>
  </si>
  <si>
    <t>Mukesh Duggal  </t>
  </si>
  <si>
    <t>T.L.V. Prasad  </t>
  </si>
  <si>
    <t>Moushumi Chatterjee</t>
  </si>
  <si>
    <t>Kundan Shah  </t>
  </si>
  <si>
    <t>Suchitra Krishnamurthy</t>
  </si>
  <si>
    <t>Sharookh Mirza  </t>
  </si>
  <si>
    <t>Ayub Khan</t>
  </si>
  <si>
    <t>Samyukta Singh</t>
  </si>
  <si>
    <t>Roshni Jaffery</t>
  </si>
  <si>
    <t>Kabir Bedi</t>
  </si>
  <si>
    <t>Rajiv Babbar  </t>
  </si>
  <si>
    <t>Sanjay Kumar  </t>
  </si>
  <si>
    <t>Vineeta</t>
  </si>
  <si>
    <t>Ahathian  </t>
  </si>
  <si>
    <t>Anand - Milind </t>
  </si>
  <si>
    <t>Sneha</t>
  </si>
  <si>
    <t>mesha Nagi</t>
  </si>
  <si>
    <t>Rami Reddy</t>
  </si>
  <si>
    <t>Basu Bhattacharya  </t>
  </si>
  <si>
    <t>Sharang Dev  </t>
  </si>
  <si>
    <t>Dinesh Thakur</t>
  </si>
  <si>
    <t>Anwesha Bhattacharya</t>
  </si>
  <si>
    <t>Kanti Shah </t>
  </si>
  <si>
    <t>Sawan Kumar Sawan </t>
  </si>
  <si>
    <t>Kanchan Ramani  </t>
  </si>
  <si>
    <t>Sapna</t>
  </si>
  <si>
    <t>Durgesh Nandini</t>
  </si>
  <si>
    <t>Horror</t>
  </si>
  <si>
    <t>Kishan Shah  </t>
  </si>
  <si>
    <t>Sawan Kumar Sawan  </t>
  </si>
  <si>
    <t>Poonam Dasgupta</t>
  </si>
  <si>
    <t>Raj Premi</t>
  </si>
  <si>
    <t>Gulshan Rana</t>
  </si>
  <si>
    <t>Ranjeet</t>
  </si>
  <si>
    <t>ra Kumar  </t>
  </si>
  <si>
    <t>Sanjeev - Darshan  </t>
  </si>
  <si>
    <t>Aatish Kapadia  </t>
  </si>
  <si>
    <t>Sharmila Tagore</t>
  </si>
  <si>
    <t>Dipti Bhatnagar</t>
  </si>
  <si>
    <t>Sanjay Gupta  </t>
  </si>
  <si>
    <t>Veeru Devgan  </t>
  </si>
  <si>
    <t>Sukhwinder Singh  </t>
  </si>
  <si>
    <t>Sushmita Sen</t>
  </si>
  <si>
    <t>Neeraj Vora  </t>
  </si>
  <si>
    <t>S. Deepak  </t>
  </si>
  <si>
    <t>Tinnu Anand</t>
  </si>
  <si>
    <t>Reena Roy</t>
  </si>
  <si>
    <t>Rahul Rawail</t>
  </si>
  <si>
    <t>Shivkumar </t>
  </si>
  <si>
    <t>Dilip Sen   Sameer Sen</t>
  </si>
  <si>
    <t>Rahul Rawail  </t>
  </si>
  <si>
    <t>Sutanu Gupta  </t>
  </si>
  <si>
    <t>Anil Sharma </t>
  </si>
  <si>
    <t>Shaktimaan  </t>
  </si>
  <si>
    <t>Ameesha Patel</t>
  </si>
  <si>
    <t>Lillete Dubey</t>
  </si>
  <si>
    <t>Rajkumar Hirani  </t>
  </si>
  <si>
    <t>Shantanu Moitra  </t>
  </si>
  <si>
    <t>Kareena Kapoor</t>
  </si>
  <si>
    <t>R. Madhavan</t>
  </si>
  <si>
    <t>Sharman Joshi</t>
  </si>
  <si>
    <t>Rajkumar Hirani</t>
  </si>
  <si>
    <t>Jaya Bachchan</t>
  </si>
  <si>
    <t>Sandesh Shandilya   Jatin - Lalit  </t>
  </si>
  <si>
    <t>Hrithik Roshan</t>
  </si>
  <si>
    <t>Uday Chopra</t>
  </si>
  <si>
    <t>A.R. Murugadoss  </t>
  </si>
  <si>
    <t>Asin</t>
  </si>
  <si>
    <t>Jiah Khan</t>
  </si>
  <si>
    <t>Pradeep Rawat</t>
  </si>
  <si>
    <t>Sanjay Gadhvi  </t>
  </si>
  <si>
    <t>Pritam  </t>
  </si>
  <si>
    <t>Abhishek Bachchan</t>
  </si>
  <si>
    <t>Priyanka Chopra</t>
  </si>
  <si>
    <t>Farah Khan  </t>
  </si>
  <si>
    <t>Vishal - Shekhar  </t>
  </si>
  <si>
    <t>Deepika Padukone</t>
  </si>
  <si>
    <t>Arjun Rampal</t>
  </si>
  <si>
    <t>Shreyas Talpade</t>
  </si>
  <si>
    <t>Mushtaq Sheikh   Farah Khan</t>
  </si>
  <si>
    <t>Vidya Balan</t>
  </si>
  <si>
    <t>Boman Irani</t>
  </si>
  <si>
    <t>Salim - Sulaiman  </t>
  </si>
  <si>
    <t>Anushka Sharma</t>
  </si>
  <si>
    <t>Vinay Pathak</t>
  </si>
  <si>
    <t>Manmeet Singh</t>
  </si>
  <si>
    <t>Mahesh Bhatt  </t>
  </si>
  <si>
    <t>Dino Morea</t>
  </si>
  <si>
    <t>Bipasha Basu</t>
  </si>
  <si>
    <t>Ashutosh Rana</t>
  </si>
  <si>
    <t>Malini Sharma</t>
  </si>
  <si>
    <t>Ravindra Jain  </t>
  </si>
  <si>
    <t>Sooraj Barjatya </t>
  </si>
  <si>
    <t>Shahid Kapoor</t>
  </si>
  <si>
    <t>Amrita Rao</t>
  </si>
  <si>
    <t>Rajesh Roshan </t>
  </si>
  <si>
    <t>Rakesh Roshan</t>
  </si>
  <si>
    <t>Feroz Khan</t>
  </si>
  <si>
    <t>Sajid - Wajid   Himesh Reshammiya   Anand Raj Anand  </t>
  </si>
  <si>
    <t>Sajid - Wajid  </t>
  </si>
  <si>
    <t>Lara Datta</t>
  </si>
  <si>
    <t>Katrina Kaif</t>
  </si>
  <si>
    <t>Kirron Kher</t>
  </si>
  <si>
    <t>Shimit Amin  </t>
  </si>
  <si>
    <t>Jaideep Sahni  </t>
  </si>
  <si>
    <t>Vidya Mallavde</t>
  </si>
  <si>
    <t>Tanya Abrol</t>
  </si>
  <si>
    <t>Sagarika Ghatge</t>
  </si>
  <si>
    <t>Kunal Kohli  </t>
  </si>
  <si>
    <t>Shibani Bathija  </t>
  </si>
  <si>
    <t>Madan Mohan Sanjeev Kohli</t>
  </si>
  <si>
    <t>Story</t>
  </si>
  <si>
    <t>Dharmesh Darshan  </t>
  </si>
  <si>
    <t>J.P. Dutta</t>
  </si>
  <si>
    <t>Karan Johar</t>
  </si>
  <si>
    <t>Sachin Bhowmick   Ravi Kapoor  </t>
  </si>
  <si>
    <t>Naushir Khatau  </t>
  </si>
  <si>
    <t>Ranbir Pushp</t>
  </si>
  <si>
    <t>Ram Gopal Verma</t>
  </si>
  <si>
    <t>K.K. Singh</t>
  </si>
  <si>
    <t>Subhash Ghai</t>
  </si>
  <si>
    <t>Praful Parekh   Rajeev Kaul  </t>
  </si>
  <si>
    <t>Rumi Jaffery</t>
  </si>
  <si>
    <t>Raj Kanwar</t>
  </si>
  <si>
    <r>
      <t>Umesh Mehra</t>
    </r>
    <r>
      <rPr>
        <sz val="11"/>
        <color rgb="FF000000"/>
        <rFont val="Roboto"/>
      </rPr>
      <t>  Anand Vardhan   </t>
    </r>
  </si>
  <si>
    <t>K. Bhagyaraj</t>
  </si>
  <si>
    <t>Sohail Khan </t>
  </si>
  <si>
    <t>Amma Creations</t>
  </si>
  <si>
    <t>Mala Sen</t>
  </si>
  <si>
    <t>Bhupati Raja</t>
  </si>
  <si>
    <t>Karan Razdan</t>
  </si>
  <si>
    <r>
      <t>Sanjay Leela Bhansali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>Pratap Karwat</t>
    </r>
    <r>
      <rPr>
        <sz val="11"/>
        <color rgb="FF000000"/>
        <rFont val="Roboto"/>
      </rPr>
      <t>  </t>
    </r>
  </si>
  <si>
    <t>Ved Prakash Sharma</t>
  </si>
  <si>
    <r>
      <t>Rajeev Kaul</t>
    </r>
    <r>
      <rPr>
        <sz val="11"/>
        <color rgb="FF000000"/>
        <rFont val="Roboto"/>
      </rPr>
      <t>   Praful Parekh  </t>
    </r>
  </si>
  <si>
    <r>
      <t>Yunus Sajawal</t>
    </r>
    <r>
      <rPr>
        <sz val="11"/>
        <color rgb="FF000000"/>
        <rFont val="Roboto"/>
      </rPr>
      <t>   Imtiaz Patel  </t>
    </r>
  </si>
  <si>
    <r>
      <t>Saurabh Shukla</t>
    </r>
    <r>
      <rPr>
        <sz val="11"/>
        <color rgb="FF000000"/>
        <rFont val="Roboto"/>
      </rPr>
      <t>   Anurag Kashyap  </t>
    </r>
  </si>
  <si>
    <t>Vinay Shukla</t>
  </si>
  <si>
    <t>Talat Rekhi  </t>
  </si>
  <si>
    <t>Naushir Khatau</t>
  </si>
  <si>
    <t>Bharat Rangachari</t>
  </si>
  <si>
    <t>Sanjeev Duggal</t>
  </si>
  <si>
    <t>Shahab Shamsi  </t>
  </si>
  <si>
    <t>Mahesh Manjrekar</t>
  </si>
  <si>
    <t>P. Vasu</t>
  </si>
  <si>
    <t>K. Prasanna  </t>
  </si>
  <si>
    <t>Keshav Rathod  </t>
  </si>
  <si>
    <t>Dilip Shukla</t>
  </si>
  <si>
    <t>Manivanan</t>
  </si>
  <si>
    <t>Kundan Shah</t>
  </si>
  <si>
    <t>Sanjay Kumar</t>
  </si>
  <si>
    <t>Ahathian</t>
  </si>
  <si>
    <t>Kanika Dhillon </t>
  </si>
  <si>
    <t>Kishan Shah</t>
  </si>
  <si>
    <r>
      <t>Robin Bhatt</t>
    </r>
    <r>
      <rPr>
        <sz val="11"/>
        <color rgb="FF000000"/>
        <rFont val="Roboto"/>
      </rPr>
      <t>   Sujit Sen  </t>
    </r>
  </si>
  <si>
    <t>Janak - Hriday</t>
  </si>
  <si>
    <r>
      <t>Shyam Goel</t>
    </r>
    <r>
      <rPr>
        <sz val="11"/>
        <color rgb="FF000000"/>
        <rFont val="Roboto"/>
      </rPr>
      <t>   Neeraj Vora  </t>
    </r>
  </si>
  <si>
    <r>
      <t>Sutanu Gupta</t>
    </r>
    <r>
      <rPr>
        <sz val="11"/>
        <color rgb="FF000000"/>
        <rFont val="Roboto"/>
      </rPr>
      <t>   Gautam Rajadhyaksha  </t>
    </r>
  </si>
  <si>
    <t>Shaktimaan</t>
  </si>
  <si>
    <t>Sagar Sarhadi  </t>
  </si>
  <si>
    <t>Piyush Mishra  </t>
  </si>
  <si>
    <r>
      <t>Rajkumar Hirani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/>
    </r>
  </si>
  <si>
    <t>Vijay Krishna Acharya</t>
  </si>
  <si>
    <t>Sanjay Masoom  </t>
  </si>
  <si>
    <t>Girish Dhamija</t>
  </si>
  <si>
    <r>
      <t>Praful Parekh</t>
    </r>
    <r>
      <rPr>
        <sz val="11"/>
        <color rgb="FF000000"/>
        <rFont val="Roboto"/>
      </rPr>
      <t>   Rajeev Kaul   Anees Bazmee  </t>
    </r>
  </si>
  <si>
    <t>Sanjay Chhel  </t>
  </si>
  <si>
    <r>
      <t>Rishi Virmani</t>
    </r>
    <r>
      <rPr>
        <sz val="11"/>
        <color rgb="FF000000"/>
        <rFont val="Roboto"/>
      </rPr>
      <t>   Vipul Binjola   Anees Bazmee   Rakesh Shrivastava  </t>
    </r>
  </si>
  <si>
    <t>Kunal Kohli</t>
  </si>
  <si>
    <t>Fardeen Khan</t>
  </si>
  <si>
    <t>Aamir Khan  </t>
  </si>
  <si>
    <t>Shankar - Ehsaan - Loy  </t>
  </si>
  <si>
    <t>Amol Gupte  </t>
  </si>
  <si>
    <t>Darsheel Safary</t>
  </si>
  <si>
    <t>Tisca Chopra</t>
  </si>
  <si>
    <t>Tanay Chheda</t>
  </si>
  <si>
    <r>
      <t>Himesh Reshammiya</t>
    </r>
    <r>
      <rPr>
        <sz val="11"/>
        <color rgb="FF000000"/>
        <rFont val="Roboto"/>
      </rPr>
      <t>   Akbar Sami  </t>
    </r>
  </si>
  <si>
    <t>Shaad Ali  </t>
  </si>
  <si>
    <t>Jaideep Sahni   Aditya Chopra  </t>
  </si>
  <si>
    <t>A. Karunakaran  </t>
  </si>
  <si>
    <t>Tusshar Kapoor</t>
  </si>
  <si>
    <t>Rinke Khanna</t>
  </si>
  <si>
    <t>Pritam</t>
  </si>
  <si>
    <t>Ranbir Kapoor</t>
  </si>
  <si>
    <t>Upen Patel</t>
  </si>
  <si>
    <t>Darshan Jariwala</t>
  </si>
  <si>
    <r>
      <t>Rajkumar Santoshi</t>
    </r>
    <r>
      <rPr>
        <sz val="11"/>
        <color rgb="FF000000"/>
        <rFont val="Roboto"/>
      </rPr>
      <t>   K. Rajeshwar</t>
    </r>
  </si>
  <si>
    <r>
      <t>R.D. Tailang</t>
    </r>
    <r>
      <rPr>
        <sz val="11"/>
        <color rgb="FF000000"/>
        <rFont val="Roboto"/>
      </rPr>
      <t>   Rajkumar Santoshi  </t>
    </r>
  </si>
  <si>
    <t>Vijay Krishna Acharya  </t>
  </si>
  <si>
    <t>John Abraham</t>
  </si>
  <si>
    <t>Esha Deol</t>
  </si>
  <si>
    <t>Abbas Tyrewala  </t>
  </si>
  <si>
    <t>Imran Khan</t>
  </si>
  <si>
    <t>Genelia D'Souza</t>
  </si>
  <si>
    <t>Manjari Fadnis</t>
  </si>
  <si>
    <t>Ayaz Khan</t>
  </si>
  <si>
    <t>Kundan Shah </t>
  </si>
  <si>
    <t>Uttankk V. Vorra  </t>
  </si>
  <si>
    <t>Manisha Korde  </t>
  </si>
  <si>
    <t>Riteish Deshmukh</t>
  </si>
  <si>
    <t>Reema Sen</t>
  </si>
  <si>
    <t>Kunal Deshmukh  </t>
  </si>
  <si>
    <t>Emraan Hashmi</t>
  </si>
  <si>
    <t>Sonal Chauhan</t>
  </si>
  <si>
    <t>Samir Kochhar</t>
  </si>
  <si>
    <t>Vishal Malhotra</t>
  </si>
  <si>
    <t>Kamran Ahmed   Pritam  </t>
  </si>
  <si>
    <t>Anurag Basu  </t>
  </si>
  <si>
    <t>Subodh Chopra  </t>
  </si>
  <si>
    <t>Ashmit Patel</t>
  </si>
  <si>
    <t>Mallika Sherawat</t>
  </si>
  <si>
    <t>Raj Zutshi</t>
  </si>
  <si>
    <r>
      <t>Monty Sharma</t>
    </r>
    <r>
      <rPr>
        <sz val="11"/>
        <color rgb="FF000000"/>
        <rFont val="Roboto"/>
      </rPr>
      <t>   Ismail Darbar  </t>
    </r>
  </si>
  <si>
    <t>Ashutosh Gowariker  </t>
  </si>
  <si>
    <t>K.P. Saxena  </t>
  </si>
  <si>
    <t>Gracy Singh</t>
  </si>
  <si>
    <t>Rachel Shelley</t>
  </si>
  <si>
    <t>Paul Blackthorne</t>
  </si>
  <si>
    <t>N. Maharajan  </t>
  </si>
  <si>
    <t>Nikhil Advani  </t>
  </si>
  <si>
    <t>Niranjan Iyengar  </t>
  </si>
  <si>
    <t>Himesh Reshammiya  </t>
  </si>
  <si>
    <t>Rakesh Omprakash Mehra  </t>
  </si>
  <si>
    <t>Siddharth</t>
  </si>
  <si>
    <t>Kunal Kapoor</t>
  </si>
  <si>
    <r>
      <t>Prasoon Joshi</t>
    </r>
    <r>
      <rPr>
        <sz val="11"/>
        <color rgb="FF000000"/>
        <rFont val="Roboto"/>
      </rPr>
      <t>   Renzil D'Silva  </t>
    </r>
  </si>
  <si>
    <t>Prabhu Deva  </t>
  </si>
  <si>
    <t>Puri Jagannadh  </t>
  </si>
  <si>
    <t>Shiraz Ahmed  </t>
  </si>
  <si>
    <t>Ayesha Takia</t>
  </si>
  <si>
    <t>Vinod Khanna</t>
  </si>
  <si>
    <t>Prakash Raj</t>
  </si>
  <si>
    <t>Rating</t>
  </si>
  <si>
    <t>Farhan Akhtar  </t>
  </si>
  <si>
    <t>Monica Bedi</t>
  </si>
  <si>
    <r>
      <t>Himesh Reshammiya</t>
    </r>
    <r>
      <rPr>
        <sz val="11"/>
        <color rgb="FF000000"/>
        <rFont val="Roboto"/>
      </rPr>
      <t>   Anand Raj Anand  </t>
    </r>
  </si>
  <si>
    <t>Madhu Muttam  </t>
  </si>
  <si>
    <t>Shiney Ahuja</t>
  </si>
  <si>
    <r>
      <t>Neeraj Vora</t>
    </r>
    <r>
      <rPr>
        <sz val="11"/>
        <color rgb="FF000000"/>
        <rFont val="Roboto"/>
      </rPr>
      <t>   Manisha Korde  </t>
    </r>
  </si>
  <si>
    <t>Sajid Khan  </t>
  </si>
  <si>
    <t>Milap Zaveri  </t>
  </si>
  <si>
    <t>Mani Ratnam  </t>
  </si>
  <si>
    <t>Anurag Kashyap   Vijay Krishna Acharya  </t>
  </si>
  <si>
    <t>Anurag Prapanna   Jitendra Parmar  </t>
  </si>
  <si>
    <t>Anu Malik   Sajid - Wajid   Arun Bhairav  </t>
  </si>
  <si>
    <t>Imtiaz Ali  </t>
  </si>
  <si>
    <t>Pritam </t>
  </si>
  <si>
    <t>Rahul Khanna</t>
  </si>
  <si>
    <t>Rohit Shetty  </t>
  </si>
  <si>
    <t>Ashish Pandit   Pritam </t>
  </si>
  <si>
    <t>Yunus Sajawal  </t>
  </si>
  <si>
    <t>Film</t>
  </si>
  <si>
    <t>Release Date</t>
  </si>
  <si>
    <t>Salaam-E-Ishq</t>
  </si>
  <si>
    <t>Apne</t>
  </si>
  <si>
    <t>Saawariya</t>
  </si>
  <si>
    <t>Eklavya - The Royal Guard</t>
  </si>
  <si>
    <t>Cash</t>
  </si>
  <si>
    <t>Fool N Final</t>
  </si>
  <si>
    <t>Laaga Chunari Mein Daag</t>
  </si>
  <si>
    <t>Dhol</t>
  </si>
  <si>
    <t>Life In A Metro</t>
  </si>
  <si>
    <t>Aaja Nachle</t>
  </si>
  <si>
    <t>Dhan Dhana Dhan Goal</t>
  </si>
  <si>
    <t>Naqaab</t>
  </si>
  <si>
    <t>Dus Kahaniyaan</t>
  </si>
  <si>
    <t>Awarapan</t>
  </si>
  <si>
    <t>Nishabd</t>
  </si>
  <si>
    <t>Ram Gopal Varma Ki Aag</t>
  </si>
  <si>
    <t>Good Boy Bad Boy</t>
  </si>
  <si>
    <t>Shaka Laka Boom Boom</t>
  </si>
  <si>
    <t>The Train</t>
  </si>
  <si>
    <t>Big Brother</t>
  </si>
  <si>
    <t>Hattrick</t>
  </si>
  <si>
    <t>Black Friday</t>
  </si>
  <si>
    <t>Just Married</t>
  </si>
  <si>
    <t>Johnny Gaddaar</t>
  </si>
  <si>
    <t>Red - The Dark Side</t>
  </si>
  <si>
    <t>Gandhi My Father</t>
  </si>
  <si>
    <t>Nehlle Pe Dehlla</t>
  </si>
  <si>
    <t>Buddha Mar Gaya</t>
  </si>
  <si>
    <t>Darling</t>
  </si>
  <si>
    <t>Below average</t>
  </si>
  <si>
    <t>Priyadarshan </t>
  </si>
  <si>
    <t>Bhupati Raja  </t>
  </si>
  <si>
    <t>Jainendra Jain  </t>
  </si>
  <si>
    <t>Puru Raajkumar</t>
  </si>
  <si>
    <t>Rimi Sen</t>
  </si>
  <si>
    <t>Ravi Chopra  </t>
  </si>
  <si>
    <t>Aadesh Shrivastava  </t>
  </si>
  <si>
    <t>B.R. Chopra  </t>
  </si>
  <si>
    <t>Ram Govind   Satish Bhatnagar   Achala Nagar   Shafiq Ansari  </t>
  </si>
  <si>
    <t>Hema Malini</t>
  </si>
  <si>
    <t>Aman Verma</t>
  </si>
  <si>
    <t>Aadesh Shrivastava   Jatin - Lalit  </t>
  </si>
  <si>
    <t>Rumi Jaffery   Pramod Sharma   Ashish Kariya  </t>
  </si>
  <si>
    <t>Jas Arora</t>
  </si>
  <si>
    <t>Satish Shah</t>
  </si>
  <si>
    <t>Sunil Dutt</t>
  </si>
  <si>
    <t>Jimmy Shergill</t>
  </si>
  <si>
    <t>Vidhu Vinod Chopra  </t>
  </si>
  <si>
    <t>Kabir Khan  </t>
  </si>
  <si>
    <t>Sandeep Srivastava</t>
  </si>
  <si>
    <t>Neil Nitin Mukesh</t>
  </si>
  <si>
    <t>Irrfan Khan</t>
  </si>
  <si>
    <t>Neeraj Vora </t>
  </si>
  <si>
    <t>Vivek Oberoi</t>
  </si>
  <si>
    <t>Aftab Shivdasani</t>
  </si>
  <si>
    <t>Vidyasagar  </t>
  </si>
  <si>
    <t>Siddique  </t>
  </si>
  <si>
    <t>Gulzar  </t>
  </si>
  <si>
    <t>Tanuja</t>
  </si>
  <si>
    <t>Siddharth Anand  </t>
  </si>
  <si>
    <t>Vishal - Shekhar</t>
  </si>
  <si>
    <t>Tania Zaetta</t>
  </si>
  <si>
    <t>Pritam   Sandesh Shandilya  </t>
  </si>
  <si>
    <t>Tarun Arora</t>
  </si>
  <si>
    <t>Dara Singh</t>
  </si>
  <si>
    <t>Lalit Marathe   Sameer Sharma  </t>
  </si>
  <si>
    <t>Sangeeth Sivan  </t>
  </si>
  <si>
    <t>Sachin Yardi   Pankaj Trivedi  </t>
  </si>
  <si>
    <t>Isha Koppikar</t>
  </si>
  <si>
    <t>Neha Dhupia</t>
  </si>
  <si>
    <t>Amit Saxena  </t>
  </si>
  <si>
    <t>M.M. Kreem  </t>
  </si>
  <si>
    <t>Mahesh Bhatt   Niranjan Iyengar  </t>
  </si>
  <si>
    <t>Sachin Yardi  </t>
  </si>
  <si>
    <t>Bappi - Tutal  </t>
  </si>
  <si>
    <t>Milind Gadagkar  </t>
  </si>
  <si>
    <t>Sudeep</t>
  </si>
  <si>
    <t>Amruta Khanvilkar</t>
  </si>
  <si>
    <t>Ahsaas Channa</t>
  </si>
  <si>
    <t>Ashwini Khalsekar</t>
  </si>
  <si>
    <t>Shashilal K. Nair  </t>
  </si>
  <si>
    <t>Arvind Nirmal  </t>
  </si>
  <si>
    <t>Aditya Seal</t>
  </si>
  <si>
    <t>Ranvir Shorey</t>
  </si>
  <si>
    <t>Saroj Bhargava</t>
  </si>
  <si>
    <t>Neeraj Pandey  </t>
  </si>
  <si>
    <t>Sanjoy Chowdhary  </t>
  </si>
  <si>
    <t>Aamir Bashir</t>
  </si>
  <si>
    <t>Sagar Ballary  </t>
  </si>
  <si>
    <t>Sagar Desai  </t>
  </si>
  <si>
    <t>Sharat Katariya  </t>
  </si>
  <si>
    <t>Sarika</t>
  </si>
  <si>
    <t>Rajat Kapoor</t>
  </si>
  <si>
    <t>Abbas - Mustan   Abbas - Mustan  </t>
  </si>
  <si>
    <t>Anu Malik   Anu Malik  </t>
  </si>
  <si>
    <t>Javed Siddique  </t>
  </si>
  <si>
    <t>Khalid Mohamed  </t>
  </si>
  <si>
    <t>A.R. Rehman   Anu Malik  </t>
  </si>
  <si>
    <t>Ashutosh Gowariker </t>
  </si>
  <si>
    <t>Stephen Gomes  </t>
  </si>
  <si>
    <t>Sonu Sood</t>
  </si>
  <si>
    <t>Suhasini Mulay</t>
  </si>
  <si>
    <t>Vipul Amrutlal Shah  </t>
  </si>
  <si>
    <t>Suresh Nair  </t>
  </si>
  <si>
    <t>Ritesh Shah   Suresh Nair  </t>
  </si>
  <si>
    <t>Clive Standen</t>
  </si>
  <si>
    <t>Habib Faisal  </t>
  </si>
  <si>
    <t>Shruti Seth</t>
  </si>
  <si>
    <t>Victor Banerjee</t>
  </si>
  <si>
    <t>Adnan Sami  </t>
  </si>
  <si>
    <t>Paritossh Painter  </t>
  </si>
  <si>
    <t>Bunty Rathore   Paritossh Painter   Balvinder Singh Suri </t>
  </si>
  <si>
    <t>Aashish Chaudhary</t>
  </si>
  <si>
    <t>David Dhawan</t>
  </si>
  <si>
    <t>Himesh Reshammiya</t>
  </si>
  <si>
    <t>Sohail Khan</t>
  </si>
  <si>
    <t>Apoorva Lakhia  </t>
  </si>
  <si>
    <t>Raj Vasant  </t>
  </si>
  <si>
    <r>
      <t>Strings</t>
    </r>
    <r>
      <rPr>
        <sz val="11"/>
        <color rgb="FF000000"/>
        <rFont val="Roboto"/>
      </rPr>
      <t>   Mika Singh   Palash Sen   Biddu   Anand Raj Anand  </t>
    </r>
  </si>
  <si>
    <t>Manish Gupta  </t>
  </si>
  <si>
    <t>Kay Kay Menon</t>
  </si>
  <si>
    <t>Bala  </t>
  </si>
  <si>
    <t>Bhoomika Chawla</t>
  </si>
  <si>
    <t>Sachin Khedekar</t>
  </si>
  <si>
    <t>Savita Prabhune</t>
  </si>
  <si>
    <t>Anvita Dutt  </t>
  </si>
  <si>
    <t>Minissha Lamba</t>
  </si>
  <si>
    <t>Mystery</t>
  </si>
  <si>
    <r>
      <t>Anurag Prapanna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>Jitendra Parmar</t>
    </r>
    <r>
      <rPr>
        <sz val="11"/>
        <color rgb="FF000000"/>
        <rFont val="Roboto"/>
      </rPr>
      <t>  </t>
    </r>
  </si>
  <si>
    <t>Mohit Suri </t>
  </si>
  <si>
    <t>Shagufta Rafique</t>
  </si>
  <si>
    <t>Kangana Ranaut</t>
  </si>
  <si>
    <t>Adhyayan Suman</t>
  </si>
  <si>
    <r>
      <t>Toshi - Sharib</t>
    </r>
    <r>
      <rPr>
        <sz val="11"/>
        <color rgb="FF000000"/>
        <rFont val="Roboto"/>
      </rPr>
      <t>   Raju Singh   Pranay Rijia   Gourov Dasgupta </t>
    </r>
  </si>
  <si>
    <t>Prakash Jha  </t>
  </si>
  <si>
    <t>Yashpal Sharma</t>
  </si>
  <si>
    <t>Aadesh Shrivastava   Wayne Sharpe  </t>
  </si>
  <si>
    <t>K. Vijaya Bhaskar  </t>
  </si>
  <si>
    <t>Kamal  </t>
  </si>
  <si>
    <t>Raja Bherwani</t>
  </si>
  <si>
    <t>Shriya Saran</t>
  </si>
  <si>
    <t>R. Balki  </t>
  </si>
  <si>
    <t>Ilaiyaraja  </t>
  </si>
  <si>
    <t>Rajat Arora  </t>
  </si>
  <si>
    <t>Sonali Kulkarni</t>
  </si>
  <si>
    <t>Sameera Reddy</t>
  </si>
  <si>
    <t>Rohan Sippy  </t>
  </si>
  <si>
    <t>Shridhar Raghavan  </t>
  </si>
  <si>
    <t>Ayan Mukherji  </t>
  </si>
  <si>
    <t>Konkona Sen Sharma</t>
  </si>
  <si>
    <t>Supriya Pathak</t>
  </si>
  <si>
    <r>
      <t>Amit Trivedi</t>
    </r>
    <r>
      <rPr>
        <sz val="11"/>
        <color rgb="FF000000"/>
        <rFont val="Roboto"/>
      </rPr>
      <t>   Shankar - Ehsaan - Loy  </t>
    </r>
  </si>
  <si>
    <t>Jeet - Pritam  </t>
  </si>
  <si>
    <t>Mayur Puri  </t>
  </si>
  <si>
    <t>Tulip Joshi</t>
  </si>
  <si>
    <t>Pankaj Trivedi  </t>
  </si>
  <si>
    <r>
      <t>Sachin Shah</t>
    </r>
    <r>
      <rPr>
        <sz val="11"/>
        <color rgb="FF000000"/>
        <rFont val="Roboto"/>
      </rPr>
      <t>   Pankaj Trivedi  </t>
    </r>
  </si>
  <si>
    <t>Girish Dhamija  </t>
  </si>
  <si>
    <t>Deepak Shivdasani </t>
  </si>
  <si>
    <t>Sanjay Pawar  </t>
  </si>
  <si>
    <t>Priyanshu Chatterjee</t>
  </si>
  <si>
    <t>Yash Tonk</t>
  </si>
  <si>
    <t>N. Chandra  </t>
  </si>
  <si>
    <t>Sahil Khan</t>
  </si>
  <si>
    <t>Riya Sen</t>
  </si>
  <si>
    <t>Shilpi Mudgal</t>
  </si>
  <si>
    <t>Sandeep Srivastava  </t>
  </si>
  <si>
    <t>Prasad Purandare</t>
  </si>
  <si>
    <t>Nakul Vaid</t>
  </si>
  <si>
    <r>
      <t>Ajay - Atul</t>
    </r>
    <r>
      <rPr>
        <sz val="11"/>
        <color rgb="FF000000"/>
        <rFont val="Roboto"/>
      </rPr>
      <t>   Shantanu Moitra  </t>
    </r>
  </si>
  <si>
    <r>
      <t>Rajkumar Hirani</t>
    </r>
    <r>
      <rPr>
        <sz val="11"/>
        <color rgb="FF000000"/>
        <rFont val="Roboto"/>
      </rPr>
      <t>   Abhijat Joshi  </t>
    </r>
  </si>
  <si>
    <t>V. Vijayendra Prasad  </t>
  </si>
  <si>
    <t>Nawazuddin Siddiqui</t>
  </si>
  <si>
    <t>Harshaali Malhotra</t>
  </si>
  <si>
    <t>Ali Abbas Zafar  </t>
  </si>
  <si>
    <t>Amit Sadh</t>
  </si>
  <si>
    <t>Randeep Hooda</t>
  </si>
  <si>
    <t>Farhad - Sajid  </t>
  </si>
  <si>
    <t>Niketan Dheer</t>
  </si>
  <si>
    <t>Sathyaraj</t>
  </si>
  <si>
    <r>
      <t>Honey Singh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/>
    </r>
  </si>
  <si>
    <t>Abhinav Kashyap  </t>
  </si>
  <si>
    <r>
      <t>Abhinav Kashyap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>Dilip Shukla</t>
    </r>
    <r>
      <rPr>
        <sz val="11"/>
        <color rgb="FF000000"/>
        <rFont val="Roboto"/>
      </rPr>
      <t>  </t>
    </r>
  </si>
  <si>
    <t>Sonakshi Sinha</t>
  </si>
  <si>
    <r>
      <t>Sajid - Wajid</t>
    </r>
    <r>
      <rPr>
        <sz val="11"/>
        <color rgb="FF000000"/>
        <rFont val="Roboto"/>
      </rPr>
      <t>   Lalit Pandit  </t>
    </r>
  </si>
  <si>
    <t>Girish Karnad</t>
  </si>
  <si>
    <r>
      <t>Sajid - Wajid</t>
    </r>
    <r>
      <rPr>
        <sz val="11"/>
        <color rgb="FF000000"/>
        <rFont val="Roboto"/>
      </rPr>
      <t>   Sohail Sen  </t>
    </r>
  </si>
  <si>
    <t>Sajid Nadiadwala  </t>
  </si>
  <si>
    <t>Jacqueline Fernandez</t>
  </si>
  <si>
    <t>Honey Singh   Himesh Reshammiya   Meet Bros  </t>
  </si>
  <si>
    <r>
      <t>Chetan Bhagat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/>
    </r>
  </si>
  <si>
    <r>
      <t>Himesh Reshammiya</t>
    </r>
    <r>
      <rPr>
        <sz val="11"/>
        <color rgb="FF000000"/>
        <rFont val="Roboto"/>
      </rPr>
      <t>   Pritam  </t>
    </r>
  </si>
  <si>
    <r>
      <t>Siddique</t>
    </r>
    <r>
      <rPr>
        <sz val="11"/>
        <color rgb="FF000000"/>
        <rFont val="Roboto"/>
      </rPr>
      <t>   J.P. Chowksey   Kiran Kotrial  </t>
    </r>
  </si>
  <si>
    <t>Arbaaz Khan  </t>
  </si>
  <si>
    <t>Aditya Roy Kapoor</t>
  </si>
  <si>
    <t>Kalki Koechlin</t>
  </si>
  <si>
    <t>M. Naseer</t>
  </si>
  <si>
    <t>Gopi Mohan  </t>
  </si>
  <si>
    <t>Nisar Akhtar   Farhad - Sajid  </t>
  </si>
  <si>
    <t>Anand L. Rai  </t>
  </si>
  <si>
    <t>Himanshu Sharma  </t>
  </si>
  <si>
    <t>Deepak Dobriyal</t>
  </si>
  <si>
    <r>
      <t>Surj RDB</t>
    </r>
    <r>
      <rPr>
        <sz val="11"/>
        <color rgb="FF000000"/>
        <rFont val="Roboto"/>
      </rPr>
      <t>   Tanishk    Vayu   Krsna  </t>
    </r>
  </si>
  <si>
    <t>Mohit Suri  </t>
  </si>
  <si>
    <t>Shagufta Rafique  </t>
  </si>
  <si>
    <t>Shraddha Kapoor</t>
  </si>
  <si>
    <t>Shaad Randhawa</t>
  </si>
  <si>
    <t>Mahesh Thakur</t>
  </si>
  <si>
    <r>
      <t>Mithoon</t>
    </r>
    <r>
      <rPr>
        <sz val="11"/>
        <color rgb="FF000000"/>
        <rFont val="Roboto"/>
      </rPr>
      <t>   Ankit Tiwari   Jeet Ganguly  </t>
    </r>
  </si>
  <si>
    <r>
      <t>Althea Delmas Kaushal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>Farah Khan</t>
    </r>
    <r>
      <rPr>
        <sz val="11"/>
        <color rgb="FF000000"/>
        <rFont val="Roboto"/>
      </rPr>
      <t>  </t>
    </r>
  </si>
  <si>
    <t>Rohit Malhotra  </t>
  </si>
  <si>
    <t>Amol Gupte</t>
  </si>
  <si>
    <r>
      <t>Honey Singh</t>
    </r>
    <r>
      <rPr>
        <sz val="11"/>
        <color rgb="FF000000"/>
        <rFont val="Roboto"/>
      </rPr>
      <t>   Jeet Ganguly   Ankit Tiwari   Meet Bros  </t>
    </r>
  </si>
  <si>
    <t>Karan Malhotra  </t>
  </si>
  <si>
    <t>Ajay - Atul  </t>
  </si>
  <si>
    <t>Hari  </t>
  </si>
  <si>
    <t>Kajal Aggarwal</t>
  </si>
  <si>
    <t>Randhir Kapoor</t>
  </si>
  <si>
    <r>
      <t>Pritam</t>
    </r>
    <r>
      <rPr>
        <sz val="11"/>
        <color rgb="FF000000"/>
        <rFont val="Roboto"/>
      </rPr>
      <t>   Shantanu Moitra   Aadesh Shrivastava   Wayne Sharpe  </t>
    </r>
  </si>
  <si>
    <t>Tinu Suresh Desai  </t>
  </si>
  <si>
    <t>Vipul K. Rawal  </t>
  </si>
  <si>
    <t>Ileana D'Cruz</t>
  </si>
  <si>
    <t>Arjan Bajwa</t>
  </si>
  <si>
    <t>Esha Gupta</t>
  </si>
  <si>
    <r>
      <t>Arko Pravo Mukherjee</t>
    </r>
    <r>
      <rPr>
        <sz val="11"/>
        <color rgb="FF000000"/>
        <rFont val="Roboto"/>
      </rPr>
      <t>   Ankit Tiwari   Jeet Ganguly   Raghav Sachar  </t>
    </r>
  </si>
  <si>
    <t>Raja Krishna Menon  </t>
  </si>
  <si>
    <t>Nimrat Kaur</t>
  </si>
  <si>
    <t>Purab Kohli</t>
  </si>
  <si>
    <t>Kumud Mishra</t>
  </si>
  <si>
    <r>
      <t>Amal Malik</t>
    </r>
    <r>
      <rPr>
        <sz val="11"/>
        <color rgb="FF000000"/>
        <rFont val="Roboto"/>
      </rPr>
      <t>   Ankit Tiwari  </t>
    </r>
  </si>
  <si>
    <t>Prasoon Joshi  </t>
  </si>
  <si>
    <t>Farhan Akhtar</t>
  </si>
  <si>
    <t>Sonam Kapoor</t>
  </si>
  <si>
    <t>Rebecca Breeds</t>
  </si>
  <si>
    <t>Remo D'Souza  </t>
  </si>
  <si>
    <t>Sachin - Jigar  </t>
  </si>
  <si>
    <t>Prabhu Deva</t>
  </si>
  <si>
    <t>Sushant Pujari</t>
  </si>
  <si>
    <t>Varun Dhawan</t>
  </si>
  <si>
    <r>
      <t>Tushar Hiranandani</t>
    </r>
    <r>
      <rPr>
        <sz val="11"/>
        <color rgb="FF000000"/>
        <rFont val="Roboto"/>
      </rPr>
      <t>   Remo D'Souza  </t>
    </r>
  </si>
  <si>
    <r>
      <t>Sanjeev - Darshan</t>
    </r>
    <r>
      <rPr>
        <sz val="11"/>
        <color rgb="FF000000"/>
        <rFont val="Roboto"/>
      </rPr>
      <t>   Anand Raj Anand  </t>
    </r>
  </si>
  <si>
    <t>Tushar Hiranandani  </t>
  </si>
  <si>
    <t>Roopa Ganguly</t>
  </si>
  <si>
    <t>Sidharth Malhotra</t>
  </si>
  <si>
    <t>Kamaal R. Khan</t>
  </si>
  <si>
    <r>
      <t>Adnan Dhool</t>
    </r>
    <r>
      <rPr>
        <sz val="11"/>
        <color rgb="FF000000"/>
        <rFont val="Roboto"/>
      </rPr>
      <t>   Ankit Tiwari   Mithoon   Rabbi Ahmed  </t>
    </r>
  </si>
  <si>
    <t>Umesh Shukla  </t>
  </si>
  <si>
    <r>
      <t>Meet Bros</t>
    </r>
    <r>
      <rPr>
        <sz val="11"/>
        <color rgb="FF000000"/>
        <rFont val="Roboto"/>
      </rPr>
      <t>   Sachin - Jigar   Himesh Reshammiya  </t>
    </r>
  </si>
  <si>
    <r>
      <t>Umesh Shukla</t>
    </r>
    <r>
      <rPr>
        <sz val="11"/>
        <color rgb="FF000000"/>
        <rFont val="Roboto"/>
      </rPr>
      <t>   Bhavesh Mandalia  </t>
    </r>
  </si>
  <si>
    <t>Manish Chaudhary</t>
  </si>
  <si>
    <r>
      <t>Rashid Khan</t>
    </r>
    <r>
      <rPr>
        <sz val="11"/>
        <color rgb="FF000000"/>
        <rFont val="Roboto"/>
      </rPr>
      <t>   Mithoon   Jeet Ganguly  </t>
    </r>
  </si>
  <si>
    <t>Sudhanshu Pandey</t>
  </si>
  <si>
    <t>Prashant Narayanan</t>
  </si>
  <si>
    <r>
      <t>Mithoon</t>
    </r>
    <r>
      <rPr>
        <sz val="11"/>
        <color rgb="FF000000"/>
        <rFont val="Roboto"/>
      </rPr>
      <t>   Sangeet - Siddharth   Harshit Saxena  </t>
    </r>
  </si>
  <si>
    <t>Luv Ranjan  </t>
  </si>
  <si>
    <t>Kartik Tiwari</t>
  </si>
  <si>
    <t>Nushrat Bharucha</t>
  </si>
  <si>
    <t>Sunny Singh Nijjar</t>
  </si>
  <si>
    <t>Sonalli Sehgal</t>
  </si>
  <si>
    <r>
      <t>Hitesh Sonik</t>
    </r>
    <r>
      <rPr>
        <sz val="11"/>
        <color rgb="FF000000"/>
        <rFont val="Roboto"/>
      </rPr>
      <t>   Toshi - Sharib  </t>
    </r>
  </si>
  <si>
    <r>
      <t>Tarun Jain</t>
    </r>
    <r>
      <rPr>
        <sz val="11"/>
        <color rgb="FF000000"/>
        <rFont val="Roboto"/>
      </rPr>
      <t>   Luv Ranjan   Rahul Mody  </t>
    </r>
  </si>
  <si>
    <t>N.M. Inamdar  </t>
  </si>
  <si>
    <t>Ranveer Singh</t>
  </si>
  <si>
    <t>Tanvi Azmi</t>
  </si>
  <si>
    <r>
      <t>Mallika Dutt Gharde</t>
    </r>
    <r>
      <rPr>
        <sz val="11"/>
        <color rgb="FF000000"/>
        <rFont val="Roboto"/>
      </rPr>
      <t>   Prakash Kapadia   Sanjay Leela Bhansali </t>
    </r>
  </si>
  <si>
    <t>Anubhav Sinha  </t>
  </si>
  <si>
    <t>Shahana Goswami</t>
  </si>
  <si>
    <r>
      <t>Mushtaq Sheikh</t>
    </r>
    <r>
      <rPr>
        <sz val="11"/>
        <color rgb="FF000000"/>
        <rFont val="Roboto"/>
      </rPr>
      <t>   Anubhav Sinha   Kanika Dhillon   David Benullo  </t>
    </r>
  </si>
  <si>
    <r>
      <t>Farhan Akhtar</t>
    </r>
    <r>
      <rPr>
        <sz val="11"/>
        <color rgb="FF000000"/>
        <rFont val="Roboto"/>
      </rPr>
      <t>   Ameet Mehta   Ambrish Shah  </t>
    </r>
  </si>
  <si>
    <t>Prachi Desai</t>
  </si>
  <si>
    <r>
      <t>Ajay - Atul</t>
    </r>
    <r>
      <rPr>
        <sz val="11"/>
        <color rgb="FF000000"/>
        <rFont val="Roboto"/>
      </rPr>
      <t>   Himesh Reshammiya  </t>
    </r>
  </si>
  <si>
    <t>Farhad</t>
  </si>
  <si>
    <t>Sumeet Raghavan</t>
  </si>
  <si>
    <t>Siddharth - Garima  </t>
  </si>
  <si>
    <t>Gulshan Devaiya</t>
  </si>
  <si>
    <t>Ashwini Dhir  </t>
  </si>
  <si>
    <t>Himesh Reshammiya   Sajid - Wajid  </t>
  </si>
  <si>
    <r>
      <t>Mika Singh</t>
    </r>
    <r>
      <rPr>
        <sz val="11"/>
        <color rgb="FF000000"/>
        <rFont val="Roboto"/>
      </rPr>
      <t>   Sohail Sen   Toshi - Sharib   Milind Gaba   Tanishk   </t>
    </r>
  </si>
  <si>
    <r>
      <t>Rajan Aggarwal</t>
    </r>
    <r>
      <rPr>
        <sz val="11"/>
        <color rgb="FF000000"/>
        <rFont val="Roboto"/>
      </rPr>
      <t>   Farhad - Sajid  </t>
    </r>
  </si>
  <si>
    <r>
      <t>Jitendra Parmar</t>
    </r>
    <r>
      <rPr>
        <sz val="11"/>
        <color rgb="FF000000"/>
        <rFont val="Roboto"/>
      </rPr>
      <t>   K. Subhash  </t>
    </r>
  </si>
  <si>
    <t>Sonya Jehan</t>
  </si>
  <si>
    <t>Niranjan Iyengar   Shibani Bathija  </t>
  </si>
  <si>
    <t>Zoya Akhtar  </t>
  </si>
  <si>
    <t>Abhay Deol</t>
  </si>
  <si>
    <r>
      <t>Zoya Akhtar</t>
    </r>
    <r>
      <rPr>
        <sz val="11"/>
        <color rgb="FF000000"/>
        <rFont val="Roboto"/>
      </rPr>
      <t>   Reema Kagti  </t>
    </r>
  </si>
  <si>
    <t>Homi Adajania  </t>
  </si>
  <si>
    <t>Diana Penty</t>
  </si>
  <si>
    <r>
      <t>mtiaz Ali</t>
    </r>
    <r>
      <rPr>
        <sz val="11"/>
        <color rgb="FF000000"/>
        <rFont val="Roboto"/>
      </rPr>
      <t>   Sajid Ali  </t>
    </r>
  </si>
  <si>
    <t>Samir Karnik </t>
  </si>
  <si>
    <t>Jaswinder Bath  </t>
  </si>
  <si>
    <t>Kulraj Randhawa</t>
  </si>
  <si>
    <r>
      <t>Anu Malik</t>
    </r>
    <r>
      <rPr>
        <sz val="11"/>
        <color rgb="FF000000"/>
        <rFont val="Roboto"/>
      </rPr>
      <t>   Laxmikant - Pyarelal   RDB   Sandesh Shandilya  Nouman Javaid   Rahul B. Seth  </t>
    </r>
  </si>
  <si>
    <t>Shoojit Sircar  </t>
  </si>
  <si>
    <t>Anupam Roy  </t>
  </si>
  <si>
    <t>Juhi Chaturvedi  </t>
  </si>
  <si>
    <t>Sabbir Khan  </t>
  </si>
  <si>
    <t>Sanjeev Dutta  </t>
  </si>
  <si>
    <t>Tiger Shroff</t>
  </si>
  <si>
    <t>Sudheer Babu Posani</t>
  </si>
  <si>
    <t>Shifuji Bhardwaj</t>
  </si>
  <si>
    <t>Ankit Tiwari   Manj Musik   Amal Malik   Meet Bros  </t>
  </si>
  <si>
    <t>Shashank Khaitan  </t>
  </si>
  <si>
    <t>Alia Bhatt</t>
  </si>
  <si>
    <t>Sidharth Shukla</t>
  </si>
  <si>
    <r>
      <t>Sachin - Jigar</t>
    </r>
    <r>
      <rPr>
        <sz val="11"/>
        <color rgb="FF000000"/>
        <rFont val="Roboto"/>
      </rPr>
      <t>   Toshi - Sharib  </t>
    </r>
  </si>
  <si>
    <t>Ram Madhvani  </t>
  </si>
  <si>
    <t>Vishal Khurana  </t>
  </si>
  <si>
    <t>Saiwyn Qadras  </t>
  </si>
  <si>
    <t>Shabana Azmi</t>
  </si>
  <si>
    <t>Yogendra Tikku</t>
  </si>
  <si>
    <t>Shekhar Ravjiani</t>
  </si>
  <si>
    <t>Shakun Batra  </t>
  </si>
  <si>
    <r>
      <t>Ayesha DeVitre</t>
    </r>
    <r>
      <rPr>
        <sz val="11"/>
        <color rgb="FF000000"/>
        <rFont val="Roboto"/>
      </rPr>
      <t>   </t>
    </r>
    <r>
      <rPr>
        <sz val="11"/>
        <color rgb="FF239ED2"/>
        <rFont val="Roboto"/>
      </rPr>
      <t>Shakun Batra</t>
    </r>
    <r>
      <rPr>
        <sz val="11"/>
        <color rgb="FF000000"/>
        <rFont val="Roboto"/>
      </rPr>
      <t>  </t>
    </r>
  </si>
  <si>
    <t>Fawad Khan</t>
  </si>
  <si>
    <r>
      <t>Amal Malik</t>
    </r>
    <r>
      <rPr>
        <sz val="11"/>
        <color rgb="FF000000"/>
        <rFont val="Roboto"/>
      </rPr>
      <t>   Nusrat Fateh Ali Khan   Tanishk    Baadshah  Benny Dayal   Fazilpuria   Arko Pravo Mukherjee  </t>
    </r>
  </si>
  <si>
    <r>
      <t>Shakun Batra</t>
    </r>
    <r>
      <rPr>
        <sz val="11"/>
        <color rgb="FF000000"/>
        <rFont val="Roboto"/>
      </rPr>
      <t>   Ayesha DeVitre  </t>
    </r>
  </si>
  <si>
    <t>Sohail Sen  </t>
  </si>
  <si>
    <t>Ali Zafar</t>
  </si>
  <si>
    <t>Tara D'Souza</t>
  </si>
  <si>
    <t>Dhanush</t>
  </si>
  <si>
    <t>Swara Bhaskar</t>
  </si>
  <si>
    <t>Sujoy Ghosh  </t>
  </si>
  <si>
    <t>Ritesh Shah  </t>
  </si>
  <si>
    <t>Parambrata Chatterjee</t>
  </si>
  <si>
    <r>
      <t>Advaita Kala</t>
    </r>
    <r>
      <rPr>
        <sz val="11"/>
        <color rgb="FF000000"/>
        <rFont val="Roboto"/>
      </rPr>
      <t>   Sujoy Ghosh  </t>
    </r>
  </si>
  <si>
    <t>Kriti Sanon</t>
  </si>
  <si>
    <t>Jatin Suri</t>
  </si>
  <si>
    <r>
      <t>Mustafa Zahid</t>
    </r>
    <r>
      <rPr>
        <sz val="11"/>
        <color rgb="FF000000"/>
        <rFont val="Roboto"/>
      </rPr>
      <t>   Bilal Saeed   Manj Musik   Sajid - Wajid  </t>
    </r>
  </si>
  <si>
    <t>Vikas Bahl</t>
  </si>
  <si>
    <t>Amit Trivedi  </t>
  </si>
  <si>
    <t>Raj Kumar Yadav</t>
  </si>
  <si>
    <t>Lisa Haydon</t>
  </si>
  <si>
    <r>
      <t>Chaitally Parmar</t>
    </r>
    <r>
      <rPr>
        <sz val="11"/>
        <color rgb="FF000000"/>
        <rFont val="Roboto"/>
      </rPr>
      <t>   Parvez Sheikh   Vikas Bahl  </t>
    </r>
  </si>
  <si>
    <t>Vikas Bahl   Parvez Sheikh   Chaitally Parmar  </t>
  </si>
  <si>
    <t>Abhinay Deo  </t>
  </si>
  <si>
    <t>Ram Sampath  </t>
  </si>
  <si>
    <t>Akshat Verma  </t>
  </si>
  <si>
    <t>Vir Das</t>
  </si>
  <si>
    <t>Kunaal Roy Kapur</t>
  </si>
  <si>
    <t>Shenaz Treasurywala</t>
  </si>
  <si>
    <t>Punit Malhotra  </t>
  </si>
  <si>
    <t>Punit Malhotra </t>
  </si>
  <si>
    <t>Sameer Dattani</t>
  </si>
  <si>
    <t>Samir Soni</t>
  </si>
  <si>
    <t>Bhushan Patel  </t>
  </si>
  <si>
    <t>Sunny Leone</t>
  </si>
  <si>
    <t>Sahil Prem</t>
  </si>
  <si>
    <t>Pravin Dabbas</t>
  </si>
  <si>
    <t>Karan Mehra</t>
  </si>
  <si>
    <t>Chirantan Bhatt   Meet Bros   Pranay Rijia   Honey Singh  </t>
  </si>
  <si>
    <t>Suhani Kanwar   Tanveer Bookwala  </t>
  </si>
  <si>
    <t>Arjun Kapoor</t>
  </si>
  <si>
    <t>Parineeti Chopra</t>
  </si>
  <si>
    <t>Gauhar Khan</t>
  </si>
  <si>
    <t>Habib Faisal   Aditya Chopra  </t>
  </si>
  <si>
    <t>Neha Sharma</t>
  </si>
  <si>
    <t>Sarah Jane Dias</t>
  </si>
  <si>
    <t>Sachin - Jigar   Meet Bros  </t>
  </si>
  <si>
    <t>Vishal Pandya  </t>
  </si>
  <si>
    <t>Zarine Khan</t>
  </si>
  <si>
    <t>Karan Grover</t>
  </si>
  <si>
    <t>Daisy Shah</t>
  </si>
  <si>
    <t>Baman   Amal Malik   Meet Bros  </t>
  </si>
  <si>
    <t>Sriram Raghavan  </t>
  </si>
  <si>
    <t>Massimo Carlotto  </t>
  </si>
  <si>
    <t>Huma Quershi</t>
  </si>
  <si>
    <t>Yami Gautam</t>
  </si>
  <si>
    <t>Arijit Biswas   Sriram Raghavan   Pooja Ladha Surti  </t>
  </si>
  <si>
    <t>Maneesh Sharma  </t>
  </si>
  <si>
    <t>Sushant Singh Rajput</t>
  </si>
  <si>
    <t>Vaani Kapoor</t>
  </si>
  <si>
    <t>Krsna  </t>
  </si>
  <si>
    <t>Anukalp Goswami  </t>
  </si>
  <si>
    <t>Kapil Sharma</t>
  </si>
  <si>
    <t>Elli Avram</t>
  </si>
  <si>
    <r>
      <t>Dr. Zeus</t>
    </r>
    <r>
      <rPr>
        <sz val="11"/>
        <color rgb="FF000000"/>
        <rFont val="Roboto"/>
      </rPr>
      <t>   Tanishk    Amjad - Nadeem   Javed Mohsin  </t>
    </r>
  </si>
  <si>
    <r>
      <t>Dheeraj Sarna</t>
    </r>
    <r>
      <rPr>
        <sz val="11"/>
        <color rgb="FF000000"/>
        <rFont val="Roboto"/>
      </rPr>
      <t>   Anukalp Goswami  </t>
    </r>
  </si>
  <si>
    <t>Taapsee Pannu</t>
  </si>
  <si>
    <t>Ayushman Khurana</t>
  </si>
  <si>
    <t>Annu Kapoor</t>
  </si>
  <si>
    <t>Dolly Ahluwalia</t>
  </si>
  <si>
    <t>Rochak Kohli   Abhishek - Akshay   Ayushman Khurana  </t>
  </si>
  <si>
    <t>Anusha Rizvi  </t>
  </si>
  <si>
    <t>Omkar Das Manikpuri</t>
  </si>
  <si>
    <t>Raghuvir Yadav</t>
  </si>
  <si>
    <t>Chirantan Bhatt  </t>
  </si>
  <si>
    <t>Amin Hajee  </t>
  </si>
  <si>
    <t>Mahakshay Chakraborty</t>
  </si>
  <si>
    <t>Tia Bajpai</t>
  </si>
  <si>
    <t>Arif Zakaria</t>
  </si>
  <si>
    <t>Achint Kaur</t>
  </si>
  <si>
    <t>Subhash Kapoor  </t>
  </si>
  <si>
    <t>Pawan Malhotra</t>
  </si>
  <si>
    <t>Sujoy Ghosh   Suresh Nair  </t>
  </si>
  <si>
    <t>Sajid - Wajid   Devi Prasad Sharma   Amal Malik  </t>
  </si>
  <si>
    <t>Kiran Kotrial  </t>
  </si>
  <si>
    <t>Reema Kagti  </t>
  </si>
  <si>
    <t>Reema Kagti   Zoya Akhtar  </t>
  </si>
  <si>
    <t>Farhan Akhtar   Anurag Kashyap  </t>
  </si>
  <si>
    <t>Shruti Hassan</t>
  </si>
  <si>
    <t>Meet Bros   Mika Singh   Anu Malik   Siddhant Madhav  Abhishek Ray  </t>
  </si>
  <si>
    <t>Anees Bazmee   Rajan Aggarwal   Rajeev Kaul   Praful Parekh  </t>
  </si>
  <si>
    <t>Rajeev Kaul   Anees Bazmee  </t>
  </si>
  <si>
    <t>Krish  </t>
  </si>
  <si>
    <t>Suman Talwar</t>
  </si>
  <si>
    <t>Jaideep Ahlawat</t>
  </si>
  <si>
    <t>Chirantan Bhatt   Manj Musik   Honey Singh  </t>
  </si>
  <si>
    <t>A.R. Murugadoss   Rajat Arora  </t>
  </si>
  <si>
    <t>Shirish Kunder  </t>
  </si>
  <si>
    <t>Arya Babbar</t>
  </si>
  <si>
    <t>Shirish Kunder   Ashmit Kunder  </t>
  </si>
  <si>
    <t>Nargis Fakhri</t>
  </si>
  <si>
    <t>Aditi Rao Hydari</t>
  </si>
  <si>
    <t>Imtiaz Ali   Muazzam Beg  </t>
  </si>
  <si>
    <t>Omung Kumar  </t>
  </si>
  <si>
    <t>Shashi Suman  </t>
  </si>
  <si>
    <t>Darshan Kumaar</t>
  </si>
  <si>
    <t>Sunil Thapa</t>
  </si>
  <si>
    <t>Kenny Basumatary</t>
  </si>
  <si>
    <t>Arunoday Singh</t>
  </si>
  <si>
    <t>Swaroop Sampat</t>
  </si>
  <si>
    <t>Mithoon   Meet Bros   Ilaiyaraja  </t>
  </si>
  <si>
    <t>Pooja Bhatt  </t>
  </si>
  <si>
    <t>Munish Makhija   Arko Pravo Mukherjee   Abdul Basith  Unoosha   Mithoon   Rushk  </t>
  </si>
  <si>
    <t>Divya Khosla  </t>
  </si>
  <si>
    <t>Himansh Kohli</t>
  </si>
  <si>
    <t>Rakul Preet Singh</t>
  </si>
  <si>
    <t>Devanshu Sharma</t>
  </si>
  <si>
    <t>Nicole Faria</t>
  </si>
  <si>
    <t>Honey Singh   Pritam   Mithoon   Arko Pravo Mukherjee  </t>
  </si>
  <si>
    <t>Abhishek Kapoor  </t>
  </si>
  <si>
    <t>Chetan Bhagat  </t>
  </si>
  <si>
    <t>Amrita Puri</t>
  </si>
  <si>
    <t>Chetan Bhagat   Abhishek Kapoor   Pubali Chaudhuri   Supratik Sen  </t>
  </si>
  <si>
    <t>Dharmesh Yelande</t>
  </si>
  <si>
    <t>Salman Yusuff Khan</t>
  </si>
  <si>
    <t>Mayur Puri   Amrit Aryan  </t>
  </si>
  <si>
    <t>Gauri Shinde  </t>
  </si>
  <si>
    <t>Adil Hussain</t>
  </si>
  <si>
    <t>Priya Anand</t>
  </si>
  <si>
    <t>Sulbha Deshpande</t>
  </si>
  <si>
    <t>Mrighdeep Singh Lamba  </t>
  </si>
  <si>
    <t>Vipul Veg  </t>
  </si>
  <si>
    <t>Pulkit Samrat</t>
  </si>
  <si>
    <t>Manjot Singh</t>
  </si>
  <si>
    <t>Ali Fazal</t>
  </si>
  <si>
    <t>Varun Sharma</t>
  </si>
  <si>
    <t>Vipul Veg   Mrighdeep Singh Lamba  </t>
  </si>
  <si>
    <t>Pradeep Sarkar  </t>
  </si>
  <si>
    <t>Gopi Puthran  </t>
  </si>
  <si>
    <t>Tahir Bhasin</t>
  </si>
  <si>
    <t>Jishu Sengupta</t>
  </si>
  <si>
    <t>Anant Sharma</t>
  </si>
  <si>
    <t>Vibha Singh   Hussain Zaidi  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</si>
  <si>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</si>
  <si>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</si>
  <si>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</si>
  <si>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</si>
  <si>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</si>
  <si>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</si>
  <si>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</si>
  <si>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</si>
  <si>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</si>
  <si>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</si>
  <si>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</si>
  <si>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</si>
  <si>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</si>
  <si>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</si>
  <si>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</si>
  <si>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</si>
  <si>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</si>
  <si>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</si>
  <si>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</si>
  <si>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</si>
  <si>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</si>
  <si>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</si>
  <si>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</si>
  <si>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</si>
  <si>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World wide gross (not adjusted)</t>
  </si>
  <si>
    <t>Reema Kagti   Anurag Kashyap  </t>
  </si>
  <si>
    <t>Vijay Taneja  </t>
  </si>
  <si>
    <t>Vibha Singh  </t>
  </si>
  <si>
    <t>Hansika Motwani</t>
  </si>
  <si>
    <t>Vibha Singh   Prashant Chadha  </t>
  </si>
  <si>
    <t>Rajat Kapoor  </t>
  </si>
  <si>
    <t>Harsh Chhaya</t>
  </si>
  <si>
    <t>Saurabh Shukla   Rajat Kapoor  </t>
  </si>
  <si>
    <t>Kalavoor RaviKumar   Priyadarshan  </t>
  </si>
  <si>
    <t>Shyam Benegal  </t>
  </si>
  <si>
    <t>Ashok Mishra  </t>
  </si>
  <si>
    <t>Ravi Kissen</t>
  </si>
  <si>
    <t>Rajneesh Duggal</t>
  </si>
  <si>
    <t>Adah Sharma</t>
  </si>
  <si>
    <t>Anjori Alagh</t>
  </si>
  <si>
    <t>Shazahn Padamsee</t>
  </si>
  <si>
    <t>Kunal Khemu</t>
  </si>
  <si>
    <t>Soha Ali Khan</t>
  </si>
  <si>
    <t>Krishna D.K   Raj Nidimoru  </t>
  </si>
  <si>
    <t>Roshan Machado   Mahesh Shankar   Ashu   Shamir Tandon</t>
  </si>
  <si>
    <t>Sita Menon   Raj Nidimoru   Krishna D.K  </t>
  </si>
  <si>
    <t>Chintan Gandhi   Sita Menon  </t>
  </si>
  <si>
    <t>Anurag Kashyap  </t>
  </si>
  <si>
    <t>Mahie Gill</t>
  </si>
  <si>
    <t>Dibyendu Bhattacharya</t>
  </si>
  <si>
    <t>Anurag Kashyap   Vikramaditya Motwane  </t>
  </si>
  <si>
    <t>Farhad - Sajid   Bunty Rathore  </t>
  </si>
  <si>
    <t>Abhishek Sharma  </t>
  </si>
  <si>
    <t>Pradhuman Singh</t>
  </si>
  <si>
    <t>Sugandha Garg</t>
  </si>
  <si>
    <t>Nikhil Ratnaparkhi</t>
  </si>
  <si>
    <t>Vivek Agnihotri  </t>
  </si>
  <si>
    <t>Harshit Saxena  </t>
  </si>
  <si>
    <t>Paoli Dam</t>
  </si>
  <si>
    <t>Nikhil Dwivedi</t>
  </si>
  <si>
    <t>Gopal Singh</t>
  </si>
  <si>
    <t>R. Anandh  </t>
  </si>
  <si>
    <t>Raju Singh  </t>
  </si>
  <si>
    <t>Anang Desai</t>
  </si>
  <si>
    <t>Rajeev Mehta</t>
  </si>
  <si>
    <t>J.D. Majethia</t>
  </si>
  <si>
    <t>Neeraj Sood</t>
  </si>
  <si>
    <t>Tigmanshu Dhulia  </t>
  </si>
  <si>
    <t>Shreya Narayan</t>
  </si>
  <si>
    <t>Ankit Tiwari   Anuj Garg   Amit Sial   Jaidev Kumar   Mukhtar Sahota   Abhishek Ray  </t>
  </si>
  <si>
    <t>Tigmanshu Dhulia   Sanjay Chauhan  </t>
  </si>
  <si>
    <t>Sanjay Chauhan   Tigmanshu Dhulia  </t>
  </si>
  <si>
    <t>Sneha Khanwalkar  </t>
  </si>
  <si>
    <t>Suresh Menon</t>
  </si>
  <si>
    <t>Divyendu Sharma</t>
  </si>
  <si>
    <t>Rayo Bakhirta</t>
  </si>
  <si>
    <t>Clinton Cerejo   Luv Ranjan   Hitesh Sonik  </t>
  </si>
  <si>
    <t>Sachin Bajaj  </t>
  </si>
  <si>
    <t>Jacky Bhagnani</t>
  </si>
  <si>
    <t>Puja Gupta</t>
  </si>
  <si>
    <t>Aakash Kaushik   Sameer Sharma   Rishi Virmani   Vipul Binjola  </t>
  </si>
  <si>
    <t>Mandeep Kumar  </t>
  </si>
  <si>
    <t>Dhieya Sandhu  </t>
  </si>
  <si>
    <t>Richa Chaddha</t>
  </si>
  <si>
    <t>Tigmanshu Dhulia</t>
  </si>
  <si>
    <t>Anurag Kashyap   Akhilesh Jaiswal   Sachin Ladia   Zeeshan Quadri  </t>
  </si>
  <si>
    <t>Zeeshan Quadri   Akhilesh Jaiswal   Anurag Kashyap   Sachin Ladia  </t>
  </si>
  <si>
    <t>Shakun Batra</t>
  </si>
  <si>
    <t>Ratna Pathak</t>
  </si>
  <si>
    <t>Shakun Batra   Ayesha DeVitre  </t>
  </si>
  <si>
    <t>Ayesha DeVitre   Shakun Batra  </t>
  </si>
  <si>
    <t>Ashima Chibber  </t>
  </si>
  <si>
    <t>Sachin Gupta  </t>
  </si>
  <si>
    <t>Neeraj Udhwani  </t>
  </si>
  <si>
    <t>Ishita Mohitra  </t>
  </si>
  <si>
    <t>Saqib Saleem</t>
  </si>
  <si>
    <t>Rhea Chakraborty</t>
  </si>
  <si>
    <t>Ram Kapoor</t>
  </si>
  <si>
    <t>Prabal Panjabi</t>
  </si>
  <si>
    <t>Aditya Datt  </t>
  </si>
  <si>
    <t>Gajendra Verma  </t>
  </si>
  <si>
    <t>Abhijeet Deshpande  </t>
  </si>
  <si>
    <t>Rajeev Khandelwal</t>
  </si>
  <si>
    <t>Tena Desae</t>
  </si>
  <si>
    <t>Dhruv Ganesh</t>
  </si>
  <si>
    <t>Sheershak Anand   Shantanu Ray Chhibber  </t>
  </si>
  <si>
    <t>Ritesh Batra  </t>
  </si>
  <si>
    <t>Denzil Smith</t>
  </si>
  <si>
    <t>Ritesh Batra   Wasan Bala   Nimrat Kaur  </t>
  </si>
  <si>
    <t>Anand Raj Anand   Anu Malik   Mustafa Zahid   Meet Bros  </t>
  </si>
  <si>
    <t>Sanjay Gupta   Hussain Zaidi  </t>
  </si>
  <si>
    <t>Shashanka Ghosh  </t>
  </si>
  <si>
    <t>Indira Bisht  </t>
  </si>
  <si>
    <t>Sneha Khanwalkar   Aditya Singh   Amal Malik  </t>
  </si>
  <si>
    <t>Juhi Chaturvedi   Indira Bisht  </t>
  </si>
  <si>
    <t>Arjun Malhotra</t>
  </si>
  <si>
    <t>Durgesh Kumar</t>
  </si>
  <si>
    <t>Madhuri Banerjee  </t>
  </si>
  <si>
    <t>Jay Bhanushali</t>
  </si>
  <si>
    <t>Surveen Chawla</t>
  </si>
  <si>
    <t>Sushant Singh</t>
  </si>
  <si>
    <t>Siddharth Kher</t>
  </si>
  <si>
    <t>Arko Pravo Mukherjee   Mithoon   Meet Bros   Rashid Khan  </t>
  </si>
  <si>
    <t>Vinil Mathew  </t>
  </si>
  <si>
    <t>Harshvardhan Kulkarni  </t>
  </si>
  <si>
    <t>Manoj Joshi</t>
  </si>
  <si>
    <t>Khamosh Shah  </t>
  </si>
  <si>
    <t>Radhika Apte</t>
  </si>
  <si>
    <t>Sai Tamhankar</t>
  </si>
  <si>
    <t>Sagar Deshmukh</t>
  </si>
  <si>
    <t>Ketan Mehta  </t>
  </si>
  <si>
    <t>Sandesh Shandilya  </t>
  </si>
  <si>
    <t>Pankaj Tripathi</t>
  </si>
  <si>
    <t>Jagat Rawat</t>
  </si>
  <si>
    <t>Ketan Mehta   Mahendra Jhakar  </t>
  </si>
  <si>
    <t>Nishikant Kamat  </t>
  </si>
  <si>
    <t>Upendra Sidhaye  </t>
  </si>
  <si>
    <t>Jeethu Joseph  </t>
  </si>
  <si>
    <t>Rana Daggubati</t>
  </si>
  <si>
    <t>Meet Bros   M.M. Kreem  </t>
  </si>
  <si>
    <t>Bejoy Nambiar  </t>
  </si>
  <si>
    <t>Manav Kaul</t>
  </si>
  <si>
    <t>Gaurav Godkhindi   Advaita   Prashant Pillai   Ankit Tiwari  Shantanu Moitra  </t>
  </si>
  <si>
    <t>Abhijat Joshi   Vidhu Vinod Chopra  </t>
  </si>
  <si>
    <t>Mudassar Aziz  </t>
  </si>
  <si>
    <t>Abhishek Chaubey  </t>
  </si>
  <si>
    <t>Diljit Dosanjh</t>
  </si>
  <si>
    <t>Abhishek Chaubey   Sudip Sharma  </t>
  </si>
  <si>
    <t>Rohit Dhawan  </t>
  </si>
  <si>
    <t>Tushar Hiranandani   Rohit Dhawan  </t>
  </si>
  <si>
    <t>Rohit Dhawan   Tushar Hiranandani  </t>
  </si>
  <si>
    <t>Sadaqat Hussein  </t>
  </si>
  <si>
    <t>Jeetendra</t>
  </si>
  <si>
    <t>Jaya Prada</t>
  </si>
  <si>
    <t>Javed Siddique   Sadaqat Hussein  </t>
  </si>
  <si>
    <t>K. Pappu  </t>
  </si>
  <si>
    <t>Laxmikant Sharma  </t>
  </si>
  <si>
    <t>Sonu Walia</t>
  </si>
  <si>
    <t>Avinash Wadhavan</t>
  </si>
  <si>
    <t>Raj N. Sippy  </t>
  </si>
  <si>
    <t>Raju Saigal  </t>
  </si>
  <si>
    <t>Shafi Inamdar</t>
  </si>
  <si>
    <t>Ranjit Barot  </t>
  </si>
  <si>
    <t>Deepa Sahi</t>
  </si>
  <si>
    <t>Javed Jaffrey</t>
  </si>
  <si>
    <t>Deepa Sahi   Parvati Balagopalan  </t>
  </si>
  <si>
    <t>Himanshu Brahmbhatt  </t>
  </si>
  <si>
    <t>Anjali Jathar</t>
  </si>
  <si>
    <t>Kiran Kumar</t>
  </si>
  <si>
    <t>Vaishnavi</t>
  </si>
  <si>
    <t>V. Sai Prasad  </t>
  </si>
  <si>
    <t>Vijayashanti</t>
  </si>
  <si>
    <t>Bappi Lahiri  </t>
  </si>
  <si>
    <t>Manthra</t>
  </si>
  <si>
    <t>Paintal</t>
  </si>
  <si>
    <t>Ashok Ghai  </t>
  </si>
  <si>
    <t>Shri Anand  </t>
  </si>
  <si>
    <t>Aziz Sejawal  </t>
  </si>
  <si>
    <t>Shakeel Noorani  </t>
  </si>
  <si>
    <t>Archana Puran Singh</t>
  </si>
  <si>
    <t>Manoj Kumar  </t>
  </si>
  <si>
    <t>Kunal Goswami</t>
  </si>
  <si>
    <t>Praful Parekh   Rajeev Kaul   Manoj Kumar  </t>
  </si>
  <si>
    <t>Manoj Kumar   Rajeev Kaul   Praful Parekh  </t>
  </si>
  <si>
    <t>Imran Khalid  </t>
  </si>
  <si>
    <t>Luv - Kush  </t>
  </si>
  <si>
    <t>Khalid Majeed  </t>
  </si>
  <si>
    <t>Rutika Singh</t>
  </si>
  <si>
    <t>Siddharth Dhawan</t>
  </si>
  <si>
    <t>Kavita</t>
  </si>
  <si>
    <t>Hansal Mehta  </t>
  </si>
  <si>
    <t>Saurabh Shukla  </t>
  </si>
  <si>
    <t>Aditya Shrivastava</t>
  </si>
  <si>
    <t>Sudesh Berry</t>
  </si>
  <si>
    <t>Madhumita</t>
  </si>
  <si>
    <t>Manoj Agrawal  </t>
  </si>
  <si>
    <t>Preeti Jhangiani</t>
  </si>
  <si>
    <t>Rajeev Kaul   Praful Parekh  </t>
  </si>
  <si>
    <t>Lalit Mahajan  </t>
  </si>
  <si>
    <t>Amar Mohile  </t>
  </si>
  <si>
    <t>Ajay Khamosh  </t>
  </si>
  <si>
    <t>Aditya Lakhia</t>
  </si>
  <si>
    <t>Puneet Sira  </t>
  </si>
  <si>
    <t>Hina Rehman</t>
  </si>
  <si>
    <t>Imran Ali Khan</t>
  </si>
  <si>
    <t>Tim Lawrence</t>
  </si>
  <si>
    <t>K.C. Loy   Daboo Malik  </t>
  </si>
  <si>
    <t>Vekeana Dhillon   Jay Verma   Sohail Khan  </t>
  </si>
  <si>
    <t>Revathi  </t>
  </si>
  <si>
    <t>Atul Sabharwal  </t>
  </si>
  <si>
    <t>Shankar - Ehsaan - Loy   Bhavatha Raja   Nikhil - Vinay  </t>
  </si>
  <si>
    <t>Singeetam Srinivasa Rao  </t>
  </si>
  <si>
    <t>Govind Menon  </t>
  </si>
  <si>
    <t>Umesh Shukla   Robin Bhatt  </t>
  </si>
  <si>
    <t>Yash - Vinay  </t>
  </si>
  <si>
    <t>Suresh Krishna  </t>
  </si>
  <si>
    <t>Janak - Hriday  </t>
  </si>
  <si>
    <t>Zayed Khan</t>
  </si>
  <si>
    <t>Isha Sharwani</t>
  </si>
  <si>
    <t>Sharat Babu</t>
  </si>
  <si>
    <t>Vishram Sawant  </t>
  </si>
  <si>
    <t>Tanushree Datta</t>
  </si>
  <si>
    <t>Zakir Hussain</t>
  </si>
  <si>
    <t>Bappi - Tutal   Akbar Sami  </t>
  </si>
  <si>
    <t>Lovely Singh  </t>
  </si>
  <si>
    <t>Rahul Singh  </t>
  </si>
  <si>
    <t>Karan Hakku</t>
  </si>
  <si>
    <t>Rahul Singh</t>
  </si>
  <si>
    <t>Prashant Pandey  </t>
  </si>
  <si>
    <t>Adhvik Mahajan</t>
  </si>
  <si>
    <t>Sakshi Gulati</t>
  </si>
  <si>
    <t>Amar Mohile   Sana Kotwal   Bappi - Tutal  </t>
  </si>
  <si>
    <t>Yuvvraaj</t>
  </si>
  <si>
    <t>Rajesh Devraj  </t>
  </si>
  <si>
    <t>Rajendraprasad</t>
  </si>
  <si>
    <t>Ruslan Mumtaz</t>
  </si>
  <si>
    <t>Seema Shahabadi</t>
  </si>
  <si>
    <t>Satish Kaushik</t>
  </si>
  <si>
    <t>Sanjay Chauhan   Jainendra Jain   Anuj Kapoor  </t>
  </si>
  <si>
    <t>Sci Fi</t>
  </si>
  <si>
    <t>Kireet Khurana  </t>
  </si>
  <si>
    <t>Mubeen Farooqi  </t>
  </si>
  <si>
    <t>Raza Murad</t>
  </si>
  <si>
    <t>Sanjay Mishra</t>
  </si>
  <si>
    <t>Raagi Bhatnagar   Bhimsain  </t>
  </si>
  <si>
    <t>Ragini Khanna</t>
  </si>
  <si>
    <t>Sukhwinder Singh   Ranjit Barot  </t>
  </si>
  <si>
    <t>Mehul Suri   Gautam Mehra  </t>
  </si>
  <si>
    <t>Mehul Suri   Mrighdeep Singh Lamba   Gautam Mehra  </t>
  </si>
  <si>
    <t>Ajay Chandhok  </t>
  </si>
  <si>
    <t>Sai Kabir  </t>
  </si>
  <si>
    <t>Rumi Jaffery   Sai Kabir  </t>
  </si>
  <si>
    <t>Gautham Menon  </t>
  </si>
  <si>
    <t>Manu Rishi Chadha  </t>
  </si>
  <si>
    <t>Prateik Babbar</t>
  </si>
  <si>
    <t>Amy Jackson</t>
  </si>
  <si>
    <t>Manu Rishi Chadha</t>
  </si>
  <si>
    <t>Chintan Gandhi  </t>
  </si>
  <si>
    <t>Ram Charan</t>
  </si>
  <si>
    <t>Anand Raj Anand   Chirantan Bhatt   Shamir Tandon   Meet Bros  </t>
  </si>
  <si>
    <t>Suresh Nair   Apoorva Lakhia  </t>
  </si>
  <si>
    <t>Himmatwala</t>
  </si>
  <si>
    <t>Tamannaah Bhatia</t>
  </si>
  <si>
    <t>Sajid - Wajid   Sachin - Jigar  </t>
  </si>
  <si>
    <t>Toshi - Sharib  </t>
  </si>
  <si>
    <t>Mannara</t>
  </si>
  <si>
    <t>Karanvir Sharma</t>
  </si>
  <si>
    <t>Shraddha Das</t>
  </si>
  <si>
    <t>Vivek Agnihotri   Rohit Malhotra  </t>
  </si>
  <si>
    <t>G.V. Prakash Kumar  </t>
  </si>
  <si>
    <t>Ronit Roy</t>
  </si>
  <si>
    <t>Rahul Bhatt</t>
  </si>
  <si>
    <t>Tejaswini Kolhapure</t>
  </si>
  <si>
    <t>Vineet Kumar</t>
  </si>
  <si>
    <t>Prawal Raman  </t>
  </si>
  <si>
    <t>Sanjeev - Darshan   Lucas Masciano   Bally Grunge   Aditya Trivedi   Vipin Patwa  </t>
  </si>
  <si>
    <t>Madhur Bhandarkar  </t>
  </si>
  <si>
    <t>Akanksha Puri</t>
  </si>
  <si>
    <t>Avani Modi</t>
  </si>
  <si>
    <t>Kyra Dutt</t>
  </si>
  <si>
    <t>Ruhi Singh</t>
  </si>
  <si>
    <t>Amal Malik   Meet Bros  </t>
  </si>
  <si>
    <t>Madhur Bhandarkar   Anil Pandey   Rohit G. Banawlikar  </t>
  </si>
  <si>
    <t>Rohit G. Banawlikar   Madhur Bhandarkar   Anil Pandey  </t>
  </si>
  <si>
    <t>Jasmine Moses  </t>
  </si>
  <si>
    <t>Bhavani Iyer  </t>
  </si>
  <si>
    <t>Tanuj Virwani</t>
  </si>
  <si>
    <t>Nyra Bannerji</t>
  </si>
  <si>
    <t>Kanwaljeet</t>
  </si>
  <si>
    <t>Vivek Kar   Tony Kakkar   Meet Bros   Jeet Ganguly  </t>
  </si>
  <si>
    <t>Rajesh Pillai  </t>
  </si>
  <si>
    <t>Sanjay - Bobby  </t>
  </si>
  <si>
    <t>Prasenjit Chatterjee</t>
  </si>
  <si>
    <t>Mithoon   Shailendra Barve  </t>
  </si>
  <si>
    <t>Sunil Agnihotri  </t>
  </si>
  <si>
    <t>Chandni</t>
  </si>
  <si>
    <t>Bobby Raaj  </t>
  </si>
  <si>
    <t>Sainath  </t>
  </si>
  <si>
    <t>Jay Dixit  </t>
  </si>
  <si>
    <t>Nagarjuna Akkineni</t>
  </si>
  <si>
    <t>Laxmikant Berde</t>
  </si>
  <si>
    <t>Sudha Chandran</t>
  </si>
  <si>
    <t>Pappu Verma  </t>
  </si>
  <si>
    <t>Bimla Sharma  </t>
  </si>
  <si>
    <t>T. Rama Rao </t>
  </si>
  <si>
    <t>Pratibha Sinha</t>
  </si>
  <si>
    <t>Rohit Kumar</t>
  </si>
  <si>
    <t>Kanti Shah  </t>
  </si>
  <si>
    <t>Tabun Sutradhar  </t>
  </si>
  <si>
    <t>Sikander Bharti  </t>
  </si>
  <si>
    <t>Manek Bedi</t>
  </si>
  <si>
    <t>Samrat Mukherjee</t>
  </si>
  <si>
    <t>Ritu Shivpuri</t>
  </si>
  <si>
    <t>Megha</t>
  </si>
  <si>
    <t>Janak - Hriday   S. Khan  </t>
  </si>
  <si>
    <t>Jagdish Sharma  </t>
  </si>
  <si>
    <t>Bappa Lahiri  </t>
  </si>
  <si>
    <t>S. Khan  </t>
  </si>
  <si>
    <t>Sujata Mehta</t>
  </si>
  <si>
    <t>Raj Kumar Kohli  </t>
  </si>
  <si>
    <t>Armaan Kohli</t>
  </si>
  <si>
    <t>Hamid Ali  </t>
  </si>
  <si>
    <t>Babul  </t>
  </si>
  <si>
    <t>Ushma Rathod</t>
  </si>
  <si>
    <t>Kirti Kumar  </t>
  </si>
  <si>
    <t>Kareena Grover</t>
  </si>
  <si>
    <t>Sanghavi</t>
  </si>
  <si>
    <t>Sandeep Chowta  </t>
  </si>
  <si>
    <t>Tanuja Chandra  </t>
  </si>
  <si>
    <t>Madan Jain</t>
  </si>
  <si>
    <t>Ikram Akhtar  </t>
  </si>
  <si>
    <t>Tanveer Khan  </t>
  </si>
  <si>
    <t>Bashir Babbar  </t>
  </si>
  <si>
    <t>Sadashiv Amrapurkar</t>
  </si>
  <si>
    <t>Kanti Shah   Gulab Shaikh  </t>
  </si>
  <si>
    <t>Makarand Deshpande</t>
  </si>
  <si>
    <t>K. Raghavendra Rao  </t>
  </si>
  <si>
    <t>V. Shekhar  </t>
  </si>
  <si>
    <t>Rajat Mukherjee  </t>
  </si>
  <si>
    <t>Jaideep Sahni   Rajnish Thakur  </t>
  </si>
  <si>
    <t>Nagendra Babu  </t>
  </si>
  <si>
    <t>Aadesh K. Arjun  </t>
  </si>
  <si>
    <t>Anand Raj Anand   Vishal - Shekhar   Lucky Ali  </t>
  </si>
  <si>
    <t>Tinnu Verma  </t>
  </si>
  <si>
    <t>Monal</t>
  </si>
  <si>
    <t>K.K. Singh   Tinnu Verma  </t>
  </si>
  <si>
    <t>Shyam Goel   Shiraz Ahmed  </t>
  </si>
  <si>
    <t>Shiraz Ahmed   Shyam Goel  </t>
  </si>
  <si>
    <t>Mohanlal</t>
  </si>
  <si>
    <t>Jay Prakash  </t>
  </si>
  <si>
    <t>Arshad Jamal  </t>
  </si>
  <si>
    <t>Masud Mirza  </t>
  </si>
  <si>
    <t>Aryan Vaid</t>
  </si>
  <si>
    <t>Shweta Menon</t>
  </si>
  <si>
    <t>Jani Babu   Altaf Raja   Vaishnav Deva  </t>
  </si>
  <si>
    <t>Shahbaaz Khan</t>
  </si>
  <si>
    <t>Mukesh Tiwari</t>
  </si>
  <si>
    <t>Imraan Khan</t>
  </si>
  <si>
    <t>Ken Ghosh  </t>
  </si>
  <si>
    <t>Pathik Vats  </t>
  </si>
  <si>
    <t>Sourabh Usha Narang  </t>
  </si>
  <si>
    <t>Charudutt Acharya  </t>
  </si>
  <si>
    <t>Peeya Rai Chowdhary</t>
  </si>
  <si>
    <t>Sourabh Usha Narang   Charudutt Acharya  </t>
  </si>
  <si>
    <t>Daboo Malik  </t>
  </si>
  <si>
    <t>Amrita Arora</t>
  </si>
  <si>
    <t>Shantanu Chappana</t>
  </si>
  <si>
    <t>Shrinath  </t>
  </si>
  <si>
    <t>Anoop Shrivastava  </t>
  </si>
  <si>
    <t>Payal Rohatgi</t>
  </si>
  <si>
    <t>Amin Gazi</t>
  </si>
  <si>
    <t>Rocky Sandhu</t>
  </si>
  <si>
    <t>Monalisa</t>
  </si>
  <si>
    <t>Nitin Raikwar   Vishu - Jayant   Vikrant Mathur  </t>
  </si>
  <si>
    <t>Aaditya Datt  </t>
  </si>
  <si>
    <t>Amar Mukherjee  </t>
  </si>
  <si>
    <t>Navin Nischol</t>
  </si>
  <si>
    <t>Rumi Jaffery   K.K. Singh  </t>
  </si>
  <si>
    <t>Nagesh Kukunoor  </t>
  </si>
  <si>
    <t>Shweta Prasad</t>
  </si>
  <si>
    <t>Salim - Sulaiman   Sukhwinder Singh  </t>
  </si>
  <si>
    <t>Roop Kumar Rathod  </t>
  </si>
  <si>
    <t>Shamita Shetty</t>
  </si>
  <si>
    <t>Udita Goswami</t>
  </si>
  <si>
    <t>Ninad Kamat</t>
  </si>
  <si>
    <t>Dibakar Banerjee  </t>
  </si>
  <si>
    <t>Tara Sharma</t>
  </si>
  <si>
    <t>Bappi - Tutal   Dhruv Dhalla  </t>
  </si>
  <si>
    <t>Saket Chaudhary  </t>
  </si>
  <si>
    <t>Rahul Bose</t>
  </si>
  <si>
    <t>Suchitra Pillai</t>
  </si>
  <si>
    <t>Deepak Tijori  </t>
  </si>
  <si>
    <t>Anuj Sawhney</t>
  </si>
  <si>
    <t>Celina Jaitley</t>
  </si>
  <si>
    <t>Vijay Krishna Acharya   Pratibha Acharya  </t>
  </si>
  <si>
    <t>Yunus Sajawal   Kamal Pandey  </t>
  </si>
  <si>
    <t>Deepak Tijori   Kamal Pandey   Yunus Sajawal   Ali Shah  </t>
  </si>
  <si>
    <t>Shamir Tandon  </t>
  </si>
  <si>
    <t>Manoj Tyagi   Ajay Monga  </t>
  </si>
  <si>
    <t>Neetu Chandra</t>
  </si>
  <si>
    <t>Upendra Limaye</t>
  </si>
  <si>
    <t>Madhur Bhandarkar   Sachin Yardi  </t>
  </si>
  <si>
    <t>Festival (1,0)</t>
  </si>
  <si>
    <t>Sachin Bhowmick Ravi Kapoor  </t>
  </si>
  <si>
    <t>Yash Chopra Tanuja Chandra   Pamela Chopra  </t>
  </si>
  <si>
    <t>Shabbir   Boxwala  Rajiv Rai </t>
  </si>
  <si>
    <t>Rajeev Kaul     Praful Parekh</t>
  </si>
  <si>
    <t>Sachin Bhowmick   Shyam Goel  </t>
  </si>
  <si>
    <r>
      <t>Anand Vardhan</t>
    </r>
    <r>
      <rPr>
        <sz val="11"/>
        <color rgb="FF000000"/>
        <rFont val="Roboto"/>
      </rPr>
      <t>     Umesh Mehra</t>
    </r>
  </si>
  <si>
    <t>Sanjay Leela Bhansali Kenneth Phillips  </t>
  </si>
  <si>
    <t>Shabbir Boxwala  Rajiv Rai </t>
  </si>
  <si>
    <t>Anees Bazmee   Prayag Raj  </t>
  </si>
  <si>
    <t>Rajeev Kaul   Praful Parekh </t>
  </si>
  <si>
    <t>Imtiaz Patel    Yunus Sajawal</t>
  </si>
  <si>
    <t>Ritesh Shah   Raja Krishna Menon  Suresh Nair  Rahul Nangia  </t>
  </si>
  <si>
    <r>
      <t>Milap Zaveri</t>
    </r>
    <r>
      <rPr>
        <sz val="11"/>
        <color rgb="FF000000"/>
        <rFont val="Roboto"/>
      </rPr>
      <t>   Tushar Hiranandani  </t>
    </r>
  </si>
  <si>
    <r>
      <t>Imtiaz Ali</t>
    </r>
    <r>
      <rPr>
        <sz val="11"/>
        <color rgb="FF000000"/>
        <rFont val="Roboto"/>
      </rPr>
      <t>   Sajid Ali  </t>
    </r>
  </si>
  <si>
    <t>Dilip Shukla   Abhinav Kashyap  Rajat Arora   Sajid Nadiadwala   Keith Gomes  </t>
  </si>
  <si>
    <t>K. Subhash  Vishal - Shekhar  </t>
  </si>
  <si>
    <r>
      <t>Vijay Krishna Acharya</t>
    </r>
    <r>
      <rPr>
        <sz val="11"/>
        <color rgb="FF000000"/>
        <rFont val="Roboto"/>
      </rPr>
      <t>   Aditya Chopra  </t>
    </r>
  </si>
  <si>
    <t>V. Vijayendra Prasad     Parvez Sheikh   Asad Hussain  Kabir Khan</t>
  </si>
  <si>
    <r>
      <t>Abhijat Joshi</t>
    </r>
    <r>
      <rPr>
        <sz val="11"/>
        <color rgb="FF000000"/>
        <rFont val="Roboto"/>
      </rPr>
      <t>   Rajkumar Hirani  </t>
    </r>
  </si>
  <si>
    <r>
      <t>Mayur Puri</t>
    </r>
    <r>
      <rPr>
        <sz val="11"/>
        <color rgb="FF000000"/>
        <rFont val="Roboto"/>
      </rPr>
      <t>   Sanjay Gadhvi  </t>
    </r>
  </si>
  <si>
    <r>
      <t>Suresh Nair</t>
    </r>
    <r>
      <rPr>
        <sz val="11"/>
        <color rgb="FF000000"/>
        <rFont val="Roboto"/>
      </rPr>
      <t>  Sanjay Gupta   Apoorva Lakhia </t>
    </r>
  </si>
  <si>
    <t>Ashutosh Gowariker   Haider Ali  </t>
  </si>
  <si>
    <t>Sagar Ballary   Arpita Chatterjee  </t>
  </si>
  <si>
    <t>Pankaj Trivedi   Sachin Yardi  </t>
  </si>
  <si>
    <t>Sameer Sharma   Lalit Marathe  </t>
  </si>
  <si>
    <t>Tushar Hiranandani   Milap Zaveri  </t>
  </si>
  <si>
    <t xml:space="preserve">Vidhu Vinod Chopra  Rajkumar Hirani   </t>
  </si>
  <si>
    <r>
      <t>Sajid Khan</t>
    </r>
    <r>
      <rPr>
        <sz val="11"/>
        <color rgb="FF000000"/>
        <rFont val="Roboto"/>
      </rPr>
      <t>   Milap Zaveri  </t>
    </r>
  </si>
  <si>
    <r>
      <t>Prasoon Joshi</t>
    </r>
    <r>
      <rPr>
        <sz val="11"/>
        <color rgb="FF000000"/>
        <rFont val="Roboto"/>
      </rPr>
      <t>    Kamlesh Pandey </t>
    </r>
  </si>
  <si>
    <r>
      <t>Vishesh Bhatt</t>
    </r>
    <r>
      <rPr>
        <sz val="11"/>
        <color rgb="FF000000"/>
        <rFont val="Roboto"/>
      </rPr>
      <t>     Kunal Deshmukh</t>
    </r>
  </si>
  <si>
    <r>
      <t>Suresh Nair</t>
    </r>
    <r>
      <rPr>
        <sz val="11"/>
        <color rgb="FF000000"/>
        <rFont val="Roboto"/>
      </rPr>
      <t>   Anees Bazmee  </t>
    </r>
  </si>
  <si>
    <t>Yunus Sajawal   Sanjay Chhel   David Dhawan </t>
  </si>
  <si>
    <r>
      <t>Rajeev Kaul</t>
    </r>
    <r>
      <rPr>
        <sz val="11"/>
        <color rgb="FF000000"/>
        <rFont val="Roboto"/>
      </rPr>
      <t>     Anees Bazmee Praful Parekh  </t>
    </r>
  </si>
  <si>
    <t>Rajkumar Hirani  Abhijat Joshi</t>
  </si>
  <si>
    <t>Rajeev Kaul  Praful Parekh  </t>
  </si>
  <si>
    <t>Anjum Rajabali Rajkumar Santoshi  K.K. Raina  </t>
  </si>
  <si>
    <t>Neeraj Vora  Shyam Goel</t>
  </si>
  <si>
    <t>Robin Bhatt  Sujit Sen</t>
  </si>
  <si>
    <t>Sachin Bhowmick   Ravi Kapoor  </t>
  </si>
  <si>
    <t>Gaurab Pandey   Basu Bhattacharya</t>
  </si>
  <si>
    <t>Mangesh Kulkarni   Imtiaz Hussain  </t>
  </si>
  <si>
    <t>Robin Bhatt   Santosh Saroj  </t>
  </si>
  <si>
    <t>Subhash Ghai   Sachin Bhowmick </t>
  </si>
  <si>
    <t>Robin Bhatt   Akash Khurana  </t>
  </si>
  <si>
    <t>Sanjay Chhel Mangesh Kulkarni </t>
  </si>
  <si>
    <t>Anurag Kashyap  Saurabh Shukla</t>
  </si>
  <si>
    <t>Screenplay</t>
  </si>
  <si>
    <t>Star-Pair</t>
  </si>
  <si>
    <t>Star 1 Total Net Gross</t>
  </si>
  <si>
    <t>Star 2 Total Net Gross</t>
  </si>
  <si>
    <t>Total nett gross</t>
  </si>
  <si>
    <t>Power of Music (nett gross)</t>
  </si>
  <si>
    <t>Power of Director</t>
  </si>
  <si>
    <t>Star3 Total Net Gross</t>
  </si>
  <si>
    <t>2,05,50,000</t>
  </si>
  <si>
    <t>5,29,50,000</t>
  </si>
  <si>
    <t>73,25,000</t>
  </si>
  <si>
    <t>25,28,50,000</t>
  </si>
  <si>
    <t>4,99,25,000</t>
  </si>
  <si>
    <t>31,50,000</t>
  </si>
  <si>
    <t>6,89,50,000</t>
  </si>
  <si>
    <t>16,13,00,000</t>
  </si>
  <si>
    <t>13,14,00,000</t>
  </si>
  <si>
    <t>5,68,00,000</t>
  </si>
  <si>
    <t>18,06,50,000</t>
  </si>
  <si>
    <t>11,71,00,000</t>
  </si>
  <si>
    <t>12,09,50,000</t>
  </si>
  <si>
    <t>9,19,00,000</t>
  </si>
  <si>
    <t>25,58,00,000</t>
  </si>
  <si>
    <t>24,76,00,000</t>
  </si>
  <si>
    <t>10,67,50,000</t>
  </si>
  <si>
    <t>39,17,50,000</t>
  </si>
  <si>
    <t>18,85,00,000</t>
  </si>
  <si>
    <t>11,65,00,000</t>
  </si>
  <si>
    <t>15,27,50,000</t>
  </si>
  <si>
    <t>6,69,50,000</t>
  </si>
  <si>
    <t>8,23,50,000</t>
  </si>
  <si>
    <t>RANK</t>
  </si>
  <si>
    <t>NAME</t>
  </si>
  <si>
    <t>RELEASES</t>
  </si>
  <si>
    <t>ATB</t>
  </si>
  <si>
    <t>BB</t>
  </si>
  <si>
    <t>SUPER HIT</t>
  </si>
  <si>
    <t>HIT</t>
  </si>
  <si>
    <t>SEMI HIT</t>
  </si>
  <si>
    <t>AVG.</t>
  </si>
  <si>
    <t>TOTAL</t>
  </si>
  <si>
    <t>Sanjeev Kumar</t>
  </si>
  <si>
    <t>Shashi Kapoor</t>
  </si>
  <si>
    <t>Dilip Kumar</t>
  </si>
  <si>
    <t>Tilak Chutani</t>
  </si>
  <si>
    <t>Raaj Kumar</t>
  </si>
  <si>
    <t>Dev Anand</t>
  </si>
  <si>
    <t>Shammi Kapoor</t>
  </si>
  <si>
    <t>Shatrughan Sinha</t>
  </si>
  <si>
    <t>Name</t>
  </si>
  <si>
    <t>Poonam Dhillon</t>
  </si>
  <si>
    <t>Rati Agnihotri</t>
  </si>
  <si>
    <t>Abbas - Mustan</t>
  </si>
  <si>
    <t>Priyadarshan</t>
  </si>
  <si>
    <t>Rohit Shetty</t>
  </si>
  <si>
    <t>Vikram Bhatt</t>
  </si>
  <si>
    <t>Indra Kumar</t>
  </si>
  <si>
    <t>Mohit Suri</t>
  </si>
  <si>
    <t>Siddharth Anand</t>
  </si>
  <si>
    <t>Sanjay Leela Bhansali</t>
  </si>
  <si>
    <t>Rajkumar Santoshi</t>
  </si>
  <si>
    <t>Madhur Bhandarkar</t>
  </si>
  <si>
    <t>T.L.V. Prasad</t>
  </si>
  <si>
    <t>Yash Chopra</t>
  </si>
  <si>
    <t>Farah Khan</t>
  </si>
  <si>
    <t>Neeraj Pandey</t>
  </si>
  <si>
    <t>Anurag Basu</t>
  </si>
  <si>
    <t>Milan Luthria</t>
  </si>
  <si>
    <t>Ali Abbas Zafar</t>
  </si>
  <si>
    <t>Ashwini Dhir</t>
  </si>
  <si>
    <t>R. Balki</t>
  </si>
  <si>
    <t>Remo D'Souza</t>
  </si>
  <si>
    <t>Sabbir Khan</t>
  </si>
  <si>
    <t>Shoojit Sircar</t>
  </si>
  <si>
    <t>Maneesh Sharma</t>
  </si>
  <si>
    <t>Sajid Khan</t>
  </si>
  <si>
    <t>Anand L. Rai</t>
  </si>
  <si>
    <t>Vipul Amrutlal Shah</t>
  </si>
  <si>
    <t>Kabir Khan</t>
  </si>
  <si>
    <t>Sanjay Gadhvi</t>
  </si>
  <si>
    <t>Imtiaz Ali</t>
  </si>
  <si>
    <t>Anubhav Sinha</t>
  </si>
  <si>
    <t>Aziz Sejawal</t>
  </si>
  <si>
    <t>Suneel Darshan</t>
  </si>
  <si>
    <t>Prakash Jha</t>
  </si>
  <si>
    <t>Harry Baweja</t>
  </si>
  <si>
    <t>Ayan Mukherji</t>
  </si>
  <si>
    <t>Gauri Shinde</t>
  </si>
  <si>
    <t>UTV Motion Pictures</t>
  </si>
  <si>
    <t>Yash Raj Films</t>
  </si>
  <si>
    <t>Eros International</t>
  </si>
  <si>
    <t>Dharma Productions Pvt. Ltd.</t>
  </si>
  <si>
    <t>Nadiadwala Grandson Entertainment</t>
  </si>
  <si>
    <t>Vishesh Films Pvt. Ltd.</t>
  </si>
  <si>
    <t>Viacom 18 Motion Pictures</t>
  </si>
  <si>
    <t>Fox Star Studio India Pvt. Ltd.</t>
  </si>
  <si>
    <t>Red Chillies Entertainment</t>
  </si>
  <si>
    <t>Balaji Motion Pictures</t>
  </si>
  <si>
    <t>Tips Industries Pvt. Ltd.</t>
  </si>
  <si>
    <t>Venus Records &amp; Tapes Pvt. Ltd.</t>
  </si>
  <si>
    <t>Excel Entertainment</t>
  </si>
  <si>
    <t>Shree Ashtavinayak Cinevision Ltd.</t>
  </si>
  <si>
    <t>T-Series</t>
  </si>
  <si>
    <t>Reliance Entertainment</t>
  </si>
  <si>
    <t>Filmkraft Pvt. Ltd.</t>
  </si>
  <si>
    <t>Aamir Khan Productions</t>
  </si>
  <si>
    <t>Sanjay Leela Bhansali Films</t>
  </si>
  <si>
    <t>Aabha Films</t>
  </si>
  <si>
    <t>Vidhu Vinod Chopra Productions</t>
  </si>
  <si>
    <t>Ram Gopal Varma Productions</t>
  </si>
  <si>
    <t>ALT Entertainment</t>
  </si>
  <si>
    <t>Puja Entertainment Ltd.</t>
  </si>
  <si>
    <t>Ajay Devgn Films</t>
  </si>
  <si>
    <t>Maruti International</t>
  </si>
  <si>
    <t>Mukta Arts</t>
  </si>
  <si>
    <t>Base Industries Group</t>
  </si>
  <si>
    <t>Friday Filmworks Pvt. Ltd.</t>
  </si>
  <si>
    <t>MAD Entertainment</t>
  </si>
  <si>
    <t>DMS Films Pvt. Ltd.</t>
  </si>
  <si>
    <t>Hari Om Entertainment</t>
  </si>
  <si>
    <t>Percept Picture Company</t>
  </si>
  <si>
    <t>Phantom Films</t>
  </si>
  <si>
    <t>Shree Krishna International</t>
  </si>
  <si>
    <t>Rising Suns Films Pvt. Ltd.</t>
  </si>
  <si>
    <t>Time Magnetics Pvt. Ltd.</t>
  </si>
  <si>
    <t>Sohail Khan Productions</t>
  </si>
  <si>
    <t>Rajshri Productions Pvt. Ltd.</t>
  </si>
  <si>
    <t>S.K. Films Enterprises</t>
  </si>
  <si>
    <t>Hope Productions Pvt. Ltd.</t>
  </si>
  <si>
    <t>BVG Films</t>
  </si>
  <si>
    <t>Cape Of Good Films Pvt. Ltd.</t>
  </si>
  <si>
    <t>Wide Frame Pictures</t>
  </si>
  <si>
    <t>Aftab Pictures Pvt. Ltd.</t>
  </si>
  <si>
    <t>Vishal Bhardwaj Pictures</t>
  </si>
  <si>
    <t>AB Corp Ltd.</t>
  </si>
  <si>
    <t>Prakash Jha Productions</t>
  </si>
  <si>
    <t>Colour Yellow Picture Ltd.</t>
  </si>
  <si>
    <t>Ratan International</t>
  </si>
  <si>
    <t>Gulaab Gang</t>
  </si>
  <si>
    <t>10,42,50,000</t>
  </si>
  <si>
    <t>Dedh Ishqiya</t>
  </si>
  <si>
    <t>25,27,00,000</t>
  </si>
  <si>
    <t>14,07,00,000</t>
  </si>
  <si>
    <t>41,65,50,000</t>
  </si>
  <si>
    <t>13,52,00,000</t>
  </si>
  <si>
    <t>Lajja</t>
  </si>
  <si>
    <t>15,87,00,000</t>
  </si>
  <si>
    <t>Yeh Raaste Hain Pyaar Ke</t>
  </si>
  <si>
    <t>7,75,50,000</t>
  </si>
  <si>
    <t>Gaja Gamini</t>
  </si>
  <si>
    <t>10,75,000</t>
  </si>
  <si>
    <t>Pukar</t>
  </si>
  <si>
    <t>13,30,00,000</t>
  </si>
  <si>
    <t>Aarzoo</t>
  </si>
  <si>
    <t>5,59,50,000</t>
  </si>
  <si>
    <t>Wajood</t>
  </si>
  <si>
    <t>5,23,75,000</t>
  </si>
  <si>
    <t>34,97,00,000</t>
  </si>
  <si>
    <t>Mohabbat</t>
  </si>
  <si>
    <t>5,20,50,000</t>
  </si>
  <si>
    <t>Mrityudand</t>
  </si>
  <si>
    <t>2,60,00,000</t>
  </si>
  <si>
    <t>Mahaanta</t>
  </si>
  <si>
    <t>5,25,50,000</t>
  </si>
  <si>
    <t>14,88,00,000</t>
  </si>
  <si>
    <t>Prem Granth</t>
  </si>
  <si>
    <t>7,74,50,000</t>
  </si>
  <si>
    <t>Rajkumar</t>
  </si>
  <si>
    <t>Yaraana</t>
  </si>
  <si>
    <t>5,20,75,000</t>
  </si>
  <si>
    <t>Paappi Devataa</t>
  </si>
  <si>
    <t>92,00,000</t>
  </si>
  <si>
    <t>20,33,50,000</t>
  </si>
  <si>
    <t>72,46,50,000</t>
  </si>
  <si>
    <t>4,98,50,000</t>
  </si>
  <si>
    <t>Aasoo Bane Angaarey</t>
  </si>
  <si>
    <t>1,63,00,000</t>
  </si>
  <si>
    <t>MADHURI DIXIT</t>
  </si>
  <si>
    <t>--</t>
  </si>
  <si>
    <t>FILM</t>
  </si>
  <si>
    <t>RELEASE DATE</t>
  </si>
  <si>
    <t>NETT GROSS</t>
  </si>
  <si>
    <t>VERDICT</t>
  </si>
  <si>
    <t>Aa Gaya Hero</t>
  </si>
  <si>
    <t>99,75,000</t>
  </si>
  <si>
    <t>Happy Ending</t>
  </si>
  <si>
    <t>22,31,25,000</t>
  </si>
  <si>
    <t>Kill Dil</t>
  </si>
  <si>
    <t>29,98,75,000</t>
  </si>
  <si>
    <t>Deewana Main Deewana</t>
  </si>
  <si>
    <t>32,50,000</t>
  </si>
  <si>
    <t>Loot</t>
  </si>
  <si>
    <t>3,19,80,000</t>
  </si>
  <si>
    <t>Naughty @ 40</t>
  </si>
  <si>
    <t>1,39,00,000</t>
  </si>
  <si>
    <t>Raavan</t>
  </si>
  <si>
    <t>28,97,75,000</t>
  </si>
  <si>
    <t>Do Knot Disturb</t>
  </si>
  <si>
    <t>16,93,00,000</t>
  </si>
  <si>
    <t>Life Partner</t>
  </si>
  <si>
    <t>20,67,25,000</t>
  </si>
  <si>
    <t>Chal Chala Chal</t>
  </si>
  <si>
    <t>1,29,50,000</t>
  </si>
  <si>
    <t>Money Hai Toh Honey Hai</t>
  </si>
  <si>
    <t>3,87,50,000</t>
  </si>
  <si>
    <t>60,04,50,000</t>
  </si>
  <si>
    <t>Jahan Jaaeyega Humen Paaeyega</t>
  </si>
  <si>
    <t>15,00,000</t>
  </si>
  <si>
    <t>22,68,00,000</t>
  </si>
  <si>
    <t>40,37,50,000</t>
  </si>
  <si>
    <t>Sandwich</t>
  </si>
  <si>
    <t>47,50,000</t>
  </si>
  <si>
    <t>Ssukh</t>
  </si>
  <si>
    <t>9,00,000</t>
  </si>
  <si>
    <t>Khullam Khulla Pyaar Karen</t>
  </si>
  <si>
    <t>74,50,000</t>
  </si>
  <si>
    <t>Raja Bhaiya</t>
  </si>
  <si>
    <t>1,65,00,000</t>
  </si>
  <si>
    <t>Ek Aur Ek Gyarah</t>
  </si>
  <si>
    <t>Chalo Ishq Ladaaye</t>
  </si>
  <si>
    <t>1,04,75,000</t>
  </si>
  <si>
    <t>1,79,75,000</t>
  </si>
  <si>
    <t>Akhiyon Se Goli Maare</t>
  </si>
  <si>
    <t>3,10,00,000</t>
  </si>
  <si>
    <t>Pyaar Diwana Hota Hai</t>
  </si>
  <si>
    <t>1,09,25,000</t>
  </si>
  <si>
    <t>6,12,00,000</t>
  </si>
  <si>
    <t>Kyo Kii... Main Jhuth Nahin Bolta</t>
  </si>
  <si>
    <t>7,95,00,000</t>
  </si>
  <si>
    <t>Dil Ne Phir Yaad Kiya</t>
  </si>
  <si>
    <t>70,50,000</t>
  </si>
  <si>
    <t>Albela</t>
  </si>
  <si>
    <t>10,52,50,000</t>
  </si>
  <si>
    <t>18,89,50,000</t>
  </si>
  <si>
    <t>Beti No.1</t>
  </si>
  <si>
    <t>11,00,000</t>
  </si>
  <si>
    <t>Jis Desh Mein Ganga Rehta Hain</t>
  </si>
  <si>
    <t>7,03,00,000</t>
  </si>
  <si>
    <t>Shikari</t>
  </si>
  <si>
    <t>4,95,00,000</t>
  </si>
  <si>
    <t>10,76,50,000</t>
  </si>
  <si>
    <t>7,56,50,000</t>
  </si>
  <si>
    <t>Hadh Kar Di Aapne</t>
  </si>
  <si>
    <t>11,31,00,000</t>
  </si>
  <si>
    <t>Hum Tum Pe Marte Hain</t>
  </si>
  <si>
    <t>6,23,50,000</t>
  </si>
  <si>
    <t>15,02,00,000</t>
  </si>
  <si>
    <t>Rajaji</t>
  </si>
  <si>
    <t>4,35,25,000</t>
  </si>
  <si>
    <t>10,23,50,000</t>
  </si>
  <si>
    <t>Naseeb</t>
  </si>
  <si>
    <t>1,49,50,000</t>
  </si>
  <si>
    <t>Pardesi Babu</t>
  </si>
  <si>
    <t>5,26,50,000</t>
  </si>
  <si>
    <t>19,19,00,000</t>
  </si>
  <si>
    <t>Maharaja</t>
  </si>
  <si>
    <t>6,35,00,000</t>
  </si>
  <si>
    <t>12,74,50,000</t>
  </si>
  <si>
    <t>Achanak</t>
  </si>
  <si>
    <t>4,06,50,000</t>
  </si>
  <si>
    <t>5,34,00,000</t>
  </si>
  <si>
    <t>Banarasi Babu</t>
  </si>
  <si>
    <t>5,57,50,000</t>
  </si>
  <si>
    <t>13,59,00,000</t>
  </si>
  <si>
    <t>Agnichakra</t>
  </si>
  <si>
    <t>55,00,000</t>
  </si>
  <si>
    <t>Do Aankhen Barah Haath</t>
  </si>
  <si>
    <t>2,38,75,000</t>
  </si>
  <si>
    <t>17,07,50,000</t>
  </si>
  <si>
    <t>Chhote Sarkar</t>
  </si>
  <si>
    <t>3,92,50,000</t>
  </si>
  <si>
    <t>Zordaar</t>
  </si>
  <si>
    <t>77,25,000</t>
  </si>
  <si>
    <t>Maahir</t>
  </si>
  <si>
    <t>1,50,50,000</t>
  </si>
  <si>
    <t>13,82,00,000</t>
  </si>
  <si>
    <t>Gambler</t>
  </si>
  <si>
    <t>7,16,50,000</t>
  </si>
  <si>
    <t>12,55,75,000</t>
  </si>
  <si>
    <t>Kismat</t>
  </si>
  <si>
    <t>2,62,75,000</t>
  </si>
  <si>
    <t>Haathkadi</t>
  </si>
  <si>
    <t>4,87,25,000</t>
  </si>
  <si>
    <t>Andolan</t>
  </si>
  <si>
    <t>6,05,25,000</t>
  </si>
  <si>
    <t>Beta Ho To Aisa</t>
  </si>
  <si>
    <t>81,50,000</t>
  </si>
  <si>
    <t>Brahma</t>
  </si>
  <si>
    <t>2,11,00,000</t>
  </si>
  <si>
    <t>Aag</t>
  </si>
  <si>
    <t>3,21,75,000</t>
  </si>
  <si>
    <t>Ekka Raja Rani</t>
  </si>
  <si>
    <t>2,47,00,000</t>
  </si>
  <si>
    <t>4,50,50,000</t>
  </si>
  <si>
    <t>Prem Shakti</t>
  </si>
  <si>
    <t>1,22,00,000</t>
  </si>
  <si>
    <t>Dulaara</t>
  </si>
  <si>
    <t>3,51,00,000</t>
  </si>
  <si>
    <t>Tere Payal Mere Geet</t>
  </si>
  <si>
    <t>47,75,000</t>
  </si>
  <si>
    <t>Bhagyawan</t>
  </si>
  <si>
    <t>2,00,00,000</t>
  </si>
  <si>
    <t>GOVINDA</t>
  </si>
  <si>
    <t>AAMIR KHAN</t>
  </si>
  <si>
    <t>Secret Superstar</t>
  </si>
  <si>
    <t>62,51,00,000</t>
  </si>
  <si>
    <t>Dangal</t>
  </si>
  <si>
    <t>3,74,53,00,000</t>
  </si>
  <si>
    <t>3,37,72,50,000</t>
  </si>
  <si>
    <t>2,60,63,00,000</t>
  </si>
  <si>
    <t>91,23,50,000</t>
  </si>
  <si>
    <t>Dhobi Ghat</t>
  </si>
  <si>
    <t>13,67,25,000</t>
  </si>
  <si>
    <t>2,01,37,25,000</t>
  </si>
  <si>
    <t>1,14,10,00,000</t>
  </si>
  <si>
    <t>61,83,25,000</t>
  </si>
  <si>
    <t>51,87,00,000</t>
  </si>
  <si>
    <t>53,08,00,000</t>
  </si>
  <si>
    <t>Mangal Pandey - The Rising</t>
  </si>
  <si>
    <t>27,86,00,000</t>
  </si>
  <si>
    <t>Dil Chahta Hai</t>
  </si>
  <si>
    <t>20,02,00,000</t>
  </si>
  <si>
    <t>34,30,50,000</t>
  </si>
  <si>
    <t>Mela</t>
  </si>
  <si>
    <t>15,18,50,000</t>
  </si>
  <si>
    <t>1947 Earth</t>
  </si>
  <si>
    <t>3,79,55,000</t>
  </si>
  <si>
    <t>16,64,50,000</t>
  </si>
  <si>
    <t>18,76,50,000</t>
  </si>
  <si>
    <t>13,35,50,000</t>
  </si>
  <si>
    <t>24,93,25,000</t>
  </si>
  <si>
    <t>43,14,50,000</t>
  </si>
  <si>
    <t>Akele Hum Akele Tum</t>
  </si>
  <si>
    <t>7,06,75,000</t>
  </si>
  <si>
    <t>20,22,00,000</t>
  </si>
  <si>
    <t>Aatank Hi Aatank</t>
  </si>
  <si>
    <t>2,54,50,000</t>
  </si>
  <si>
    <t>Baazi</t>
  </si>
  <si>
    <t>5,09,00,000</t>
  </si>
  <si>
    <t>Andaz Apna Apna</t>
  </si>
  <si>
    <t>28,19,00,000</t>
  </si>
  <si>
    <t>One By Two</t>
  </si>
  <si>
    <t>2,80,30,000</t>
  </si>
  <si>
    <t>61,63,00,000</t>
  </si>
  <si>
    <t>Chakravyuh</t>
  </si>
  <si>
    <t>17,03,25,000</t>
  </si>
  <si>
    <t>Shanghai</t>
  </si>
  <si>
    <t>23,59,50,000</t>
  </si>
  <si>
    <t>89,96,00,000</t>
  </si>
  <si>
    <t>Aisha</t>
  </si>
  <si>
    <t>15,78,25,000</t>
  </si>
  <si>
    <t>Road Movie</t>
  </si>
  <si>
    <t>1,31,50,000</t>
  </si>
  <si>
    <t>15,30,25,000</t>
  </si>
  <si>
    <t>Oye Lucky! Lucky Oye!</t>
  </si>
  <si>
    <t>6,71,75,000</t>
  </si>
  <si>
    <t>Manorama Six Feet Under</t>
  </si>
  <si>
    <t>42,00,000</t>
  </si>
  <si>
    <t>Ek Chalis Ki Last Local</t>
  </si>
  <si>
    <t>1,80,75,000</t>
  </si>
  <si>
    <t>11,62,00,000</t>
  </si>
  <si>
    <t>Ahista Ahista</t>
  </si>
  <si>
    <t>1,65,50,000</t>
  </si>
  <si>
    <t>Socha Na Tha</t>
  </si>
  <si>
    <t>3,43,00,000</t>
  </si>
  <si>
    <t>ABHAY DEOL</t>
  </si>
  <si>
    <t>Previous year (average)</t>
  </si>
  <si>
    <t>Star4 Total Net Gross</t>
  </si>
  <si>
    <t>name</t>
  </si>
  <si>
    <t>Key Role of star1</t>
  </si>
  <si>
    <t>Count of Success star1</t>
  </si>
  <si>
    <t>Count of Success start2</t>
  </si>
  <si>
    <t>Key Role star2</t>
  </si>
  <si>
    <t>Count of Success star3</t>
  </si>
  <si>
    <t>Key Role star3</t>
  </si>
  <si>
    <t>Key Role star4</t>
  </si>
  <si>
    <t>Count of Success star4</t>
  </si>
  <si>
    <t>start_Economic_id</t>
  </si>
  <si>
    <t>active</t>
  </si>
  <si>
    <t>actor_name</t>
  </si>
  <si>
    <t>flll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</si>
</sst>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theme="1"/>
      <name val="Roboto"/>
    </font>
    <font>
      <sz val="11"/>
      <color rgb="FF000000"/>
      <name val="Roboto"/>
    </font>
    <font>
      <sz val="11"/>
      <color rgb="FF239ED2"/>
      <name val="Roboto"/>
    </font>
    <font>
      <sz val="11"/>
      <color rgb="FFFF0000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u/>
      <sz val="11"/>
      <color rgb="FF239ED2"/>
      <name val="Roboto"/>
    </font>
    <font>
      <i/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4"/>
      <color rgb="FF239ED2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ECECEC"/>
      </left>
      <right/>
      <top/>
      <bottom style="medium">
        <color rgb="FFECECEC"/>
      </bottom>
      <diagonal/>
    </border>
    <border>
      <left/>
      <right/>
      <top/>
      <bottom style="medium">
        <color rgb="FFECECEC"/>
      </bottom>
      <diagonal/>
    </border>
    <border>
      <left style="medium">
        <color rgb="FFECECEC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64" fontId="0" fillId="0" borderId="0" xfId="1" applyFont="1"/>
    <xf numFmtId="0" fontId="3" fillId="0" borderId="1" xfId="0" applyFont="1" applyBorder="1" applyAlignment="1">
      <alignment vertical="center" wrapText="1"/>
    </xf>
    <xf numFmtId="0" fontId="2" fillId="0" borderId="1" xfId="2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2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0" xfId="2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6" fillId="0" borderId="0" xfId="0" applyFont="1"/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0" fillId="0" borderId="0" xfId="0" applyFill="1"/>
    <xf numFmtId="0" fontId="9" fillId="0" borderId="0" xfId="0" applyFont="1"/>
    <xf numFmtId="0" fontId="2" fillId="0" borderId="0" xfId="2" applyAlignment="1">
      <alignment horizontal="left"/>
    </xf>
    <xf numFmtId="164" fontId="0" fillId="0" borderId="0" xfId="1" applyFont="1" applyFill="1"/>
    <xf numFmtId="0" fontId="7" fillId="0" borderId="0" xfId="0" applyFont="1"/>
    <xf numFmtId="0" fontId="0" fillId="0" borderId="0" xfId="0" applyFill="1" applyAlignment="1">
      <alignment horizontal="left"/>
    </xf>
    <xf numFmtId="0" fontId="0" fillId="0" borderId="0" xfId="0" applyFont="1" applyFill="1"/>
    <xf numFmtId="0" fontId="10" fillId="0" borderId="0" xfId="2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5" fontId="1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0" fillId="0" borderId="0" xfId="0" applyFill="1" applyBorder="1" applyAlignment="1"/>
    <xf numFmtId="0" fontId="0" fillId="0" borderId="6" xfId="0" applyFill="1" applyBorder="1" applyAlignment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Continuous"/>
    </xf>
    <xf numFmtId="0" fontId="7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7" fillId="8" borderId="8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2" fillId="8" borderId="9" xfId="2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center" vertical="center" wrapText="1"/>
    </xf>
    <xf numFmtId="2" fontId="0" fillId="0" borderId="0" xfId="0" applyNumberFormat="1"/>
    <xf numFmtId="15" fontId="7" fillId="8" borderId="8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8" fillId="9" borderId="0" xfId="0" applyFont="1" applyFill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164" fontId="1" fillId="0" borderId="0" xfId="1" applyFont="1"/>
    <xf numFmtId="164" fontId="0" fillId="0" borderId="0" xfId="0" applyNumberFormat="1"/>
    <xf numFmtId="0" fontId="0" fillId="4" borderId="0" xfId="0" applyFill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6" fillId="4" borderId="0" xfId="0" applyFont="1" applyFill="1"/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31</xdr:row>
      <xdr:rowOff>0</xdr:rowOff>
    </xdr:from>
    <xdr:to>
      <xdr:col>21</xdr:col>
      <xdr:colOff>95250</xdr:colOff>
      <xdr:row>31</xdr:row>
      <xdr:rowOff>95250</xdr:rowOff>
    </xdr:to>
    <xdr:pic>
      <xdr:nvPicPr>
        <xdr:cNvPr id="109" name="Picture 108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86300" y="192309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33</xdr:row>
      <xdr:rowOff>0</xdr:rowOff>
    </xdr:from>
    <xdr:to>
      <xdr:col>21</xdr:col>
      <xdr:colOff>95250</xdr:colOff>
      <xdr:row>33</xdr:row>
      <xdr:rowOff>95250</xdr:rowOff>
    </xdr:to>
    <xdr:pic>
      <xdr:nvPicPr>
        <xdr:cNvPr id="113" name="Picture 112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86300" y="203739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34</xdr:row>
      <xdr:rowOff>0</xdr:rowOff>
    </xdr:from>
    <xdr:to>
      <xdr:col>21</xdr:col>
      <xdr:colOff>95250</xdr:colOff>
      <xdr:row>34</xdr:row>
      <xdr:rowOff>95250</xdr:rowOff>
    </xdr:to>
    <xdr:pic>
      <xdr:nvPicPr>
        <xdr:cNvPr id="115" name="Picture 114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86300" y="207454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35</xdr:row>
      <xdr:rowOff>0</xdr:rowOff>
    </xdr:from>
    <xdr:to>
      <xdr:col>21</xdr:col>
      <xdr:colOff>95250</xdr:colOff>
      <xdr:row>35</xdr:row>
      <xdr:rowOff>95250</xdr:rowOff>
    </xdr:to>
    <xdr:pic>
      <xdr:nvPicPr>
        <xdr:cNvPr id="117" name="Picture 116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86300" y="211169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36</xdr:row>
      <xdr:rowOff>0</xdr:rowOff>
    </xdr:from>
    <xdr:to>
      <xdr:col>21</xdr:col>
      <xdr:colOff>95250</xdr:colOff>
      <xdr:row>36</xdr:row>
      <xdr:rowOff>95250</xdr:rowOff>
    </xdr:to>
    <xdr:pic>
      <xdr:nvPicPr>
        <xdr:cNvPr id="119" name="Picture 118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86300" y="215074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37</xdr:row>
      <xdr:rowOff>0</xdr:rowOff>
    </xdr:from>
    <xdr:to>
      <xdr:col>21</xdr:col>
      <xdr:colOff>95250</xdr:colOff>
      <xdr:row>37</xdr:row>
      <xdr:rowOff>95250</xdr:rowOff>
    </xdr:to>
    <xdr:pic>
      <xdr:nvPicPr>
        <xdr:cNvPr id="121" name="Picture 120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86300" y="218979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31</xdr:row>
      <xdr:rowOff>95250</xdr:rowOff>
    </xdr:to>
    <xdr:pic>
      <xdr:nvPicPr>
        <xdr:cNvPr id="63" name="Picture 62" descr="http://www.boxofficeindia.com/images/rupeesim-black.png">
          <a:extLst>
            <a:ext uri="{FF2B5EF4-FFF2-40B4-BE49-F238E27FC236}">
              <a16:creationId xmlns:a16="http://schemas.microsoft.com/office/drawing/2014/main" xmlns="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14668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95</xdr:row>
      <xdr:rowOff>0</xdr:rowOff>
    </xdr:from>
    <xdr:to>
      <xdr:col>4</xdr:col>
      <xdr:colOff>95250</xdr:colOff>
      <xdr:row>95</xdr:row>
      <xdr:rowOff>95250</xdr:rowOff>
    </xdr:to>
    <xdr:pic>
      <xdr:nvPicPr>
        <xdr:cNvPr id="2" name="Picture 1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14925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95250</xdr:colOff>
      <xdr:row>97</xdr:row>
      <xdr:rowOff>95250</xdr:rowOff>
    </xdr:to>
    <xdr:pic>
      <xdr:nvPicPr>
        <xdr:cNvPr id="3" name="Picture 2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160877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95250</xdr:rowOff>
    </xdr:to>
    <xdr:pic>
      <xdr:nvPicPr>
        <xdr:cNvPr id="4" name="Picture 3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162877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95250</xdr:colOff>
      <xdr:row>99</xdr:row>
      <xdr:rowOff>95250</xdr:rowOff>
    </xdr:to>
    <xdr:pic>
      <xdr:nvPicPr>
        <xdr:cNvPr id="5" name="Picture 4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166592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95250</xdr:colOff>
      <xdr:row>100</xdr:row>
      <xdr:rowOff>95250</xdr:rowOff>
    </xdr:to>
    <xdr:pic>
      <xdr:nvPicPr>
        <xdr:cNvPr id="6" name="Picture 5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170497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95250</xdr:colOff>
      <xdr:row>101</xdr:row>
      <xdr:rowOff>95250</xdr:rowOff>
    </xdr:to>
    <xdr:pic>
      <xdr:nvPicPr>
        <xdr:cNvPr id="7" name="Picture 6" descr="http://www.boxofficeindia.com/images/rupeesim-bla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174402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oxofficeindia.com/movie.php?movieid=297" TargetMode="External"/><Relationship Id="rId299" Type="http://schemas.openxmlformats.org/officeDocument/2006/relationships/hyperlink" Target="http://www.boxofficeindia.com/movie.php?movieid=18" TargetMode="External"/><Relationship Id="rId21" Type="http://schemas.openxmlformats.org/officeDocument/2006/relationships/hyperlink" Target="http://www.boxofficeindia.com/movie.php?movieid=2769" TargetMode="External"/><Relationship Id="rId63" Type="http://schemas.openxmlformats.org/officeDocument/2006/relationships/hyperlink" Target="http://www.boxofficeindia.com/movie.php?movieid=2388" TargetMode="External"/><Relationship Id="rId159" Type="http://schemas.openxmlformats.org/officeDocument/2006/relationships/hyperlink" Target="http://www.boxofficeindia.com/movie.php?movieid=459" TargetMode="External"/><Relationship Id="rId324" Type="http://schemas.openxmlformats.org/officeDocument/2006/relationships/hyperlink" Target="http://www.boxofficeindia.com/movie.php?movieid=1549" TargetMode="External"/><Relationship Id="rId366" Type="http://schemas.openxmlformats.org/officeDocument/2006/relationships/hyperlink" Target="http://www.boxofficeindia.com/movie.php?movieid=676" TargetMode="External"/><Relationship Id="rId170" Type="http://schemas.openxmlformats.org/officeDocument/2006/relationships/hyperlink" Target="http://www.boxofficeindia.com/movie.php?movieid=360" TargetMode="External"/><Relationship Id="rId226" Type="http://schemas.openxmlformats.org/officeDocument/2006/relationships/hyperlink" Target="http://www.boxofficeindia.com/movie.php?movieid=1482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://www.boxofficeindia.com/movie.php?movieid=1441" TargetMode="External"/><Relationship Id="rId32" Type="http://schemas.openxmlformats.org/officeDocument/2006/relationships/hyperlink" Target="http://www.boxofficeindia.com/movie.php?movieid=3178" TargetMode="External"/><Relationship Id="rId74" Type="http://schemas.openxmlformats.org/officeDocument/2006/relationships/hyperlink" Target="http://www.boxofficeindia.com/movie.php?movieid=2795" TargetMode="External"/><Relationship Id="rId128" Type="http://schemas.openxmlformats.org/officeDocument/2006/relationships/hyperlink" Target="http://www.boxofficeindia.com/movie.php?movieid=366" TargetMode="External"/><Relationship Id="rId335" Type="http://schemas.openxmlformats.org/officeDocument/2006/relationships/hyperlink" Target="http://www.boxofficeindia.com/movie.php?movieid=1110" TargetMode="External"/><Relationship Id="rId377" Type="http://schemas.openxmlformats.org/officeDocument/2006/relationships/hyperlink" Target="http://www.boxofficeindia.com/movie.php?movieid=472" TargetMode="External"/><Relationship Id="rId5" Type="http://schemas.openxmlformats.org/officeDocument/2006/relationships/hyperlink" Target="http://www.boxofficeindia.com/movie.php?movieid=2514" TargetMode="External"/><Relationship Id="rId181" Type="http://schemas.openxmlformats.org/officeDocument/2006/relationships/hyperlink" Target="http://www.boxofficeindia.com/movie.php?movieid=517" TargetMode="External"/><Relationship Id="rId237" Type="http://schemas.openxmlformats.org/officeDocument/2006/relationships/hyperlink" Target="http://www.boxofficeindia.com/movie.php?movieid=28" TargetMode="External"/><Relationship Id="rId402" Type="http://schemas.openxmlformats.org/officeDocument/2006/relationships/hyperlink" Target="http://www.boxofficeindia.com/movie.php?movieid=82" TargetMode="External"/><Relationship Id="rId279" Type="http://schemas.openxmlformats.org/officeDocument/2006/relationships/hyperlink" Target="http://www.boxofficeindia.com/movie.php?movieid=1223" TargetMode="External"/><Relationship Id="rId43" Type="http://schemas.openxmlformats.org/officeDocument/2006/relationships/hyperlink" Target="http://www.boxofficeindia.com/movie.php?movieid=2553" TargetMode="External"/><Relationship Id="rId139" Type="http://schemas.openxmlformats.org/officeDocument/2006/relationships/hyperlink" Target="http://www.boxofficeindia.com/movie.php?movieid=292" TargetMode="External"/><Relationship Id="rId290" Type="http://schemas.openxmlformats.org/officeDocument/2006/relationships/hyperlink" Target="http://www.boxofficeindia.com/movie.php?movieid=19" TargetMode="External"/><Relationship Id="rId304" Type="http://schemas.openxmlformats.org/officeDocument/2006/relationships/hyperlink" Target="http://www.boxofficeindia.com/movie.php?movieid=3112" TargetMode="External"/><Relationship Id="rId346" Type="http://schemas.openxmlformats.org/officeDocument/2006/relationships/hyperlink" Target="http://www.boxofficeindia.com/movie.php?movieid=2806" TargetMode="External"/><Relationship Id="rId388" Type="http://schemas.openxmlformats.org/officeDocument/2006/relationships/hyperlink" Target="http://www.boxofficeindia.com/movie.php?movieid=287" TargetMode="External"/><Relationship Id="rId85" Type="http://schemas.openxmlformats.org/officeDocument/2006/relationships/hyperlink" Target="http://www.boxofficeindia.com/movie.php?movieid=2417" TargetMode="External"/><Relationship Id="rId150" Type="http://schemas.openxmlformats.org/officeDocument/2006/relationships/hyperlink" Target="http://www.boxofficeindia.com/movie.php?movieid=739" TargetMode="External"/><Relationship Id="rId192" Type="http://schemas.openxmlformats.org/officeDocument/2006/relationships/hyperlink" Target="http://www.boxofficeindia.com/movie.php?movieid=616" TargetMode="External"/><Relationship Id="rId206" Type="http://schemas.openxmlformats.org/officeDocument/2006/relationships/hyperlink" Target="http://www.boxofficeindia.com/movie.php?movieid=2286" TargetMode="External"/><Relationship Id="rId413" Type="http://schemas.openxmlformats.org/officeDocument/2006/relationships/hyperlink" Target="http://www.boxofficeindia.com/movie.php?movieid=791" TargetMode="External"/><Relationship Id="rId248" Type="http://schemas.openxmlformats.org/officeDocument/2006/relationships/hyperlink" Target="http://www.boxofficeindia.com/movie.php?movieid=85" TargetMode="External"/><Relationship Id="rId269" Type="http://schemas.openxmlformats.org/officeDocument/2006/relationships/hyperlink" Target="http://www.boxofficeindia.com/movie.php?movieid=48" TargetMode="External"/><Relationship Id="rId12" Type="http://schemas.openxmlformats.org/officeDocument/2006/relationships/hyperlink" Target="http://www.boxofficeindia.com/movie.php?movieid=2958" TargetMode="External"/><Relationship Id="rId33" Type="http://schemas.openxmlformats.org/officeDocument/2006/relationships/hyperlink" Target="http://www.boxofficeindia.com/movie.php?movieid=2985" TargetMode="External"/><Relationship Id="rId108" Type="http://schemas.openxmlformats.org/officeDocument/2006/relationships/hyperlink" Target="http://www.boxofficeindia.com/movie.php?movieid=303" TargetMode="External"/><Relationship Id="rId129" Type="http://schemas.openxmlformats.org/officeDocument/2006/relationships/hyperlink" Target="http://www.boxofficeindia.com/movie.php?movieid=316" TargetMode="External"/><Relationship Id="rId280" Type="http://schemas.openxmlformats.org/officeDocument/2006/relationships/hyperlink" Target="http://www.boxofficeindia.com/movie.php?movieid=1197" TargetMode="External"/><Relationship Id="rId315" Type="http://schemas.openxmlformats.org/officeDocument/2006/relationships/hyperlink" Target="http://www.boxofficeindia.com/movie.php?movieid=734" TargetMode="External"/><Relationship Id="rId336" Type="http://schemas.openxmlformats.org/officeDocument/2006/relationships/hyperlink" Target="http://www.boxofficeindia.com/movie.php?movieid=169" TargetMode="External"/><Relationship Id="rId357" Type="http://schemas.openxmlformats.org/officeDocument/2006/relationships/hyperlink" Target="http://www.boxofficeindia.com/movie.php?movieid=2559" TargetMode="External"/><Relationship Id="rId54" Type="http://schemas.openxmlformats.org/officeDocument/2006/relationships/hyperlink" Target="http://www.boxofficeindia.com/movie.php?movieid=3034" TargetMode="External"/><Relationship Id="rId75" Type="http://schemas.openxmlformats.org/officeDocument/2006/relationships/hyperlink" Target="http://www.boxofficeindia.com/movie.php?movieid=2431" TargetMode="External"/><Relationship Id="rId96" Type="http://schemas.openxmlformats.org/officeDocument/2006/relationships/hyperlink" Target="http://www.boxofficeindia.com/movie.php?movieid=2726" TargetMode="External"/><Relationship Id="rId140" Type="http://schemas.openxmlformats.org/officeDocument/2006/relationships/hyperlink" Target="http://www.boxofficeindia.com/movie.php?movieid=661" TargetMode="External"/><Relationship Id="rId161" Type="http://schemas.openxmlformats.org/officeDocument/2006/relationships/hyperlink" Target="http://www.boxofficeindia.com/movie.php?movieid=395" TargetMode="External"/><Relationship Id="rId182" Type="http://schemas.openxmlformats.org/officeDocument/2006/relationships/hyperlink" Target="http://www.boxofficeindia.com/movie.php?movieid=323" TargetMode="External"/><Relationship Id="rId217" Type="http://schemas.openxmlformats.org/officeDocument/2006/relationships/hyperlink" Target="http://www.boxofficeindia.com/movie.php?movieid=2289" TargetMode="External"/><Relationship Id="rId378" Type="http://schemas.openxmlformats.org/officeDocument/2006/relationships/hyperlink" Target="http://www.boxofficeindia.com/movie.php?movieid=485" TargetMode="External"/><Relationship Id="rId399" Type="http://schemas.openxmlformats.org/officeDocument/2006/relationships/hyperlink" Target="http://www.boxofficeindia.com/movie.php?movieid=785" TargetMode="External"/><Relationship Id="rId403" Type="http://schemas.openxmlformats.org/officeDocument/2006/relationships/hyperlink" Target="http://www.boxofficeindia.com/movie.php?movieid=951" TargetMode="External"/><Relationship Id="rId6" Type="http://schemas.openxmlformats.org/officeDocument/2006/relationships/hyperlink" Target="http://www.boxofficeindia.com/movie.php?movieid=3032" TargetMode="External"/><Relationship Id="rId238" Type="http://schemas.openxmlformats.org/officeDocument/2006/relationships/hyperlink" Target="http://www.boxofficeindia.com/movie.php?movieid=29" TargetMode="External"/><Relationship Id="rId259" Type="http://schemas.openxmlformats.org/officeDocument/2006/relationships/hyperlink" Target="http://www.boxofficeindia.com/movie.php?movieid=2249" TargetMode="External"/><Relationship Id="rId424" Type="http://schemas.openxmlformats.org/officeDocument/2006/relationships/hyperlink" Target="http://www.boxofficeindia.com/movie.php?movieid=2566" TargetMode="External"/><Relationship Id="rId23" Type="http://schemas.openxmlformats.org/officeDocument/2006/relationships/hyperlink" Target="http://www.boxofficeindia.com/movie.php?movieid=2793" TargetMode="External"/><Relationship Id="rId119" Type="http://schemas.openxmlformats.org/officeDocument/2006/relationships/hyperlink" Target="http://www.boxofficeindia.com/movie.php?movieid=389" TargetMode="External"/><Relationship Id="rId270" Type="http://schemas.openxmlformats.org/officeDocument/2006/relationships/hyperlink" Target="http://www.boxofficeindia.com/movie.php?movieid=3037" TargetMode="External"/><Relationship Id="rId291" Type="http://schemas.openxmlformats.org/officeDocument/2006/relationships/hyperlink" Target="http://www.boxofficeindia.com/movie.php?movieid=3259" TargetMode="External"/><Relationship Id="rId305" Type="http://schemas.openxmlformats.org/officeDocument/2006/relationships/hyperlink" Target="http://www.boxofficeindia.com/movie.php?movieid=3017" TargetMode="External"/><Relationship Id="rId326" Type="http://schemas.openxmlformats.org/officeDocument/2006/relationships/hyperlink" Target="http://www.boxofficeindia.com/movie.php?movieid=1474" TargetMode="External"/><Relationship Id="rId347" Type="http://schemas.openxmlformats.org/officeDocument/2006/relationships/hyperlink" Target="http://www.boxofficeindia.com/movie.php?movieid=2802" TargetMode="External"/><Relationship Id="rId44" Type="http://schemas.openxmlformats.org/officeDocument/2006/relationships/hyperlink" Target="http://www.boxofficeindia.com/movie.php?movieid=2404" TargetMode="External"/><Relationship Id="rId65" Type="http://schemas.openxmlformats.org/officeDocument/2006/relationships/hyperlink" Target="http://www.boxofficeindia.com/movie.php?movieid=2705" TargetMode="External"/><Relationship Id="rId86" Type="http://schemas.openxmlformats.org/officeDocument/2006/relationships/hyperlink" Target="http://www.boxofficeindia.com/movie.php?movieid=2590" TargetMode="External"/><Relationship Id="rId130" Type="http://schemas.openxmlformats.org/officeDocument/2006/relationships/hyperlink" Target="http://www.boxofficeindia.com/movie.php?movieid=458" TargetMode="External"/><Relationship Id="rId151" Type="http://schemas.openxmlformats.org/officeDocument/2006/relationships/hyperlink" Target="http://www.boxofficeindia.com/movie.php?movieid=392" TargetMode="External"/><Relationship Id="rId368" Type="http://schemas.openxmlformats.org/officeDocument/2006/relationships/hyperlink" Target="http://www.boxofficeindia.com/movie.php?movieid=663" TargetMode="External"/><Relationship Id="rId389" Type="http://schemas.openxmlformats.org/officeDocument/2006/relationships/hyperlink" Target="http://www.boxofficeindia.com/movie.php?movieid=342" TargetMode="External"/><Relationship Id="rId172" Type="http://schemas.openxmlformats.org/officeDocument/2006/relationships/hyperlink" Target="http://www.boxofficeindia.com/movie.php?movieid=364" TargetMode="External"/><Relationship Id="rId193" Type="http://schemas.openxmlformats.org/officeDocument/2006/relationships/hyperlink" Target="http://www.boxofficeindia.com/movie.php?movieid=275" TargetMode="External"/><Relationship Id="rId207" Type="http://schemas.openxmlformats.org/officeDocument/2006/relationships/hyperlink" Target="http://www.boxofficeindia.com/movie.php?movieid=26" TargetMode="External"/><Relationship Id="rId228" Type="http://schemas.openxmlformats.org/officeDocument/2006/relationships/hyperlink" Target="http://www.boxofficeindia.com/movie.php?movieid=30" TargetMode="External"/><Relationship Id="rId249" Type="http://schemas.openxmlformats.org/officeDocument/2006/relationships/hyperlink" Target="http://www.boxofficeindia.com/movie.php?movieid=652" TargetMode="External"/><Relationship Id="rId414" Type="http://schemas.openxmlformats.org/officeDocument/2006/relationships/hyperlink" Target="http://www.boxofficeindia.com/movie.php?movieid=1207" TargetMode="External"/><Relationship Id="rId13" Type="http://schemas.openxmlformats.org/officeDocument/2006/relationships/hyperlink" Target="http://www.boxofficeindia.com/movie.php?movieid=3093" TargetMode="External"/><Relationship Id="rId109" Type="http://schemas.openxmlformats.org/officeDocument/2006/relationships/hyperlink" Target="http://www.boxofficeindia.com/movie.php?movieid=313" TargetMode="External"/><Relationship Id="rId260" Type="http://schemas.openxmlformats.org/officeDocument/2006/relationships/hyperlink" Target="http://www.boxofficeindia.com/movie.php?movieid=2199" TargetMode="External"/><Relationship Id="rId281" Type="http://schemas.openxmlformats.org/officeDocument/2006/relationships/hyperlink" Target="http://www.boxofficeindia.com/movie.php?movieid=2987" TargetMode="External"/><Relationship Id="rId316" Type="http://schemas.openxmlformats.org/officeDocument/2006/relationships/hyperlink" Target="http://www.boxofficeindia.com/movie.php?movieid=703" TargetMode="External"/><Relationship Id="rId337" Type="http://schemas.openxmlformats.org/officeDocument/2006/relationships/hyperlink" Target="http://www.boxofficeindia.com/movie.php?movieid=132" TargetMode="External"/><Relationship Id="rId34" Type="http://schemas.openxmlformats.org/officeDocument/2006/relationships/hyperlink" Target="http://www.boxofficeindia.com/movie.php?movieid=2403" TargetMode="External"/><Relationship Id="rId55" Type="http://schemas.openxmlformats.org/officeDocument/2006/relationships/hyperlink" Target="http://www.boxofficeindia.com/movie.php?movieid=2453" TargetMode="External"/><Relationship Id="rId76" Type="http://schemas.openxmlformats.org/officeDocument/2006/relationships/hyperlink" Target="http://www.boxofficeindia.com/movie.php?movieid=2633" TargetMode="External"/><Relationship Id="rId97" Type="http://schemas.openxmlformats.org/officeDocument/2006/relationships/hyperlink" Target="http://www.boxofficeindia.com/movie.php?movieid=2385" TargetMode="External"/><Relationship Id="rId120" Type="http://schemas.openxmlformats.org/officeDocument/2006/relationships/hyperlink" Target="http://www.boxofficeindia.com/movie.php?movieid=263" TargetMode="External"/><Relationship Id="rId141" Type="http://schemas.openxmlformats.org/officeDocument/2006/relationships/hyperlink" Target="http://www.boxofficeindia.com/movie.php?movieid=233" TargetMode="External"/><Relationship Id="rId358" Type="http://schemas.openxmlformats.org/officeDocument/2006/relationships/hyperlink" Target="http://www.boxofficeindia.com/movie.php?movieid=2451" TargetMode="External"/><Relationship Id="rId379" Type="http://schemas.openxmlformats.org/officeDocument/2006/relationships/hyperlink" Target="http://www.boxofficeindia.com/movie.php?movieid=1802" TargetMode="External"/><Relationship Id="rId7" Type="http://schemas.openxmlformats.org/officeDocument/2006/relationships/hyperlink" Target="http://www.boxofficeindia.com/movie.php?movieid=2635" TargetMode="External"/><Relationship Id="rId162" Type="http://schemas.openxmlformats.org/officeDocument/2006/relationships/hyperlink" Target="http://www.boxofficeindia.com/movie.php?movieid=248" TargetMode="External"/><Relationship Id="rId183" Type="http://schemas.openxmlformats.org/officeDocument/2006/relationships/hyperlink" Target="http://www.boxofficeindia.com/movie.php?movieid=267" TargetMode="External"/><Relationship Id="rId218" Type="http://schemas.openxmlformats.org/officeDocument/2006/relationships/hyperlink" Target="http://www.boxofficeindia.com/movie.php?movieid=1" TargetMode="External"/><Relationship Id="rId239" Type="http://schemas.openxmlformats.org/officeDocument/2006/relationships/hyperlink" Target="http://www.boxofficeindia.com/movie.php?movieid=262" TargetMode="External"/><Relationship Id="rId390" Type="http://schemas.openxmlformats.org/officeDocument/2006/relationships/hyperlink" Target="http://www.boxofficeindia.com/movie.php?movieid=1431" TargetMode="External"/><Relationship Id="rId404" Type="http://schemas.openxmlformats.org/officeDocument/2006/relationships/hyperlink" Target="http://www.boxofficeindia.com/movie.php?movieid=75" TargetMode="External"/><Relationship Id="rId425" Type="http://schemas.openxmlformats.org/officeDocument/2006/relationships/hyperlink" Target="http://www.boxofficeindia.com/movie.php?movieid=3204" TargetMode="External"/><Relationship Id="rId250" Type="http://schemas.openxmlformats.org/officeDocument/2006/relationships/hyperlink" Target="http://www.boxofficeindia.com/movie.php?movieid=35" TargetMode="External"/><Relationship Id="rId271" Type="http://schemas.openxmlformats.org/officeDocument/2006/relationships/hyperlink" Target="http://www.boxofficeindia.com/movie.php?movieid=576" TargetMode="External"/><Relationship Id="rId292" Type="http://schemas.openxmlformats.org/officeDocument/2006/relationships/hyperlink" Target="http://www.boxofficeindia.com/movie.php?movieid=770" TargetMode="External"/><Relationship Id="rId306" Type="http://schemas.openxmlformats.org/officeDocument/2006/relationships/hyperlink" Target="http://www.boxofficeindia.com/movie.php?movieid=2951" TargetMode="External"/><Relationship Id="rId24" Type="http://schemas.openxmlformats.org/officeDocument/2006/relationships/hyperlink" Target="http://www.boxofficeindia.com/movie.php?movieid=2739" TargetMode="External"/><Relationship Id="rId45" Type="http://schemas.openxmlformats.org/officeDocument/2006/relationships/hyperlink" Target="http://www.boxofficeindia.com/movie.php?movieid=2801" TargetMode="External"/><Relationship Id="rId66" Type="http://schemas.openxmlformats.org/officeDocument/2006/relationships/hyperlink" Target="http://www.boxofficeindia.com/movie.php?movieid=2756" TargetMode="External"/><Relationship Id="rId87" Type="http://schemas.openxmlformats.org/officeDocument/2006/relationships/hyperlink" Target="http://www.boxofficeindia.com/movie.php?movieid=2715" TargetMode="External"/><Relationship Id="rId110" Type="http://schemas.openxmlformats.org/officeDocument/2006/relationships/hyperlink" Target="http://www.boxofficeindia.com/movie.php?movieid=592" TargetMode="External"/><Relationship Id="rId131" Type="http://schemas.openxmlformats.org/officeDocument/2006/relationships/hyperlink" Target="http://www.boxofficeindia.com/movie.php?movieid=591" TargetMode="External"/><Relationship Id="rId327" Type="http://schemas.openxmlformats.org/officeDocument/2006/relationships/hyperlink" Target="http://www.boxofficeindia.com/movie.php?movieid=3274" TargetMode="External"/><Relationship Id="rId348" Type="http://schemas.openxmlformats.org/officeDocument/2006/relationships/hyperlink" Target="http://www.boxofficeindia.com/movie.php?movieid=2742" TargetMode="External"/><Relationship Id="rId369" Type="http://schemas.openxmlformats.org/officeDocument/2006/relationships/hyperlink" Target="http://www.boxofficeindia.com/movie.php?movieid=593" TargetMode="External"/><Relationship Id="rId152" Type="http://schemas.openxmlformats.org/officeDocument/2006/relationships/hyperlink" Target="http://www.boxofficeindia.com/movie.php?movieid=510" TargetMode="External"/><Relationship Id="rId173" Type="http://schemas.openxmlformats.org/officeDocument/2006/relationships/hyperlink" Target="http://www.boxofficeindia.com/movie.php?movieid=721" TargetMode="External"/><Relationship Id="rId194" Type="http://schemas.openxmlformats.org/officeDocument/2006/relationships/hyperlink" Target="http://www.boxofficeindia.com/movie.php?movieid=362" TargetMode="External"/><Relationship Id="rId208" Type="http://schemas.openxmlformats.org/officeDocument/2006/relationships/hyperlink" Target="http://www.boxofficeindia.com/movie.php?movieid=1711" TargetMode="External"/><Relationship Id="rId229" Type="http://schemas.openxmlformats.org/officeDocument/2006/relationships/hyperlink" Target="http://www.boxofficeindia.com/movie.php?movieid=2271" TargetMode="External"/><Relationship Id="rId380" Type="http://schemas.openxmlformats.org/officeDocument/2006/relationships/hyperlink" Target="http://www.boxofficeindia.com/movie.php?movieid=443" TargetMode="External"/><Relationship Id="rId415" Type="http://schemas.openxmlformats.org/officeDocument/2006/relationships/hyperlink" Target="http://www.boxofficeindia.com/movie.php?movieid=1516" TargetMode="External"/><Relationship Id="rId240" Type="http://schemas.openxmlformats.org/officeDocument/2006/relationships/hyperlink" Target="http://www.boxofficeindia.com/movie.php?movieid=2256" TargetMode="External"/><Relationship Id="rId261" Type="http://schemas.openxmlformats.org/officeDocument/2006/relationships/hyperlink" Target="http://www.boxofficeindia.com/movie.php?movieid=34" TargetMode="External"/><Relationship Id="rId14" Type="http://schemas.openxmlformats.org/officeDocument/2006/relationships/hyperlink" Target="http://www.boxofficeindia.com/movie.php?movieid=2660" TargetMode="External"/><Relationship Id="rId35" Type="http://schemas.openxmlformats.org/officeDocument/2006/relationships/hyperlink" Target="http://www.boxofficeindia.com/movie.php?movieid=2674" TargetMode="External"/><Relationship Id="rId56" Type="http://schemas.openxmlformats.org/officeDocument/2006/relationships/hyperlink" Target="http://www.boxofficeindia.com/movie.php?movieid=3182" TargetMode="External"/><Relationship Id="rId77" Type="http://schemas.openxmlformats.org/officeDocument/2006/relationships/hyperlink" Target="http://www.boxofficeindia.com/movie.php?movieid=3141" TargetMode="External"/><Relationship Id="rId100" Type="http://schemas.openxmlformats.org/officeDocument/2006/relationships/hyperlink" Target="http://www.boxofficeindia.com/movie.php?movieid=136" TargetMode="External"/><Relationship Id="rId282" Type="http://schemas.openxmlformats.org/officeDocument/2006/relationships/hyperlink" Target="http://www.boxofficeindia.com/movie.php?movieid=2860" TargetMode="External"/><Relationship Id="rId317" Type="http://schemas.openxmlformats.org/officeDocument/2006/relationships/hyperlink" Target="http://www.boxofficeindia.com/movie.php?movieid=637" TargetMode="External"/><Relationship Id="rId338" Type="http://schemas.openxmlformats.org/officeDocument/2006/relationships/hyperlink" Target="http://www.boxofficeindia.com/movie.php?movieid=104" TargetMode="External"/><Relationship Id="rId359" Type="http://schemas.openxmlformats.org/officeDocument/2006/relationships/hyperlink" Target="http://www.boxofficeindia.com/movie.php?movieid=2375" TargetMode="External"/><Relationship Id="rId8" Type="http://schemas.openxmlformats.org/officeDocument/2006/relationships/hyperlink" Target="http://www.boxofficeindia.com/movie.php?movieid=992" TargetMode="External"/><Relationship Id="rId98" Type="http://schemas.openxmlformats.org/officeDocument/2006/relationships/hyperlink" Target="http://www.boxofficeindia.com/movie.php?movieid=3142" TargetMode="External"/><Relationship Id="rId121" Type="http://schemas.openxmlformats.org/officeDocument/2006/relationships/hyperlink" Target="http://www.boxofficeindia.com/movie.php?movieid=367" TargetMode="External"/><Relationship Id="rId142" Type="http://schemas.openxmlformats.org/officeDocument/2006/relationships/hyperlink" Target="http://www.boxofficeindia.com/movie.php?movieid=717" TargetMode="External"/><Relationship Id="rId163" Type="http://schemas.openxmlformats.org/officeDocument/2006/relationships/hyperlink" Target="http://www.boxofficeindia.com/movie.php?movieid=519" TargetMode="External"/><Relationship Id="rId184" Type="http://schemas.openxmlformats.org/officeDocument/2006/relationships/hyperlink" Target="http://www.boxofficeindia.com/movie.php?movieid=150" TargetMode="External"/><Relationship Id="rId219" Type="http://schemas.openxmlformats.org/officeDocument/2006/relationships/hyperlink" Target="http://www.boxofficeindia.com/movie.php?movieid=4" TargetMode="External"/><Relationship Id="rId370" Type="http://schemas.openxmlformats.org/officeDocument/2006/relationships/hyperlink" Target="http://www.boxofficeindia.com/movie.php?movieid=598" TargetMode="External"/><Relationship Id="rId391" Type="http://schemas.openxmlformats.org/officeDocument/2006/relationships/hyperlink" Target="http://www.boxofficeindia.com/movie.php?movieid=349" TargetMode="External"/><Relationship Id="rId405" Type="http://schemas.openxmlformats.org/officeDocument/2006/relationships/hyperlink" Target="http://www.boxofficeindia.com/movie.php?movieid=838" TargetMode="External"/><Relationship Id="rId426" Type="http://schemas.openxmlformats.org/officeDocument/2006/relationships/hyperlink" Target="http://www.boxofficeindia.com/movie.php?movieid=3359" TargetMode="External"/><Relationship Id="rId230" Type="http://schemas.openxmlformats.org/officeDocument/2006/relationships/hyperlink" Target="http://www.boxofficeindia.com/movie.php?movieid=2228" TargetMode="External"/><Relationship Id="rId251" Type="http://schemas.openxmlformats.org/officeDocument/2006/relationships/hyperlink" Target="http://www.boxofficeindia.com/movie.php?movieid=2864" TargetMode="External"/><Relationship Id="rId25" Type="http://schemas.openxmlformats.org/officeDocument/2006/relationships/hyperlink" Target="http://www.boxofficeindia.com/movie.php?movieid=3183" TargetMode="External"/><Relationship Id="rId46" Type="http://schemas.openxmlformats.org/officeDocument/2006/relationships/hyperlink" Target="http://www.boxofficeindia.com/movie.php?movieid=2555" TargetMode="External"/><Relationship Id="rId67" Type="http://schemas.openxmlformats.org/officeDocument/2006/relationships/hyperlink" Target="http://www.boxofficeindia.com/movie.php?movieid=2568" TargetMode="External"/><Relationship Id="rId272" Type="http://schemas.openxmlformats.org/officeDocument/2006/relationships/hyperlink" Target="http://www.boxofficeindia.com/movie.php?movieid=9" TargetMode="External"/><Relationship Id="rId293" Type="http://schemas.openxmlformats.org/officeDocument/2006/relationships/hyperlink" Target="http://www.boxofficeindia.com/movie.php?movieid=2067" TargetMode="External"/><Relationship Id="rId307" Type="http://schemas.openxmlformats.org/officeDocument/2006/relationships/hyperlink" Target="http://www.boxofficeindia.com/movie.php?movieid=2831" TargetMode="External"/><Relationship Id="rId328" Type="http://schemas.openxmlformats.org/officeDocument/2006/relationships/hyperlink" Target="http://www.boxofficeindia.com/movie.php?movieid=3273" TargetMode="External"/><Relationship Id="rId349" Type="http://schemas.openxmlformats.org/officeDocument/2006/relationships/hyperlink" Target="http://www.boxofficeindia.com/movie.php?movieid=2777" TargetMode="External"/><Relationship Id="rId88" Type="http://schemas.openxmlformats.org/officeDocument/2006/relationships/hyperlink" Target="http://www.boxofficeindia.com/movie.php?movieid=2397" TargetMode="External"/><Relationship Id="rId111" Type="http://schemas.openxmlformats.org/officeDocument/2006/relationships/hyperlink" Target="http://www.boxofficeindia.com/movie.php?movieid=378" TargetMode="External"/><Relationship Id="rId132" Type="http://schemas.openxmlformats.org/officeDocument/2006/relationships/hyperlink" Target="http://www.boxofficeindia.com/movie.php?movieid=659" TargetMode="External"/><Relationship Id="rId153" Type="http://schemas.openxmlformats.org/officeDocument/2006/relationships/hyperlink" Target="http://www.boxofficeindia.com/movie.php?movieid=514" TargetMode="External"/><Relationship Id="rId174" Type="http://schemas.openxmlformats.org/officeDocument/2006/relationships/hyperlink" Target="http://www.boxofficeindia.com/movie.php?movieid=186" TargetMode="External"/><Relationship Id="rId195" Type="http://schemas.openxmlformats.org/officeDocument/2006/relationships/hyperlink" Target="http://www.boxofficeindia.com/movie.php?movieid=467" TargetMode="External"/><Relationship Id="rId209" Type="http://schemas.openxmlformats.org/officeDocument/2006/relationships/hyperlink" Target="http://www.boxofficeindia.com/movie.php?movieid=1206" TargetMode="External"/><Relationship Id="rId360" Type="http://schemas.openxmlformats.org/officeDocument/2006/relationships/hyperlink" Target="http://www.boxofficeindia.com/movie.php?movieid=2340" TargetMode="External"/><Relationship Id="rId381" Type="http://schemas.openxmlformats.org/officeDocument/2006/relationships/hyperlink" Target="http://www.boxofficeindia.com/movie.php?movieid=1680" TargetMode="External"/><Relationship Id="rId416" Type="http://schemas.openxmlformats.org/officeDocument/2006/relationships/hyperlink" Target="http://www.boxofficeindia.com/movie.php?movieid=464" TargetMode="External"/><Relationship Id="rId220" Type="http://schemas.openxmlformats.org/officeDocument/2006/relationships/hyperlink" Target="http://www.boxofficeindia.com/movie.php?movieid=3" TargetMode="External"/><Relationship Id="rId241" Type="http://schemas.openxmlformats.org/officeDocument/2006/relationships/hyperlink" Target="http://www.boxofficeindia.com/movie.php?movieid=1765" TargetMode="External"/><Relationship Id="rId15" Type="http://schemas.openxmlformats.org/officeDocument/2006/relationships/hyperlink" Target="http://www.boxofficeindia.com/movie.php?movieid=2627" TargetMode="External"/><Relationship Id="rId36" Type="http://schemas.openxmlformats.org/officeDocument/2006/relationships/hyperlink" Target="http://www.boxofficeindia.com/movie.php?movieid=2515" TargetMode="External"/><Relationship Id="rId57" Type="http://schemas.openxmlformats.org/officeDocument/2006/relationships/hyperlink" Target="http://www.boxofficeindia.com/movie.php?movieid=3138" TargetMode="External"/><Relationship Id="rId262" Type="http://schemas.openxmlformats.org/officeDocument/2006/relationships/hyperlink" Target="http://www.boxofficeindia.com/movie.php?movieid=87" TargetMode="External"/><Relationship Id="rId283" Type="http://schemas.openxmlformats.org/officeDocument/2006/relationships/hyperlink" Target="http://www.boxofficeindia.com/movie.php?movieid=76" TargetMode="External"/><Relationship Id="rId318" Type="http://schemas.openxmlformats.org/officeDocument/2006/relationships/hyperlink" Target="http://www.boxofficeindia.com/movie.php?movieid=555" TargetMode="External"/><Relationship Id="rId339" Type="http://schemas.openxmlformats.org/officeDocument/2006/relationships/hyperlink" Target="http://www.boxofficeindia.com/movie.php?movieid=3109" TargetMode="External"/><Relationship Id="rId78" Type="http://schemas.openxmlformats.org/officeDocument/2006/relationships/hyperlink" Target="http://www.boxofficeindia.com/movie.php?movieid=3110" TargetMode="External"/><Relationship Id="rId99" Type="http://schemas.openxmlformats.org/officeDocument/2006/relationships/hyperlink" Target="http://www.boxofficeindia.com/movie.php?movieid=657" TargetMode="External"/><Relationship Id="rId101" Type="http://schemas.openxmlformats.org/officeDocument/2006/relationships/hyperlink" Target="http://www.boxofficeindia.com/movie.php?movieid=658" TargetMode="External"/><Relationship Id="rId122" Type="http://schemas.openxmlformats.org/officeDocument/2006/relationships/hyperlink" Target="http://www.boxofficeindia.com/movie.php?movieid=390" TargetMode="External"/><Relationship Id="rId143" Type="http://schemas.openxmlformats.org/officeDocument/2006/relationships/hyperlink" Target="http://www.boxofficeindia.com/movie.php?movieid=246" TargetMode="External"/><Relationship Id="rId164" Type="http://schemas.openxmlformats.org/officeDocument/2006/relationships/hyperlink" Target="http://www.boxofficeindia.com/movie.php?movieid=456" TargetMode="External"/><Relationship Id="rId185" Type="http://schemas.openxmlformats.org/officeDocument/2006/relationships/hyperlink" Target="http://www.boxofficeindia.com/movie.php?movieid=274" TargetMode="External"/><Relationship Id="rId350" Type="http://schemas.openxmlformats.org/officeDocument/2006/relationships/hyperlink" Target="http://www.boxofficeindia.com/movie.php?movieid=2637" TargetMode="External"/><Relationship Id="rId371" Type="http://schemas.openxmlformats.org/officeDocument/2006/relationships/hyperlink" Target="http://www.boxofficeindia.com/movie.php?movieid=595" TargetMode="External"/><Relationship Id="rId406" Type="http://schemas.openxmlformats.org/officeDocument/2006/relationships/hyperlink" Target="http://www.boxofficeindia.com/movie.php?movieid=806" TargetMode="External"/><Relationship Id="rId9" Type="http://schemas.openxmlformats.org/officeDocument/2006/relationships/hyperlink" Target="http://www.boxofficeindia.com/movie.php?movieid=3102" TargetMode="External"/><Relationship Id="rId210" Type="http://schemas.openxmlformats.org/officeDocument/2006/relationships/hyperlink" Target="http://www.boxofficeindia.com/movie.php?movieid=1280" TargetMode="External"/><Relationship Id="rId392" Type="http://schemas.openxmlformats.org/officeDocument/2006/relationships/hyperlink" Target="http://www.boxofficeindia.com/movie.php?movieid=226" TargetMode="External"/><Relationship Id="rId427" Type="http://schemas.openxmlformats.org/officeDocument/2006/relationships/hyperlink" Target="http://www.boxofficeindia.com/movie.php?movieid=3300" TargetMode="External"/><Relationship Id="rId26" Type="http://schemas.openxmlformats.org/officeDocument/2006/relationships/hyperlink" Target="http://www.boxofficeindia.com/movie.php?movieid=2583" TargetMode="External"/><Relationship Id="rId231" Type="http://schemas.openxmlformats.org/officeDocument/2006/relationships/hyperlink" Target="http://www.boxofficeindia.com/movie.php?movieid=1142" TargetMode="External"/><Relationship Id="rId252" Type="http://schemas.openxmlformats.org/officeDocument/2006/relationships/hyperlink" Target="http://www.boxofficeindia.com/movie.php?movieid=3271" TargetMode="External"/><Relationship Id="rId273" Type="http://schemas.openxmlformats.org/officeDocument/2006/relationships/hyperlink" Target="http://www.boxofficeindia.com/movie.php?movieid=83" TargetMode="External"/><Relationship Id="rId294" Type="http://schemas.openxmlformats.org/officeDocument/2006/relationships/hyperlink" Target="http://www.boxofficeindia.com/movie.php?movieid=1250" TargetMode="External"/><Relationship Id="rId308" Type="http://schemas.openxmlformats.org/officeDocument/2006/relationships/hyperlink" Target="http://www.boxofficeindia.com/movie.php?movieid=2818" TargetMode="External"/><Relationship Id="rId329" Type="http://schemas.openxmlformats.org/officeDocument/2006/relationships/hyperlink" Target="http://www.boxofficeindia.com/movie.php?movieid=2438" TargetMode="External"/><Relationship Id="rId47" Type="http://schemas.openxmlformats.org/officeDocument/2006/relationships/hyperlink" Target="http://www.boxofficeindia.com/movie.php?movieid=3074" TargetMode="External"/><Relationship Id="rId68" Type="http://schemas.openxmlformats.org/officeDocument/2006/relationships/hyperlink" Target="http://www.boxofficeindia.com/movie.php?movieid=2364" TargetMode="External"/><Relationship Id="rId89" Type="http://schemas.openxmlformats.org/officeDocument/2006/relationships/hyperlink" Target="http://www.boxofficeindia.com/movie.php?movieid=2690" TargetMode="External"/><Relationship Id="rId112" Type="http://schemas.openxmlformats.org/officeDocument/2006/relationships/hyperlink" Target="http://www.boxofficeindia.com/movie.php?movieid=507" TargetMode="External"/><Relationship Id="rId133" Type="http://schemas.openxmlformats.org/officeDocument/2006/relationships/hyperlink" Target="http://www.boxofficeindia.com/movie.php?movieid=660" TargetMode="External"/><Relationship Id="rId154" Type="http://schemas.openxmlformats.org/officeDocument/2006/relationships/hyperlink" Target="http://www.boxofficeindia.com/movie.php?movieid=515" TargetMode="External"/><Relationship Id="rId175" Type="http://schemas.openxmlformats.org/officeDocument/2006/relationships/hyperlink" Target="http://www.boxofficeindia.com/movie.php?movieid=224" TargetMode="External"/><Relationship Id="rId340" Type="http://schemas.openxmlformats.org/officeDocument/2006/relationships/hyperlink" Target="http://www.boxofficeindia.com/movie.php?movieid=3147" TargetMode="External"/><Relationship Id="rId361" Type="http://schemas.openxmlformats.org/officeDocument/2006/relationships/hyperlink" Target="http://www.boxofficeindia.com/movie.php?movieid=743" TargetMode="External"/><Relationship Id="rId196" Type="http://schemas.openxmlformats.org/officeDocument/2006/relationships/hyperlink" Target="http://www.boxofficeindia.com/movie.php?movieid=683" TargetMode="External"/><Relationship Id="rId200" Type="http://schemas.openxmlformats.org/officeDocument/2006/relationships/hyperlink" Target="http://www.boxofficeindia.com/movie.php?movieid=2899" TargetMode="External"/><Relationship Id="rId382" Type="http://schemas.openxmlformats.org/officeDocument/2006/relationships/hyperlink" Target="http://www.boxofficeindia.com/movie.php?movieid=408" TargetMode="External"/><Relationship Id="rId417" Type="http://schemas.openxmlformats.org/officeDocument/2006/relationships/hyperlink" Target="http://www.boxofficeindia.com/movie.php?movieid=2302" TargetMode="External"/><Relationship Id="rId16" Type="http://schemas.openxmlformats.org/officeDocument/2006/relationships/hyperlink" Target="http://www.boxofficeindia.com/movie.php?movieid=2968" TargetMode="External"/><Relationship Id="rId221" Type="http://schemas.openxmlformats.org/officeDocument/2006/relationships/hyperlink" Target="http://www.boxofficeindia.com/movie.php?movieid=89" TargetMode="External"/><Relationship Id="rId242" Type="http://schemas.openxmlformats.org/officeDocument/2006/relationships/hyperlink" Target="http://www.boxofficeindia.com/movie.php?movieid=1177" TargetMode="External"/><Relationship Id="rId263" Type="http://schemas.openxmlformats.org/officeDocument/2006/relationships/hyperlink" Target="http://www.boxofficeindia.com/movie.php?movieid=2210" TargetMode="External"/><Relationship Id="rId284" Type="http://schemas.openxmlformats.org/officeDocument/2006/relationships/hyperlink" Target="http://www.boxofficeindia.com/movie.php?movieid=2149" TargetMode="External"/><Relationship Id="rId319" Type="http://schemas.openxmlformats.org/officeDocument/2006/relationships/hyperlink" Target="http://www.boxofficeindia.com/movie.php?movieid=474" TargetMode="External"/><Relationship Id="rId37" Type="http://schemas.openxmlformats.org/officeDocument/2006/relationships/hyperlink" Target="http://www.boxofficeindia.com/movie.php?movieid=2411" TargetMode="External"/><Relationship Id="rId58" Type="http://schemas.openxmlformats.org/officeDocument/2006/relationships/hyperlink" Target="http://www.boxofficeindia.com/movie.php?movieid=2620" TargetMode="External"/><Relationship Id="rId79" Type="http://schemas.openxmlformats.org/officeDocument/2006/relationships/hyperlink" Target="http://www.boxofficeindia.com/movie.php?movieid=3105" TargetMode="External"/><Relationship Id="rId102" Type="http://schemas.openxmlformats.org/officeDocument/2006/relationships/hyperlink" Target="http://www.boxofficeindia.com/movie.php?movieid=711" TargetMode="External"/><Relationship Id="rId123" Type="http://schemas.openxmlformats.org/officeDocument/2006/relationships/hyperlink" Target="http://www.boxofficeindia.com/movie.php?movieid=665" TargetMode="External"/><Relationship Id="rId144" Type="http://schemas.openxmlformats.org/officeDocument/2006/relationships/hyperlink" Target="http://www.boxofficeindia.com/movie.php?movieid=223" TargetMode="External"/><Relationship Id="rId330" Type="http://schemas.openxmlformats.org/officeDocument/2006/relationships/hyperlink" Target="http://www.boxofficeindia.com/movie.php?movieid=2484" TargetMode="External"/><Relationship Id="rId90" Type="http://schemas.openxmlformats.org/officeDocument/2006/relationships/hyperlink" Target="http://www.boxofficeindia.com/movie.php?movieid=2389" TargetMode="External"/><Relationship Id="rId165" Type="http://schemas.openxmlformats.org/officeDocument/2006/relationships/hyperlink" Target="http://www.boxofficeindia.com/movie.php?movieid=403" TargetMode="External"/><Relationship Id="rId186" Type="http://schemas.openxmlformats.org/officeDocument/2006/relationships/hyperlink" Target="http://www.boxofficeindia.com/movie.php?movieid=539" TargetMode="External"/><Relationship Id="rId351" Type="http://schemas.openxmlformats.org/officeDocument/2006/relationships/hyperlink" Target="http://www.boxofficeindia.com/movie.php?movieid=2631" TargetMode="External"/><Relationship Id="rId372" Type="http://schemas.openxmlformats.org/officeDocument/2006/relationships/hyperlink" Target="http://www.boxofficeindia.com/movie.php?movieid=600" TargetMode="External"/><Relationship Id="rId393" Type="http://schemas.openxmlformats.org/officeDocument/2006/relationships/hyperlink" Target="http://www.boxofficeindia.com/movie.php?movieid=189" TargetMode="External"/><Relationship Id="rId407" Type="http://schemas.openxmlformats.org/officeDocument/2006/relationships/hyperlink" Target="http://www.boxofficeindia.com/movie.php?movieid=57" TargetMode="External"/><Relationship Id="rId428" Type="http://schemas.openxmlformats.org/officeDocument/2006/relationships/hyperlink" Target="http://www.boxofficeindia.com/movie.php?movieid=3343" TargetMode="External"/><Relationship Id="rId211" Type="http://schemas.openxmlformats.org/officeDocument/2006/relationships/hyperlink" Target="http://www.boxofficeindia.com/movie.php?movieid=177" TargetMode="External"/><Relationship Id="rId232" Type="http://schemas.openxmlformats.org/officeDocument/2006/relationships/hyperlink" Target="http://www.boxofficeindia.com/movie.php?movieid=1046" TargetMode="External"/><Relationship Id="rId253" Type="http://schemas.openxmlformats.org/officeDocument/2006/relationships/hyperlink" Target="http://www.boxofficeindia.com/movie.php?movieid=2279" TargetMode="External"/><Relationship Id="rId274" Type="http://schemas.openxmlformats.org/officeDocument/2006/relationships/hyperlink" Target="http://www.boxofficeindia.com/movie.php?movieid=52" TargetMode="External"/><Relationship Id="rId295" Type="http://schemas.openxmlformats.org/officeDocument/2006/relationships/hyperlink" Target="http://www.boxofficeindia.com/movie.php?movieid=1238" TargetMode="External"/><Relationship Id="rId309" Type="http://schemas.openxmlformats.org/officeDocument/2006/relationships/hyperlink" Target="http://www.boxofficeindia.com/movie.php?movieid=2679" TargetMode="External"/><Relationship Id="rId27" Type="http://schemas.openxmlformats.org/officeDocument/2006/relationships/hyperlink" Target="http://www.boxofficeindia.com/movie.php?movieid=2807" TargetMode="External"/><Relationship Id="rId48" Type="http://schemas.openxmlformats.org/officeDocument/2006/relationships/hyperlink" Target="http://www.boxofficeindia.com/movie.php?movieid=2557" TargetMode="External"/><Relationship Id="rId69" Type="http://schemas.openxmlformats.org/officeDocument/2006/relationships/hyperlink" Target="http://www.boxofficeindia.com/movie.php?movieid=2264" TargetMode="External"/><Relationship Id="rId113" Type="http://schemas.openxmlformats.org/officeDocument/2006/relationships/hyperlink" Target="http://www.boxofficeindia.com/movie.php?movieid=265" TargetMode="External"/><Relationship Id="rId134" Type="http://schemas.openxmlformats.org/officeDocument/2006/relationships/hyperlink" Target="http://www.boxofficeindia.com/movie.php?movieid=508" TargetMode="External"/><Relationship Id="rId320" Type="http://schemas.openxmlformats.org/officeDocument/2006/relationships/hyperlink" Target="http://www.boxofficeindia.com/movie.php?movieid=479" TargetMode="External"/><Relationship Id="rId80" Type="http://schemas.openxmlformats.org/officeDocument/2006/relationships/hyperlink" Target="http://www.boxofficeindia.com/movie.php?movieid=3055" TargetMode="External"/><Relationship Id="rId155" Type="http://schemas.openxmlformats.org/officeDocument/2006/relationships/hyperlink" Target="http://www.boxofficeindia.com/movie.php?movieid=511" TargetMode="External"/><Relationship Id="rId176" Type="http://schemas.openxmlformats.org/officeDocument/2006/relationships/hyperlink" Target="http://www.boxofficeindia.com/movie.php?movieid=341" TargetMode="External"/><Relationship Id="rId197" Type="http://schemas.openxmlformats.org/officeDocument/2006/relationships/hyperlink" Target="http://www.boxofficeindia.com/movie.php?movieid=347" TargetMode="External"/><Relationship Id="rId341" Type="http://schemas.openxmlformats.org/officeDocument/2006/relationships/hyperlink" Target="http://www.boxofficeindia.com/movie.php?movieid=3189" TargetMode="External"/><Relationship Id="rId362" Type="http://schemas.openxmlformats.org/officeDocument/2006/relationships/hyperlink" Target="http://www.boxofficeindia.com/movie.php?movieid=722" TargetMode="External"/><Relationship Id="rId383" Type="http://schemas.openxmlformats.org/officeDocument/2006/relationships/hyperlink" Target="http://www.boxofficeindia.com/movie.php?movieid=419" TargetMode="External"/><Relationship Id="rId418" Type="http://schemas.openxmlformats.org/officeDocument/2006/relationships/hyperlink" Target="http://www.boxofficeindia.com/movie.php?movieid=2176" TargetMode="External"/><Relationship Id="rId201" Type="http://schemas.openxmlformats.org/officeDocument/2006/relationships/hyperlink" Target="http://www.boxofficeindia.com/movie.php?movieid=1956" TargetMode="External"/><Relationship Id="rId222" Type="http://schemas.openxmlformats.org/officeDocument/2006/relationships/hyperlink" Target="http://www.boxofficeindia.com/movie.php?movieid=3357" TargetMode="External"/><Relationship Id="rId243" Type="http://schemas.openxmlformats.org/officeDocument/2006/relationships/hyperlink" Target="http://www.boxofficeindia.com/movie.php?movieid=1178" TargetMode="External"/><Relationship Id="rId264" Type="http://schemas.openxmlformats.org/officeDocument/2006/relationships/hyperlink" Target="http://www.boxofficeindia.com/movie.php?movieid=72" TargetMode="External"/><Relationship Id="rId285" Type="http://schemas.openxmlformats.org/officeDocument/2006/relationships/hyperlink" Target="http://www.boxofficeindia.com/movie.php?movieid=31" TargetMode="External"/><Relationship Id="rId17" Type="http://schemas.openxmlformats.org/officeDocument/2006/relationships/hyperlink" Target="http://www.boxofficeindia.com/movie.php?movieid=991" TargetMode="External"/><Relationship Id="rId38" Type="http://schemas.openxmlformats.org/officeDocument/2006/relationships/hyperlink" Target="http://www.boxofficeindia.com/movie.php?movieid=2706" TargetMode="External"/><Relationship Id="rId59" Type="http://schemas.openxmlformats.org/officeDocument/2006/relationships/hyperlink" Target="http://www.boxofficeindia.com/movie.php?movieid=2732" TargetMode="External"/><Relationship Id="rId103" Type="http://schemas.openxmlformats.org/officeDocument/2006/relationships/hyperlink" Target="http://www.boxofficeindia.com/movie.php?movieid=712" TargetMode="External"/><Relationship Id="rId124" Type="http://schemas.openxmlformats.org/officeDocument/2006/relationships/hyperlink" Target="http://www.boxofficeindia.com/movie.php?movieid=139" TargetMode="External"/><Relationship Id="rId310" Type="http://schemas.openxmlformats.org/officeDocument/2006/relationships/hyperlink" Target="http://www.boxofficeindia.com/movie.php?movieid=2650" TargetMode="External"/><Relationship Id="rId70" Type="http://schemas.openxmlformats.org/officeDocument/2006/relationships/hyperlink" Target="http://www.boxofficeindia.com/movie.php?movieid=3158" TargetMode="External"/><Relationship Id="rId91" Type="http://schemas.openxmlformats.org/officeDocument/2006/relationships/hyperlink" Target="http://www.boxofficeindia.com/movie.php?movieid=3108" TargetMode="External"/><Relationship Id="rId145" Type="http://schemas.openxmlformats.org/officeDocument/2006/relationships/hyperlink" Target="http://www.boxofficeindia.com/movie.php?movieid=190" TargetMode="External"/><Relationship Id="rId166" Type="http://schemas.openxmlformats.org/officeDocument/2006/relationships/hyperlink" Target="http://www.boxofficeindia.com/movie.php?movieid=524" TargetMode="External"/><Relationship Id="rId187" Type="http://schemas.openxmlformats.org/officeDocument/2006/relationships/hyperlink" Target="http://www.boxofficeindia.com/movie.php?movieid=148" TargetMode="External"/><Relationship Id="rId331" Type="http://schemas.openxmlformats.org/officeDocument/2006/relationships/hyperlink" Target="http://www.boxofficeindia.com/movie.php?movieid=1442" TargetMode="External"/><Relationship Id="rId352" Type="http://schemas.openxmlformats.org/officeDocument/2006/relationships/hyperlink" Target="http://www.boxofficeindia.com/movie.php?movieid=2648" TargetMode="External"/><Relationship Id="rId373" Type="http://schemas.openxmlformats.org/officeDocument/2006/relationships/hyperlink" Target="http://www.boxofficeindia.com/movie.php?movieid=565" TargetMode="External"/><Relationship Id="rId394" Type="http://schemas.openxmlformats.org/officeDocument/2006/relationships/hyperlink" Target="http://www.boxofficeindia.com/movie.php?movieid=327" TargetMode="External"/><Relationship Id="rId408" Type="http://schemas.openxmlformats.org/officeDocument/2006/relationships/hyperlink" Target="http://www.boxofficeindia.com/movie.php?movieid=49" TargetMode="External"/><Relationship Id="rId429" Type="http://schemas.openxmlformats.org/officeDocument/2006/relationships/hyperlink" Target="http://www.boxofficeindia.com/movie.php?movieid=333" TargetMode="External"/><Relationship Id="rId1" Type="http://schemas.openxmlformats.org/officeDocument/2006/relationships/hyperlink" Target="http://www.boxofficeindia.com/movie.php?movieid=2737" TargetMode="External"/><Relationship Id="rId212" Type="http://schemas.openxmlformats.org/officeDocument/2006/relationships/hyperlink" Target="http://www.boxofficeindia.com/movie.php?movieid=27" TargetMode="External"/><Relationship Id="rId233" Type="http://schemas.openxmlformats.org/officeDocument/2006/relationships/hyperlink" Target="http://www.boxofficeindia.com/movie.php?movieid=38" TargetMode="External"/><Relationship Id="rId254" Type="http://schemas.openxmlformats.org/officeDocument/2006/relationships/hyperlink" Target="http://www.boxofficeindia.com/movie.php?movieid=3224" TargetMode="External"/><Relationship Id="rId28" Type="http://schemas.openxmlformats.org/officeDocument/2006/relationships/hyperlink" Target="http://www.boxofficeindia.com/movie.php?movieid=2974" TargetMode="External"/><Relationship Id="rId49" Type="http://schemas.openxmlformats.org/officeDocument/2006/relationships/hyperlink" Target="http://www.boxofficeindia.com/movie.php?movieid=2519" TargetMode="External"/><Relationship Id="rId114" Type="http://schemas.openxmlformats.org/officeDocument/2006/relationships/hyperlink" Target="http://www.boxofficeindia.com/movie.php?movieid=258" TargetMode="External"/><Relationship Id="rId275" Type="http://schemas.openxmlformats.org/officeDocument/2006/relationships/hyperlink" Target="http://www.boxofficeindia.com/movie.php?movieid=990" TargetMode="External"/><Relationship Id="rId296" Type="http://schemas.openxmlformats.org/officeDocument/2006/relationships/hyperlink" Target="http://www.boxofficeindia.com/movie.php?movieid=1144" TargetMode="External"/><Relationship Id="rId300" Type="http://schemas.openxmlformats.org/officeDocument/2006/relationships/hyperlink" Target="http://www.boxofficeindia.com/movie.php?movieid=73" TargetMode="External"/><Relationship Id="rId60" Type="http://schemas.openxmlformats.org/officeDocument/2006/relationships/hyperlink" Target="http://www.boxofficeindia.com/movie.php?movieid=2961" TargetMode="External"/><Relationship Id="rId81" Type="http://schemas.openxmlformats.org/officeDocument/2006/relationships/hyperlink" Target="http://www.boxofficeindia.com/movie.php?movieid=2935" TargetMode="External"/><Relationship Id="rId135" Type="http://schemas.openxmlformats.org/officeDocument/2006/relationships/hyperlink" Target="http://www.boxofficeindia.com/movie.php?movieid=716" TargetMode="External"/><Relationship Id="rId156" Type="http://schemas.openxmlformats.org/officeDocument/2006/relationships/hyperlink" Target="http://www.boxofficeindia.com/movie.php?movieid=142" TargetMode="External"/><Relationship Id="rId177" Type="http://schemas.openxmlformats.org/officeDocument/2006/relationships/hyperlink" Target="http://www.boxofficeindia.com/movie.php?movieid=239" TargetMode="External"/><Relationship Id="rId198" Type="http://schemas.openxmlformats.org/officeDocument/2006/relationships/hyperlink" Target="http://www.boxofficeindia.com/movie.php?movieid=440" TargetMode="External"/><Relationship Id="rId321" Type="http://schemas.openxmlformats.org/officeDocument/2006/relationships/hyperlink" Target="http://www.boxofficeindia.com/movie.php?movieid=1723" TargetMode="External"/><Relationship Id="rId342" Type="http://schemas.openxmlformats.org/officeDocument/2006/relationships/hyperlink" Target="http://www.boxofficeindia.com/movie.php?movieid=2946" TargetMode="External"/><Relationship Id="rId363" Type="http://schemas.openxmlformats.org/officeDocument/2006/relationships/hyperlink" Target="http://www.boxofficeindia.com/movie.php?movieid=2186" TargetMode="External"/><Relationship Id="rId384" Type="http://schemas.openxmlformats.org/officeDocument/2006/relationships/hyperlink" Target="http://www.boxofficeindia.com/movie.php?movieid=413" TargetMode="External"/><Relationship Id="rId419" Type="http://schemas.openxmlformats.org/officeDocument/2006/relationships/hyperlink" Target="http://www.boxofficeindia.com/movie.php?movieid=2285" TargetMode="External"/><Relationship Id="rId202" Type="http://schemas.openxmlformats.org/officeDocument/2006/relationships/hyperlink" Target="http://www.boxofficeindia.com/movie.php?movieid=3317" TargetMode="External"/><Relationship Id="rId223" Type="http://schemas.openxmlformats.org/officeDocument/2006/relationships/hyperlink" Target="http://www.boxofficeindia.com/movie.php?movieid=3211" TargetMode="External"/><Relationship Id="rId244" Type="http://schemas.openxmlformats.org/officeDocument/2006/relationships/hyperlink" Target="http://www.boxofficeindia.com/movie.php?movieid=92" TargetMode="External"/><Relationship Id="rId430" Type="http://schemas.openxmlformats.org/officeDocument/2006/relationships/hyperlink" Target="http://www.boxofficeindia.com/movie.php?movieid=829" TargetMode="External"/><Relationship Id="rId18" Type="http://schemas.openxmlformats.org/officeDocument/2006/relationships/hyperlink" Target="http://www.boxofficeindia.com/movie.php?movieid=2693" TargetMode="External"/><Relationship Id="rId39" Type="http://schemas.openxmlformats.org/officeDocument/2006/relationships/hyperlink" Target="http://www.boxofficeindia.com/movie.php?movieid=3159" TargetMode="External"/><Relationship Id="rId265" Type="http://schemas.openxmlformats.org/officeDocument/2006/relationships/hyperlink" Target="http://www.boxofficeindia.com/movie.php?movieid=290" TargetMode="External"/><Relationship Id="rId286" Type="http://schemas.openxmlformats.org/officeDocument/2006/relationships/hyperlink" Target="http://www.boxofficeindia.com/movie.php?movieid=1155" TargetMode="External"/><Relationship Id="rId50" Type="http://schemas.openxmlformats.org/officeDocument/2006/relationships/hyperlink" Target="http://www.boxofficeindia.com/movie.php?movieid=2681" TargetMode="External"/><Relationship Id="rId104" Type="http://schemas.openxmlformats.org/officeDocument/2006/relationships/hyperlink" Target="http://www.boxofficeindia.com/movie.php?movieid=309" TargetMode="External"/><Relationship Id="rId125" Type="http://schemas.openxmlformats.org/officeDocument/2006/relationships/hyperlink" Target="http://www.boxofficeindia.com/movie.php?movieid=450" TargetMode="External"/><Relationship Id="rId146" Type="http://schemas.openxmlformats.org/officeDocument/2006/relationships/hyperlink" Target="http://www.boxofficeindia.com/movie.php?movieid=453" TargetMode="External"/><Relationship Id="rId167" Type="http://schemas.openxmlformats.org/officeDocument/2006/relationships/hyperlink" Target="http://www.boxofficeindia.com/movie.php?movieid=197" TargetMode="External"/><Relationship Id="rId188" Type="http://schemas.openxmlformats.org/officeDocument/2006/relationships/hyperlink" Target="http://www.boxofficeindia.com/movie.php?movieid=518" TargetMode="External"/><Relationship Id="rId311" Type="http://schemas.openxmlformats.org/officeDocument/2006/relationships/hyperlink" Target="http://www.boxofficeindia.com/movie.php?movieid=2562" TargetMode="External"/><Relationship Id="rId332" Type="http://schemas.openxmlformats.org/officeDocument/2006/relationships/hyperlink" Target="http://www.boxofficeindia.com/movie.php?movieid=69" TargetMode="External"/><Relationship Id="rId353" Type="http://schemas.openxmlformats.org/officeDocument/2006/relationships/hyperlink" Target="http://www.boxofficeindia.com/movie.php?movieid=2624" TargetMode="External"/><Relationship Id="rId374" Type="http://schemas.openxmlformats.org/officeDocument/2006/relationships/hyperlink" Target="http://www.boxofficeindia.com/movie.php?movieid=542" TargetMode="External"/><Relationship Id="rId395" Type="http://schemas.openxmlformats.org/officeDocument/2006/relationships/hyperlink" Target="http://www.boxofficeindia.com/movie.php?movieid=212" TargetMode="External"/><Relationship Id="rId409" Type="http://schemas.openxmlformats.org/officeDocument/2006/relationships/hyperlink" Target="http://www.boxofficeindia.com/movie.php?movieid=13" TargetMode="External"/><Relationship Id="rId71" Type="http://schemas.openxmlformats.org/officeDocument/2006/relationships/hyperlink" Target="http://www.boxofficeindia.com/movie.php?movieid=2641" TargetMode="External"/><Relationship Id="rId92" Type="http://schemas.openxmlformats.org/officeDocument/2006/relationships/hyperlink" Target="http://www.boxofficeindia.com/movie.php?movieid=2390" TargetMode="External"/><Relationship Id="rId213" Type="http://schemas.openxmlformats.org/officeDocument/2006/relationships/hyperlink" Target="http://www.boxofficeindia.com/movie.php?movieid=5" TargetMode="External"/><Relationship Id="rId234" Type="http://schemas.openxmlformats.org/officeDocument/2006/relationships/hyperlink" Target="http://www.boxofficeindia.com/movie.php?movieid=3083" TargetMode="External"/><Relationship Id="rId420" Type="http://schemas.openxmlformats.org/officeDocument/2006/relationships/hyperlink" Target="http://www.boxofficeindia.com/movie.php?movieid=2127" TargetMode="External"/><Relationship Id="rId2" Type="http://schemas.openxmlformats.org/officeDocument/2006/relationships/hyperlink" Target="http://www.boxofficeindia.com/movie.php?movieid=11" TargetMode="External"/><Relationship Id="rId29" Type="http://schemas.openxmlformats.org/officeDocument/2006/relationships/hyperlink" Target="http://www.boxofficeindia.com/movie.php?movieid=2703" TargetMode="External"/><Relationship Id="rId255" Type="http://schemas.openxmlformats.org/officeDocument/2006/relationships/hyperlink" Target="http://www.boxofficeindia.com/movie.php?movieid=3246" TargetMode="External"/><Relationship Id="rId276" Type="http://schemas.openxmlformats.org/officeDocument/2006/relationships/hyperlink" Target="http://www.boxofficeindia.com/movie.php?movieid=3194" TargetMode="External"/><Relationship Id="rId297" Type="http://schemas.openxmlformats.org/officeDocument/2006/relationships/hyperlink" Target="http://www.boxofficeindia.com/movie.php?movieid=1284" TargetMode="External"/><Relationship Id="rId40" Type="http://schemas.openxmlformats.org/officeDocument/2006/relationships/hyperlink" Target="http://www.boxofficeindia.com/movie.php?movieid=2452" TargetMode="External"/><Relationship Id="rId115" Type="http://schemas.openxmlformats.org/officeDocument/2006/relationships/hyperlink" Target="http://www.boxofficeindia.com/movie.php?movieid=202" TargetMode="External"/><Relationship Id="rId136" Type="http://schemas.openxmlformats.org/officeDocument/2006/relationships/hyperlink" Target="http://www.boxofficeindia.com/movie.php?movieid=137" TargetMode="External"/><Relationship Id="rId157" Type="http://schemas.openxmlformats.org/officeDocument/2006/relationships/hyperlink" Target="http://www.boxofficeindia.com/movie.php?movieid=299" TargetMode="External"/><Relationship Id="rId178" Type="http://schemas.openxmlformats.org/officeDocument/2006/relationships/hyperlink" Target="http://www.boxofficeindia.com/movie.php?movieid=393" TargetMode="External"/><Relationship Id="rId301" Type="http://schemas.openxmlformats.org/officeDocument/2006/relationships/hyperlink" Target="http://www.boxofficeindia.com/movie.php?movieid=3145" TargetMode="External"/><Relationship Id="rId322" Type="http://schemas.openxmlformats.org/officeDocument/2006/relationships/hyperlink" Target="http://www.boxofficeindia.com/movie.php?movieid=1700" TargetMode="External"/><Relationship Id="rId343" Type="http://schemas.openxmlformats.org/officeDocument/2006/relationships/hyperlink" Target="http://www.boxofficeindia.com/movie.php?movieid=2982" TargetMode="External"/><Relationship Id="rId364" Type="http://schemas.openxmlformats.org/officeDocument/2006/relationships/hyperlink" Target="http://www.boxofficeindia.com/movie.php?movieid=744" TargetMode="External"/><Relationship Id="rId61" Type="http://schemas.openxmlformats.org/officeDocument/2006/relationships/hyperlink" Target="http://www.boxofficeindia.com/movie.php?movieid=2797" TargetMode="External"/><Relationship Id="rId82" Type="http://schemas.openxmlformats.org/officeDocument/2006/relationships/hyperlink" Target="http://www.boxofficeindia.com/movie.php?movieid=3169" TargetMode="External"/><Relationship Id="rId199" Type="http://schemas.openxmlformats.org/officeDocument/2006/relationships/hyperlink" Target="http://www.boxofficeindia.com/movie.php?movieid=2482" TargetMode="External"/><Relationship Id="rId203" Type="http://schemas.openxmlformats.org/officeDocument/2006/relationships/hyperlink" Target="http://www.boxofficeindia.com/movie.php?movieid=1304" TargetMode="External"/><Relationship Id="rId385" Type="http://schemas.openxmlformats.org/officeDocument/2006/relationships/hyperlink" Target="http://www.boxofficeindia.com/movie.php?movieid=387" TargetMode="External"/><Relationship Id="rId19" Type="http://schemas.openxmlformats.org/officeDocument/2006/relationships/hyperlink" Target="http://www.boxofficeindia.com/movie.php?movieid=2503" TargetMode="External"/><Relationship Id="rId224" Type="http://schemas.openxmlformats.org/officeDocument/2006/relationships/hyperlink" Target="http://www.boxofficeindia.com/movie.php?movieid=1292" TargetMode="External"/><Relationship Id="rId245" Type="http://schemas.openxmlformats.org/officeDocument/2006/relationships/hyperlink" Target="http://www.boxofficeindia.com/movie.php?movieid=3296" TargetMode="External"/><Relationship Id="rId266" Type="http://schemas.openxmlformats.org/officeDocument/2006/relationships/hyperlink" Target="http://www.boxofficeindia.com/movie.php?movieid=3155" TargetMode="External"/><Relationship Id="rId287" Type="http://schemas.openxmlformats.org/officeDocument/2006/relationships/hyperlink" Target="http://www.boxofficeindia.com/movie.php?movieid=1237" TargetMode="External"/><Relationship Id="rId410" Type="http://schemas.openxmlformats.org/officeDocument/2006/relationships/hyperlink" Target="http://www.boxofficeindia.com/movie.php?movieid=187" TargetMode="External"/><Relationship Id="rId431" Type="http://schemas.openxmlformats.org/officeDocument/2006/relationships/hyperlink" Target="http://www.boxofficeindia.com/actor.php?actorid=175&amp;role=24" TargetMode="External"/><Relationship Id="rId30" Type="http://schemas.openxmlformats.org/officeDocument/2006/relationships/hyperlink" Target="http://www.boxofficeindia.com/movie.php?movieid=2827" TargetMode="External"/><Relationship Id="rId105" Type="http://schemas.openxmlformats.org/officeDocument/2006/relationships/hyperlink" Target="http://www.boxofficeindia.com/movie.php?movieid=176" TargetMode="External"/><Relationship Id="rId126" Type="http://schemas.openxmlformats.org/officeDocument/2006/relationships/hyperlink" Target="http://www.boxofficeindia.com/movie.php?movieid=317" TargetMode="External"/><Relationship Id="rId147" Type="http://schemas.openxmlformats.org/officeDocument/2006/relationships/hyperlink" Target="http://www.boxofficeindia.com/movie.php?movieid=138" TargetMode="External"/><Relationship Id="rId168" Type="http://schemas.openxmlformats.org/officeDocument/2006/relationships/hyperlink" Target="http://www.boxofficeindia.com/movie.php?movieid=622" TargetMode="External"/><Relationship Id="rId312" Type="http://schemas.openxmlformats.org/officeDocument/2006/relationships/hyperlink" Target="http://www.boxofficeindia.com/movie.php?movieid=2512" TargetMode="External"/><Relationship Id="rId333" Type="http://schemas.openxmlformats.org/officeDocument/2006/relationships/hyperlink" Target="http://www.boxofficeindia.com/movie.php?movieid=59" TargetMode="External"/><Relationship Id="rId354" Type="http://schemas.openxmlformats.org/officeDocument/2006/relationships/hyperlink" Target="http://www.boxofficeindia.com/movie.php?movieid=2509" TargetMode="External"/><Relationship Id="rId51" Type="http://schemas.openxmlformats.org/officeDocument/2006/relationships/hyperlink" Target="http://www.boxofficeindia.com/movie.php?movieid=2915" TargetMode="External"/><Relationship Id="rId72" Type="http://schemas.openxmlformats.org/officeDocument/2006/relationships/hyperlink" Target="http://www.boxofficeindia.com/movie.php?movieid=2424" TargetMode="External"/><Relationship Id="rId93" Type="http://schemas.openxmlformats.org/officeDocument/2006/relationships/hyperlink" Target="http://www.boxofficeindia.com/movie.php?movieid=2384" TargetMode="External"/><Relationship Id="rId189" Type="http://schemas.openxmlformats.org/officeDocument/2006/relationships/hyperlink" Target="http://www.boxofficeindia.com/movie.php?movieid=374" TargetMode="External"/><Relationship Id="rId375" Type="http://schemas.openxmlformats.org/officeDocument/2006/relationships/hyperlink" Target="http://www.boxofficeindia.com/movie.php?movieid=528" TargetMode="External"/><Relationship Id="rId396" Type="http://schemas.openxmlformats.org/officeDocument/2006/relationships/hyperlink" Target="http://www.boxofficeindia.com/movie.php?movieid=337" TargetMode="External"/><Relationship Id="rId3" Type="http://schemas.openxmlformats.org/officeDocument/2006/relationships/hyperlink" Target="http://www.boxofficeindia.com/movie.php?movieid=3036" TargetMode="External"/><Relationship Id="rId214" Type="http://schemas.openxmlformats.org/officeDocument/2006/relationships/hyperlink" Target="http://www.boxofficeindia.com/movie.php?movieid=2870" TargetMode="External"/><Relationship Id="rId235" Type="http://schemas.openxmlformats.org/officeDocument/2006/relationships/hyperlink" Target="http://www.boxofficeindia.com/movie.php?movieid=3125" TargetMode="External"/><Relationship Id="rId256" Type="http://schemas.openxmlformats.org/officeDocument/2006/relationships/hyperlink" Target="http://www.boxofficeindia.com/movie.php?movieid=32" TargetMode="External"/><Relationship Id="rId277" Type="http://schemas.openxmlformats.org/officeDocument/2006/relationships/hyperlink" Target="http://www.boxofficeindia.com/movie.php?movieid=2319" TargetMode="External"/><Relationship Id="rId298" Type="http://schemas.openxmlformats.org/officeDocument/2006/relationships/hyperlink" Target="http://www.boxofficeindia.com/movie.php?movieid=2296" TargetMode="External"/><Relationship Id="rId400" Type="http://schemas.openxmlformats.org/officeDocument/2006/relationships/hyperlink" Target="http://www.boxofficeindia.com/movie.php?movieid=144" TargetMode="External"/><Relationship Id="rId421" Type="http://schemas.openxmlformats.org/officeDocument/2006/relationships/hyperlink" Target="http://www.boxofficeindia.com/movie.php?movieid=2785" TargetMode="External"/><Relationship Id="rId116" Type="http://schemas.openxmlformats.org/officeDocument/2006/relationships/hyperlink" Target="http://www.boxofficeindia.com/movie.php?movieid=234" TargetMode="External"/><Relationship Id="rId137" Type="http://schemas.openxmlformats.org/officeDocument/2006/relationships/hyperlink" Target="http://www.boxofficeindia.com/movie.php?movieid=369" TargetMode="External"/><Relationship Id="rId158" Type="http://schemas.openxmlformats.org/officeDocument/2006/relationships/hyperlink" Target="http://www.boxofficeindia.com/movie.php?movieid=457" TargetMode="External"/><Relationship Id="rId302" Type="http://schemas.openxmlformats.org/officeDocument/2006/relationships/hyperlink" Target="http://www.boxofficeindia.com/movie.php?movieid=3144" TargetMode="External"/><Relationship Id="rId323" Type="http://schemas.openxmlformats.org/officeDocument/2006/relationships/hyperlink" Target="http://www.boxofficeindia.com/movie.php?movieid=373" TargetMode="External"/><Relationship Id="rId344" Type="http://schemas.openxmlformats.org/officeDocument/2006/relationships/hyperlink" Target="http://www.boxofficeindia.com/movie.php?movieid=2976" TargetMode="External"/><Relationship Id="rId20" Type="http://schemas.openxmlformats.org/officeDocument/2006/relationships/hyperlink" Target="http://www.boxofficeindia.com/movie.php?movieid=2704" TargetMode="External"/><Relationship Id="rId41" Type="http://schemas.openxmlformats.org/officeDocument/2006/relationships/hyperlink" Target="http://www.boxofficeindia.com/movie.php?movieid=2642" TargetMode="External"/><Relationship Id="rId62" Type="http://schemas.openxmlformats.org/officeDocument/2006/relationships/hyperlink" Target="http://www.boxofficeindia.com/movie.php?movieid=2788" TargetMode="External"/><Relationship Id="rId83" Type="http://schemas.openxmlformats.org/officeDocument/2006/relationships/hyperlink" Target="http://www.boxofficeindia.com/movie.php?movieid=3161" TargetMode="External"/><Relationship Id="rId179" Type="http://schemas.openxmlformats.org/officeDocument/2006/relationships/hyperlink" Target="http://www.boxofficeindia.com/movie.php?movieid=225" TargetMode="External"/><Relationship Id="rId365" Type="http://schemas.openxmlformats.org/officeDocument/2006/relationships/hyperlink" Target="http://www.boxofficeindia.com/movie.php?movieid=677" TargetMode="External"/><Relationship Id="rId386" Type="http://schemas.openxmlformats.org/officeDocument/2006/relationships/hyperlink" Target="http://www.boxofficeindia.com/movie.php?movieid=368" TargetMode="External"/><Relationship Id="rId190" Type="http://schemas.openxmlformats.org/officeDocument/2006/relationships/hyperlink" Target="http://www.boxofficeindia.com/movie.php?movieid=283" TargetMode="External"/><Relationship Id="rId204" Type="http://schemas.openxmlformats.org/officeDocument/2006/relationships/hyperlink" Target="http://www.boxofficeindia.com/movie.php?movieid=65" TargetMode="External"/><Relationship Id="rId225" Type="http://schemas.openxmlformats.org/officeDocument/2006/relationships/hyperlink" Target="http://www.boxofficeindia.com/movie.php?movieid=2882" TargetMode="External"/><Relationship Id="rId246" Type="http://schemas.openxmlformats.org/officeDocument/2006/relationships/hyperlink" Target="http://www.boxofficeindia.com/movie.php?movieid=96" TargetMode="External"/><Relationship Id="rId267" Type="http://schemas.openxmlformats.org/officeDocument/2006/relationships/hyperlink" Target="http://www.boxofficeindia.com/movie.php?movieid=2666" TargetMode="External"/><Relationship Id="rId288" Type="http://schemas.openxmlformats.org/officeDocument/2006/relationships/hyperlink" Target="http://www.boxofficeindia.com/movie.php?movieid=2298" TargetMode="External"/><Relationship Id="rId411" Type="http://schemas.openxmlformats.org/officeDocument/2006/relationships/hyperlink" Target="http://www.boxofficeindia.com/movie.php?movieid=10" TargetMode="External"/><Relationship Id="rId432" Type="http://schemas.openxmlformats.org/officeDocument/2006/relationships/hyperlink" Target="http://www.boxofficeindia.com/movie.php?movieid=792" TargetMode="External"/><Relationship Id="rId106" Type="http://schemas.openxmlformats.org/officeDocument/2006/relationships/hyperlink" Target="http://www.boxofficeindia.com/movie.php?movieid=384" TargetMode="External"/><Relationship Id="rId127" Type="http://schemas.openxmlformats.org/officeDocument/2006/relationships/hyperlink" Target="http://www.boxofficeindia.com/movie.php?movieid=750" TargetMode="External"/><Relationship Id="rId313" Type="http://schemas.openxmlformats.org/officeDocument/2006/relationships/hyperlink" Target="http://www.boxofficeindia.com/movie.php?movieid=2457" TargetMode="External"/><Relationship Id="rId10" Type="http://schemas.openxmlformats.org/officeDocument/2006/relationships/hyperlink" Target="http://www.boxofficeindia.com/movie.php?movieid=3033" TargetMode="External"/><Relationship Id="rId31" Type="http://schemas.openxmlformats.org/officeDocument/2006/relationships/hyperlink" Target="http://www.boxofficeindia.com/movie.php?movieid=2455" TargetMode="External"/><Relationship Id="rId52" Type="http://schemas.openxmlformats.org/officeDocument/2006/relationships/hyperlink" Target="http://www.boxofficeindia.com/movie.php?movieid=3090" TargetMode="External"/><Relationship Id="rId73" Type="http://schemas.openxmlformats.org/officeDocument/2006/relationships/hyperlink" Target="http://www.boxofficeindia.com/movie.php?movieid=2634" TargetMode="External"/><Relationship Id="rId94" Type="http://schemas.openxmlformats.org/officeDocument/2006/relationships/hyperlink" Target="http://www.boxofficeindia.com/movie.php?movieid=2541" TargetMode="External"/><Relationship Id="rId148" Type="http://schemas.openxmlformats.org/officeDocument/2006/relationships/hyperlink" Target="http://www.boxofficeindia.com/movie.php?movieid=311" TargetMode="External"/><Relationship Id="rId169" Type="http://schemas.openxmlformats.org/officeDocument/2006/relationships/hyperlink" Target="http://www.boxofficeindia.com/movie.php?movieid=336" TargetMode="External"/><Relationship Id="rId334" Type="http://schemas.openxmlformats.org/officeDocument/2006/relationships/hyperlink" Target="http://www.boxofficeindia.com/movie.php?movieid=215" TargetMode="External"/><Relationship Id="rId355" Type="http://schemas.openxmlformats.org/officeDocument/2006/relationships/hyperlink" Target="http://www.boxofficeindia.com/movie.php?movieid=2572" TargetMode="External"/><Relationship Id="rId376" Type="http://schemas.openxmlformats.org/officeDocument/2006/relationships/hyperlink" Target="http://www.boxofficeindia.com/movie.php?movieid=513" TargetMode="External"/><Relationship Id="rId397" Type="http://schemas.openxmlformats.org/officeDocument/2006/relationships/hyperlink" Target="http://www.boxofficeindia.com/movie.php?movieid=159" TargetMode="External"/><Relationship Id="rId4" Type="http://schemas.openxmlformats.org/officeDocument/2006/relationships/hyperlink" Target="http://www.boxofficeindia.com/movie.php?movieid=2678" TargetMode="External"/><Relationship Id="rId180" Type="http://schemas.openxmlformats.org/officeDocument/2006/relationships/hyperlink" Target="http://www.boxofficeindia.com/movie.php?movieid=396" TargetMode="External"/><Relationship Id="rId215" Type="http://schemas.openxmlformats.org/officeDocument/2006/relationships/hyperlink" Target="http://www.boxofficeindia.com/movie.php?movieid=989" TargetMode="External"/><Relationship Id="rId236" Type="http://schemas.openxmlformats.org/officeDocument/2006/relationships/hyperlink" Target="http://www.boxofficeindia.com/movie.php?movieid=3193" TargetMode="External"/><Relationship Id="rId257" Type="http://schemas.openxmlformats.org/officeDocument/2006/relationships/hyperlink" Target="http://www.boxofficeindia.com/movie.php?movieid=1287" TargetMode="External"/><Relationship Id="rId278" Type="http://schemas.openxmlformats.org/officeDocument/2006/relationships/hyperlink" Target="http://www.boxofficeindia.com/movie.php?movieid=2101" TargetMode="External"/><Relationship Id="rId401" Type="http://schemas.openxmlformats.org/officeDocument/2006/relationships/hyperlink" Target="http://www.boxofficeindia.com/movie.php?movieid=112" TargetMode="External"/><Relationship Id="rId422" Type="http://schemas.openxmlformats.org/officeDocument/2006/relationships/hyperlink" Target="http://www.boxofficeindia.com/movie.php?movieid=2962" TargetMode="External"/><Relationship Id="rId303" Type="http://schemas.openxmlformats.org/officeDocument/2006/relationships/hyperlink" Target="http://www.boxofficeindia.com/movie.php?movieid=3038" TargetMode="External"/><Relationship Id="rId42" Type="http://schemas.openxmlformats.org/officeDocument/2006/relationships/hyperlink" Target="http://www.boxofficeindia.com/movie.php?movieid=2988" TargetMode="External"/><Relationship Id="rId84" Type="http://schemas.openxmlformats.org/officeDocument/2006/relationships/hyperlink" Target="http://www.boxofficeindia.com/movie.php?movieid=2623" TargetMode="External"/><Relationship Id="rId138" Type="http://schemas.openxmlformats.org/officeDocument/2006/relationships/hyperlink" Target="http://www.boxofficeindia.com/movie.php?movieid=452" TargetMode="External"/><Relationship Id="rId345" Type="http://schemas.openxmlformats.org/officeDocument/2006/relationships/hyperlink" Target="http://www.boxofficeindia.com/movie.php?movieid=3010" TargetMode="External"/><Relationship Id="rId387" Type="http://schemas.openxmlformats.org/officeDocument/2006/relationships/hyperlink" Target="http://www.boxofficeindia.com/movie.php?movieid=376" TargetMode="External"/><Relationship Id="rId191" Type="http://schemas.openxmlformats.org/officeDocument/2006/relationships/hyperlink" Target="http://www.boxofficeindia.com/movie.php?movieid=157" TargetMode="External"/><Relationship Id="rId205" Type="http://schemas.openxmlformats.org/officeDocument/2006/relationships/hyperlink" Target="http://www.boxofficeindia.com/movie.php?movieid=887" TargetMode="External"/><Relationship Id="rId247" Type="http://schemas.openxmlformats.org/officeDocument/2006/relationships/hyperlink" Target="http://www.boxofficeindia.com/movie.php?movieid=33" TargetMode="External"/><Relationship Id="rId412" Type="http://schemas.openxmlformats.org/officeDocument/2006/relationships/hyperlink" Target="http://www.boxofficeindia.com/movie.php?movieid=7" TargetMode="External"/><Relationship Id="rId107" Type="http://schemas.openxmlformats.org/officeDocument/2006/relationships/hyperlink" Target="http://www.boxofficeindia.com/movie.php?movieid=266" TargetMode="External"/><Relationship Id="rId289" Type="http://schemas.openxmlformats.org/officeDocument/2006/relationships/hyperlink" Target="http://www.boxofficeindia.com/movie.php?movieid=2219" TargetMode="External"/><Relationship Id="rId11" Type="http://schemas.openxmlformats.org/officeDocument/2006/relationships/hyperlink" Target="http://www.boxofficeindia.com/movie.php?movieid=2817" TargetMode="External"/><Relationship Id="rId53" Type="http://schemas.openxmlformats.org/officeDocument/2006/relationships/hyperlink" Target="http://www.boxofficeindia.com/movie.php?movieid=2670" TargetMode="External"/><Relationship Id="rId149" Type="http://schemas.openxmlformats.org/officeDocument/2006/relationships/hyperlink" Target="http://www.boxofficeindia.com/movie.php?movieid=284" TargetMode="External"/><Relationship Id="rId314" Type="http://schemas.openxmlformats.org/officeDocument/2006/relationships/hyperlink" Target="http://www.boxofficeindia.com/movie.php?movieid=2426" TargetMode="External"/><Relationship Id="rId356" Type="http://schemas.openxmlformats.org/officeDocument/2006/relationships/hyperlink" Target="http://www.boxofficeindia.com/movie.php?movieid=2612" TargetMode="External"/><Relationship Id="rId398" Type="http://schemas.openxmlformats.org/officeDocument/2006/relationships/hyperlink" Target="http://www.boxofficeindia.com/movie.php?movieid=161" TargetMode="External"/><Relationship Id="rId95" Type="http://schemas.openxmlformats.org/officeDocument/2006/relationships/hyperlink" Target="http://www.boxofficeindia.com/movie.php?movieid=2773" TargetMode="External"/><Relationship Id="rId160" Type="http://schemas.openxmlformats.org/officeDocument/2006/relationships/hyperlink" Target="http://www.boxofficeindia.com/movie.php?movieid=601" TargetMode="External"/><Relationship Id="rId216" Type="http://schemas.openxmlformats.org/officeDocument/2006/relationships/hyperlink" Target="http://www.boxofficeindia.com/movie.php?movieid=2344" TargetMode="External"/><Relationship Id="rId423" Type="http://schemas.openxmlformats.org/officeDocument/2006/relationships/hyperlink" Target="http://www.boxofficeindia.com/movie.php?movieid=2904" TargetMode="External"/><Relationship Id="rId258" Type="http://schemas.openxmlformats.org/officeDocument/2006/relationships/hyperlink" Target="http://www.boxofficeindia.com/movie.php?movieid=6" TargetMode="External"/><Relationship Id="rId22" Type="http://schemas.openxmlformats.org/officeDocument/2006/relationships/hyperlink" Target="http://www.boxofficeindia.com/movie.php?movieid=2548" TargetMode="External"/><Relationship Id="rId64" Type="http://schemas.openxmlformats.org/officeDocument/2006/relationships/hyperlink" Target="http://www.boxofficeindia.com/movie.php?movieid=2556" TargetMode="External"/><Relationship Id="rId118" Type="http://schemas.openxmlformats.org/officeDocument/2006/relationships/hyperlink" Target="http://www.boxofficeindia.com/movie.php?movieid=451" TargetMode="External"/><Relationship Id="rId325" Type="http://schemas.openxmlformats.org/officeDocument/2006/relationships/hyperlink" Target="http://www.boxofficeindia.com/movie.php?movieid=352" TargetMode="External"/><Relationship Id="rId367" Type="http://schemas.openxmlformats.org/officeDocument/2006/relationships/hyperlink" Target="http://www.boxofficeindia.com/movie.php?movieid=696" TargetMode="External"/><Relationship Id="rId171" Type="http://schemas.openxmlformats.org/officeDocument/2006/relationships/hyperlink" Target="http://www.boxofficeindia.com/movie.php?movieid=662" TargetMode="External"/><Relationship Id="rId227" Type="http://schemas.openxmlformats.org/officeDocument/2006/relationships/hyperlink" Target="http://www.boxofficeindia.com/movie.php?movieid=1061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xofficeindia.com/actor.php?actorid=739" TargetMode="External"/><Relationship Id="rId18" Type="http://schemas.openxmlformats.org/officeDocument/2006/relationships/hyperlink" Target="http://www.boxofficeindia.com/actor.php?actorid=956" TargetMode="External"/><Relationship Id="rId26" Type="http://schemas.openxmlformats.org/officeDocument/2006/relationships/hyperlink" Target="http://www.boxofficeindia.com/actor.php?actorid=492" TargetMode="External"/><Relationship Id="rId39" Type="http://schemas.openxmlformats.org/officeDocument/2006/relationships/hyperlink" Target="http://www.boxofficeindia.com/actor.php?actorid=966" TargetMode="External"/><Relationship Id="rId3" Type="http://schemas.openxmlformats.org/officeDocument/2006/relationships/hyperlink" Target="http://www.boxofficeindia.com/actor.php?actorid=315" TargetMode="External"/><Relationship Id="rId21" Type="http://schemas.openxmlformats.org/officeDocument/2006/relationships/hyperlink" Target="http://www.boxofficeindia.com/actor.php?actorid=2281" TargetMode="External"/><Relationship Id="rId34" Type="http://schemas.openxmlformats.org/officeDocument/2006/relationships/hyperlink" Target="http://www.boxofficeindia.com/actor.php?actorid=87" TargetMode="External"/><Relationship Id="rId42" Type="http://schemas.openxmlformats.org/officeDocument/2006/relationships/hyperlink" Target="http://www.boxofficeindia.com/actor.php?actorid=466" TargetMode="External"/><Relationship Id="rId47" Type="http://schemas.openxmlformats.org/officeDocument/2006/relationships/hyperlink" Target="http://www.boxofficeindia.com/actor.php?actorid=3085" TargetMode="External"/><Relationship Id="rId50" Type="http://schemas.openxmlformats.org/officeDocument/2006/relationships/hyperlink" Target="http://www.boxofficeindia.com/actor.php?actorid=398" TargetMode="External"/><Relationship Id="rId7" Type="http://schemas.openxmlformats.org/officeDocument/2006/relationships/hyperlink" Target="http://www.boxofficeindia.com/actor.php?actorid=522" TargetMode="External"/><Relationship Id="rId12" Type="http://schemas.openxmlformats.org/officeDocument/2006/relationships/hyperlink" Target="http://www.boxofficeindia.com/actor.php?actorid=459" TargetMode="External"/><Relationship Id="rId17" Type="http://schemas.openxmlformats.org/officeDocument/2006/relationships/hyperlink" Target="http://www.boxofficeindia.com/actor.php?actorid=4227" TargetMode="External"/><Relationship Id="rId25" Type="http://schemas.openxmlformats.org/officeDocument/2006/relationships/hyperlink" Target="http://www.boxofficeindia.com/actor.php?actorid=425" TargetMode="External"/><Relationship Id="rId33" Type="http://schemas.openxmlformats.org/officeDocument/2006/relationships/hyperlink" Target="http://www.boxofficeindia.com/actor.php?actorid=619" TargetMode="External"/><Relationship Id="rId38" Type="http://schemas.openxmlformats.org/officeDocument/2006/relationships/hyperlink" Target="http://www.boxofficeindia.com/actor.php?actorid=977" TargetMode="External"/><Relationship Id="rId46" Type="http://schemas.openxmlformats.org/officeDocument/2006/relationships/hyperlink" Target="http://www.boxofficeindia.com/actor.php?actorid=1250" TargetMode="External"/><Relationship Id="rId2" Type="http://schemas.openxmlformats.org/officeDocument/2006/relationships/hyperlink" Target="http://www.boxofficeindia.com/actor.php?actorid=88" TargetMode="External"/><Relationship Id="rId16" Type="http://schemas.openxmlformats.org/officeDocument/2006/relationships/hyperlink" Target="http://www.boxofficeindia.com/actor.php?actorid=561" TargetMode="External"/><Relationship Id="rId20" Type="http://schemas.openxmlformats.org/officeDocument/2006/relationships/hyperlink" Target="http://www.boxofficeindia.com/actor.php?actorid=722" TargetMode="External"/><Relationship Id="rId29" Type="http://schemas.openxmlformats.org/officeDocument/2006/relationships/hyperlink" Target="http://www.boxofficeindia.com/actor.php?actorid=591" TargetMode="External"/><Relationship Id="rId41" Type="http://schemas.openxmlformats.org/officeDocument/2006/relationships/hyperlink" Target="http://www.boxofficeindia.com/actor.php?actorid=489" TargetMode="External"/><Relationship Id="rId1" Type="http://schemas.openxmlformats.org/officeDocument/2006/relationships/hyperlink" Target="http://www.boxofficeindia.com/actor.php?actorid=550" TargetMode="External"/><Relationship Id="rId6" Type="http://schemas.openxmlformats.org/officeDocument/2006/relationships/hyperlink" Target="http://www.boxofficeindia.com/actor.php?actorid=328" TargetMode="External"/><Relationship Id="rId11" Type="http://schemas.openxmlformats.org/officeDocument/2006/relationships/hyperlink" Target="http://www.boxofficeindia.com/actor.php?actorid=527" TargetMode="External"/><Relationship Id="rId24" Type="http://schemas.openxmlformats.org/officeDocument/2006/relationships/hyperlink" Target="http://www.boxofficeindia.com/actor.php?actorid=483" TargetMode="External"/><Relationship Id="rId32" Type="http://schemas.openxmlformats.org/officeDocument/2006/relationships/hyperlink" Target="http://www.boxofficeindia.com/actor.php?actorid=332" TargetMode="External"/><Relationship Id="rId37" Type="http://schemas.openxmlformats.org/officeDocument/2006/relationships/hyperlink" Target="http://www.boxofficeindia.com/actor.php?actorid=4090" TargetMode="External"/><Relationship Id="rId40" Type="http://schemas.openxmlformats.org/officeDocument/2006/relationships/hyperlink" Target="http://www.boxofficeindia.com/actor.php?actorid=1999" TargetMode="External"/><Relationship Id="rId45" Type="http://schemas.openxmlformats.org/officeDocument/2006/relationships/hyperlink" Target="http://www.boxofficeindia.com/actor.php?actorid=530" TargetMode="External"/><Relationship Id="rId5" Type="http://schemas.openxmlformats.org/officeDocument/2006/relationships/hyperlink" Target="http://www.boxofficeindia.com/actor.php?actorid=899" TargetMode="External"/><Relationship Id="rId15" Type="http://schemas.openxmlformats.org/officeDocument/2006/relationships/hyperlink" Target="http://www.boxofficeindia.com/actor.php?actorid=970" TargetMode="External"/><Relationship Id="rId23" Type="http://schemas.openxmlformats.org/officeDocument/2006/relationships/hyperlink" Target="http://www.boxofficeindia.com/actor.php?actorid=778" TargetMode="External"/><Relationship Id="rId28" Type="http://schemas.openxmlformats.org/officeDocument/2006/relationships/hyperlink" Target="http://www.boxofficeindia.com/actor.php?actorid=992" TargetMode="External"/><Relationship Id="rId36" Type="http://schemas.openxmlformats.org/officeDocument/2006/relationships/hyperlink" Target="http://www.boxofficeindia.com/actor.php?actorid=617" TargetMode="External"/><Relationship Id="rId49" Type="http://schemas.openxmlformats.org/officeDocument/2006/relationships/hyperlink" Target="http://www.boxofficeindia.com/actor.php?actorid=6512" TargetMode="External"/><Relationship Id="rId10" Type="http://schemas.openxmlformats.org/officeDocument/2006/relationships/hyperlink" Target="http://www.boxofficeindia.com/actor.php?actorid=779" TargetMode="External"/><Relationship Id="rId19" Type="http://schemas.openxmlformats.org/officeDocument/2006/relationships/hyperlink" Target="http://www.boxofficeindia.com/actor.php?actorid=494" TargetMode="External"/><Relationship Id="rId31" Type="http://schemas.openxmlformats.org/officeDocument/2006/relationships/hyperlink" Target="http://www.boxofficeindia.com/actor.php?actorid=976" TargetMode="External"/><Relationship Id="rId44" Type="http://schemas.openxmlformats.org/officeDocument/2006/relationships/hyperlink" Target="http://www.boxofficeindia.com/actor.php?actorid=2627" TargetMode="External"/><Relationship Id="rId4" Type="http://schemas.openxmlformats.org/officeDocument/2006/relationships/hyperlink" Target="http://www.boxofficeindia.com/actor.php?actorid=124" TargetMode="External"/><Relationship Id="rId9" Type="http://schemas.openxmlformats.org/officeDocument/2006/relationships/hyperlink" Target="http://www.boxofficeindia.com/actor.php?actorid=191" TargetMode="External"/><Relationship Id="rId14" Type="http://schemas.openxmlformats.org/officeDocument/2006/relationships/hyperlink" Target="http://www.boxofficeindia.com/actor.php?actorid=730" TargetMode="External"/><Relationship Id="rId22" Type="http://schemas.openxmlformats.org/officeDocument/2006/relationships/hyperlink" Target="http://www.boxofficeindia.com/actor.php?actorid=214" TargetMode="External"/><Relationship Id="rId27" Type="http://schemas.openxmlformats.org/officeDocument/2006/relationships/hyperlink" Target="http://www.boxofficeindia.com/actor.php?actorid=796" TargetMode="External"/><Relationship Id="rId30" Type="http://schemas.openxmlformats.org/officeDocument/2006/relationships/hyperlink" Target="http://www.boxofficeindia.com/actor.php?actorid=2108" TargetMode="External"/><Relationship Id="rId35" Type="http://schemas.openxmlformats.org/officeDocument/2006/relationships/hyperlink" Target="http://www.boxofficeindia.com/actor.php?actorid=571" TargetMode="External"/><Relationship Id="rId43" Type="http://schemas.openxmlformats.org/officeDocument/2006/relationships/hyperlink" Target="http://www.boxofficeindia.com/actor.php?actorid=4123" TargetMode="External"/><Relationship Id="rId48" Type="http://schemas.openxmlformats.org/officeDocument/2006/relationships/hyperlink" Target="http://www.boxofficeindia.com/actor.php?actorid=1008" TargetMode="External"/><Relationship Id="rId8" Type="http://schemas.openxmlformats.org/officeDocument/2006/relationships/hyperlink" Target="http://www.boxofficeindia.com/actor.php?actorid=711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xofficeindia.com/banner.php?bannerid=69" TargetMode="External"/><Relationship Id="rId18" Type="http://schemas.openxmlformats.org/officeDocument/2006/relationships/hyperlink" Target="http://www.boxofficeindia.com/banner.php?bannerid=128" TargetMode="External"/><Relationship Id="rId26" Type="http://schemas.openxmlformats.org/officeDocument/2006/relationships/hyperlink" Target="http://www.boxofficeindia.com/banner.php?bannerid=130" TargetMode="External"/><Relationship Id="rId39" Type="http://schemas.openxmlformats.org/officeDocument/2006/relationships/hyperlink" Target="http://www.boxofficeindia.com/banner.php?bannerid=80" TargetMode="External"/><Relationship Id="rId3" Type="http://schemas.openxmlformats.org/officeDocument/2006/relationships/hyperlink" Target="http://www.boxofficeindia.com/banner.php?bannerid=95" TargetMode="External"/><Relationship Id="rId21" Type="http://schemas.openxmlformats.org/officeDocument/2006/relationships/hyperlink" Target="http://www.boxofficeindia.com/banner.php?bannerid=103" TargetMode="External"/><Relationship Id="rId34" Type="http://schemas.openxmlformats.org/officeDocument/2006/relationships/hyperlink" Target="http://www.boxofficeindia.com/banner.php?bannerid=1001" TargetMode="External"/><Relationship Id="rId42" Type="http://schemas.openxmlformats.org/officeDocument/2006/relationships/hyperlink" Target="http://www.boxofficeindia.com/banner.php?bannerid=117" TargetMode="External"/><Relationship Id="rId47" Type="http://schemas.openxmlformats.org/officeDocument/2006/relationships/hyperlink" Target="http://www.boxofficeindia.com/banner.php?bannerid=149" TargetMode="External"/><Relationship Id="rId50" Type="http://schemas.openxmlformats.org/officeDocument/2006/relationships/hyperlink" Target="http://www.boxofficeindia.com/banner.php?bannerid=899" TargetMode="External"/><Relationship Id="rId7" Type="http://schemas.openxmlformats.org/officeDocument/2006/relationships/hyperlink" Target="http://www.boxofficeindia.com/banner.php?bannerid=61" TargetMode="External"/><Relationship Id="rId12" Type="http://schemas.openxmlformats.org/officeDocument/2006/relationships/hyperlink" Target="http://www.boxofficeindia.com/banner.php?bannerid=216" TargetMode="External"/><Relationship Id="rId17" Type="http://schemas.openxmlformats.org/officeDocument/2006/relationships/hyperlink" Target="http://www.boxofficeindia.com/banner.php?bannerid=99" TargetMode="External"/><Relationship Id="rId25" Type="http://schemas.openxmlformats.org/officeDocument/2006/relationships/hyperlink" Target="http://www.boxofficeindia.com/banner.php?bannerid=219" TargetMode="External"/><Relationship Id="rId33" Type="http://schemas.openxmlformats.org/officeDocument/2006/relationships/hyperlink" Target="http://www.boxofficeindia.com/banner.php?bannerid=194" TargetMode="External"/><Relationship Id="rId38" Type="http://schemas.openxmlformats.org/officeDocument/2006/relationships/hyperlink" Target="http://www.boxofficeindia.com/banner.php?bannerid=76" TargetMode="External"/><Relationship Id="rId46" Type="http://schemas.openxmlformats.org/officeDocument/2006/relationships/hyperlink" Target="http://www.boxofficeindia.com/banner.php?bannerid=141" TargetMode="External"/><Relationship Id="rId2" Type="http://schemas.openxmlformats.org/officeDocument/2006/relationships/hyperlink" Target="http://www.boxofficeindia.com/banner.php?bannerid=59" TargetMode="External"/><Relationship Id="rId16" Type="http://schemas.openxmlformats.org/officeDocument/2006/relationships/hyperlink" Target="http://www.boxofficeindia.com/banner.php?bannerid=68" TargetMode="External"/><Relationship Id="rId20" Type="http://schemas.openxmlformats.org/officeDocument/2006/relationships/hyperlink" Target="http://www.boxofficeindia.com/banner.php?bannerid=914" TargetMode="External"/><Relationship Id="rId29" Type="http://schemas.openxmlformats.org/officeDocument/2006/relationships/hyperlink" Target="http://www.boxofficeindia.com/banner.php?bannerid=274" TargetMode="External"/><Relationship Id="rId41" Type="http://schemas.openxmlformats.org/officeDocument/2006/relationships/hyperlink" Target="http://www.boxofficeindia.com/banner.php?bannerid=681" TargetMode="External"/><Relationship Id="rId1" Type="http://schemas.openxmlformats.org/officeDocument/2006/relationships/hyperlink" Target="http://www.boxofficeindia.com/banner.php?bannerid=62" TargetMode="External"/><Relationship Id="rId6" Type="http://schemas.openxmlformats.org/officeDocument/2006/relationships/hyperlink" Target="http://www.boxofficeindia.com/banner.php?bannerid=66" TargetMode="External"/><Relationship Id="rId11" Type="http://schemas.openxmlformats.org/officeDocument/2006/relationships/hyperlink" Target="http://www.boxofficeindia.com/banner.php?bannerid=108" TargetMode="External"/><Relationship Id="rId24" Type="http://schemas.openxmlformats.org/officeDocument/2006/relationships/hyperlink" Target="http://www.boxofficeindia.com/banner.php?bannerid=145" TargetMode="External"/><Relationship Id="rId32" Type="http://schemas.openxmlformats.org/officeDocument/2006/relationships/hyperlink" Target="http://www.boxofficeindia.com/banner.php?bannerid=129" TargetMode="External"/><Relationship Id="rId37" Type="http://schemas.openxmlformats.org/officeDocument/2006/relationships/hyperlink" Target="http://www.boxofficeindia.com/banner.php?bannerid=753" TargetMode="External"/><Relationship Id="rId40" Type="http://schemas.openxmlformats.org/officeDocument/2006/relationships/hyperlink" Target="http://www.boxofficeindia.com/banner.php?bannerid=185" TargetMode="External"/><Relationship Id="rId45" Type="http://schemas.openxmlformats.org/officeDocument/2006/relationships/hyperlink" Target="http://www.boxofficeindia.com/banner.php?bannerid=408" TargetMode="External"/><Relationship Id="rId5" Type="http://schemas.openxmlformats.org/officeDocument/2006/relationships/hyperlink" Target="http://www.boxofficeindia.com/banner.php?bannerid=36" TargetMode="External"/><Relationship Id="rId15" Type="http://schemas.openxmlformats.org/officeDocument/2006/relationships/hyperlink" Target="http://www.boxofficeindia.com/banner.php?bannerid=78" TargetMode="External"/><Relationship Id="rId23" Type="http://schemas.openxmlformats.org/officeDocument/2006/relationships/hyperlink" Target="http://www.boxofficeindia.com/banner.php?bannerid=92" TargetMode="External"/><Relationship Id="rId28" Type="http://schemas.openxmlformats.org/officeDocument/2006/relationships/hyperlink" Target="http://www.boxofficeindia.com/banner.php?bannerid=131" TargetMode="External"/><Relationship Id="rId36" Type="http://schemas.openxmlformats.org/officeDocument/2006/relationships/hyperlink" Target="http://www.boxofficeindia.com/banner.php?bannerid=119" TargetMode="External"/><Relationship Id="rId49" Type="http://schemas.openxmlformats.org/officeDocument/2006/relationships/hyperlink" Target="http://www.boxofficeindia.com/banner.php?bannerid=1187" TargetMode="External"/><Relationship Id="rId10" Type="http://schemas.openxmlformats.org/officeDocument/2006/relationships/hyperlink" Target="http://www.boxofficeindia.com/banner.php?bannerid=91" TargetMode="External"/><Relationship Id="rId19" Type="http://schemas.openxmlformats.org/officeDocument/2006/relationships/hyperlink" Target="http://www.boxofficeindia.com/banner.php?bannerid=171" TargetMode="External"/><Relationship Id="rId31" Type="http://schemas.openxmlformats.org/officeDocument/2006/relationships/hyperlink" Target="http://www.boxofficeindia.com/banner.php?bannerid=685" TargetMode="External"/><Relationship Id="rId44" Type="http://schemas.openxmlformats.org/officeDocument/2006/relationships/hyperlink" Target="http://www.boxofficeindia.com/banner.php?bannerid=113" TargetMode="External"/><Relationship Id="rId4" Type="http://schemas.openxmlformats.org/officeDocument/2006/relationships/hyperlink" Target="http://www.boxofficeindia.com/banner.php?bannerid=60" TargetMode="External"/><Relationship Id="rId9" Type="http://schemas.openxmlformats.org/officeDocument/2006/relationships/hyperlink" Target="http://www.boxofficeindia.com/banner.php?bannerid=67" TargetMode="External"/><Relationship Id="rId14" Type="http://schemas.openxmlformats.org/officeDocument/2006/relationships/hyperlink" Target="http://www.boxofficeindia.com/banner.php?bannerid=93" TargetMode="External"/><Relationship Id="rId22" Type="http://schemas.openxmlformats.org/officeDocument/2006/relationships/hyperlink" Target="http://www.boxofficeindia.com/banner.php?bannerid=669" TargetMode="External"/><Relationship Id="rId27" Type="http://schemas.openxmlformats.org/officeDocument/2006/relationships/hyperlink" Target="http://www.boxofficeindia.com/banner.php?bannerid=64" TargetMode="External"/><Relationship Id="rId30" Type="http://schemas.openxmlformats.org/officeDocument/2006/relationships/hyperlink" Target="http://www.boxofficeindia.com/banner.php?bannerid=220" TargetMode="External"/><Relationship Id="rId35" Type="http://schemas.openxmlformats.org/officeDocument/2006/relationships/hyperlink" Target="http://www.boxofficeindia.com/banner.php?bannerid=689" TargetMode="External"/><Relationship Id="rId43" Type="http://schemas.openxmlformats.org/officeDocument/2006/relationships/hyperlink" Target="http://www.boxofficeindia.com/banner.php?bannerid=175" TargetMode="External"/><Relationship Id="rId48" Type="http://schemas.openxmlformats.org/officeDocument/2006/relationships/hyperlink" Target="http://www.boxofficeindia.com/banner.php?bannerid=132" TargetMode="External"/><Relationship Id="rId8" Type="http://schemas.openxmlformats.org/officeDocument/2006/relationships/hyperlink" Target="http://www.boxofficeindia.com/banner.php?bannerid=114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xofficeindia.com/actor.php?actorid=43" TargetMode="External"/><Relationship Id="rId18" Type="http://schemas.openxmlformats.org/officeDocument/2006/relationships/hyperlink" Target="http://www.boxofficeindia.com/actor.php?actorid=1555" TargetMode="External"/><Relationship Id="rId26" Type="http://schemas.openxmlformats.org/officeDocument/2006/relationships/hyperlink" Target="http://www.boxofficeindia.com/actor.php?actorid=7" TargetMode="External"/><Relationship Id="rId39" Type="http://schemas.openxmlformats.org/officeDocument/2006/relationships/hyperlink" Target="http://www.boxofficeindia.com/actor.php?actorid=10" TargetMode="External"/><Relationship Id="rId21" Type="http://schemas.openxmlformats.org/officeDocument/2006/relationships/hyperlink" Target="http://www.boxofficeindia.com/actor.php?actorid=11" TargetMode="External"/><Relationship Id="rId34" Type="http://schemas.openxmlformats.org/officeDocument/2006/relationships/hyperlink" Target="http://www.boxofficeindia.com/actor.php?actorid=94" TargetMode="External"/><Relationship Id="rId42" Type="http://schemas.openxmlformats.org/officeDocument/2006/relationships/hyperlink" Target="http://www.boxofficeindia.com/actor.php?actorid=63" TargetMode="External"/><Relationship Id="rId47" Type="http://schemas.openxmlformats.org/officeDocument/2006/relationships/hyperlink" Target="http://www.boxofficeindia.com/actor.php?actorid=119" TargetMode="External"/><Relationship Id="rId50" Type="http://schemas.openxmlformats.org/officeDocument/2006/relationships/hyperlink" Target="http://www.boxofficeindia.com/actor.php?actorid=728" TargetMode="External"/><Relationship Id="rId55" Type="http://schemas.openxmlformats.org/officeDocument/2006/relationships/hyperlink" Target="http://www.boxofficeindia.com/actor.php?actorid=6604" TargetMode="External"/><Relationship Id="rId63" Type="http://schemas.openxmlformats.org/officeDocument/2006/relationships/hyperlink" Target="http://www.boxofficeindia.com/actor.php?actorid=176" TargetMode="External"/><Relationship Id="rId68" Type="http://schemas.openxmlformats.org/officeDocument/2006/relationships/hyperlink" Target="http://www.boxofficeindia.com/actor.php?actorid=177" TargetMode="External"/><Relationship Id="rId7" Type="http://schemas.openxmlformats.org/officeDocument/2006/relationships/hyperlink" Target="http://www.boxofficeindia.com/actor.php?actorid=29" TargetMode="External"/><Relationship Id="rId71" Type="http://schemas.openxmlformats.org/officeDocument/2006/relationships/hyperlink" Target="http://www.boxofficeindia.com/actor.php?actorid=134" TargetMode="External"/><Relationship Id="rId2" Type="http://schemas.openxmlformats.org/officeDocument/2006/relationships/hyperlink" Target="http://www.boxofficeindia.com/actor.php?actorid=4" TargetMode="External"/><Relationship Id="rId16" Type="http://schemas.openxmlformats.org/officeDocument/2006/relationships/hyperlink" Target="http://www.boxofficeindia.com/actor.php?actorid=30" TargetMode="External"/><Relationship Id="rId29" Type="http://schemas.openxmlformats.org/officeDocument/2006/relationships/hyperlink" Target="http://www.boxofficeindia.com/actor.php?actorid=13" TargetMode="External"/><Relationship Id="rId1" Type="http://schemas.openxmlformats.org/officeDocument/2006/relationships/hyperlink" Target="http://www.boxofficeindia.com/actor.php?actorid=2" TargetMode="External"/><Relationship Id="rId6" Type="http://schemas.openxmlformats.org/officeDocument/2006/relationships/hyperlink" Target="http://www.boxofficeindia.com/actor.php?actorid=47" TargetMode="External"/><Relationship Id="rId11" Type="http://schemas.openxmlformats.org/officeDocument/2006/relationships/hyperlink" Target="http://www.boxofficeindia.com/actor.php?actorid=76" TargetMode="External"/><Relationship Id="rId24" Type="http://schemas.openxmlformats.org/officeDocument/2006/relationships/hyperlink" Target="http://www.boxofficeindia.com/actor.php?actorid=1" TargetMode="External"/><Relationship Id="rId32" Type="http://schemas.openxmlformats.org/officeDocument/2006/relationships/hyperlink" Target="http://www.boxofficeindia.com/actor.php?actorid=14" TargetMode="External"/><Relationship Id="rId37" Type="http://schemas.openxmlformats.org/officeDocument/2006/relationships/hyperlink" Target="http://www.boxofficeindia.com/actor.php?actorid=37" TargetMode="External"/><Relationship Id="rId40" Type="http://schemas.openxmlformats.org/officeDocument/2006/relationships/hyperlink" Target="http://www.boxofficeindia.com/actor.php?actorid=17" TargetMode="External"/><Relationship Id="rId45" Type="http://schemas.openxmlformats.org/officeDocument/2006/relationships/hyperlink" Target="http://www.boxofficeindia.com/actor.php?actorid=73" TargetMode="External"/><Relationship Id="rId53" Type="http://schemas.openxmlformats.org/officeDocument/2006/relationships/hyperlink" Target="http://www.boxofficeindia.com/actor.php?actorid=479" TargetMode="External"/><Relationship Id="rId58" Type="http://schemas.openxmlformats.org/officeDocument/2006/relationships/hyperlink" Target="http://www.boxofficeindia.com/actor.php?actorid=1235" TargetMode="External"/><Relationship Id="rId66" Type="http://schemas.openxmlformats.org/officeDocument/2006/relationships/hyperlink" Target="http://www.boxofficeindia.com/actor.php?actorid=622" TargetMode="External"/><Relationship Id="rId5" Type="http://schemas.openxmlformats.org/officeDocument/2006/relationships/hyperlink" Target="http://www.boxofficeindia.com/actor.php?actorid=518" TargetMode="External"/><Relationship Id="rId15" Type="http://schemas.openxmlformats.org/officeDocument/2006/relationships/hyperlink" Target="http://www.boxofficeindia.com/actor.php?actorid=57" TargetMode="External"/><Relationship Id="rId23" Type="http://schemas.openxmlformats.org/officeDocument/2006/relationships/hyperlink" Target="http://www.boxofficeindia.com/actor.php?actorid=6603" TargetMode="External"/><Relationship Id="rId28" Type="http://schemas.openxmlformats.org/officeDocument/2006/relationships/hyperlink" Target="http://www.boxofficeindia.com/actor.php?actorid=26" TargetMode="External"/><Relationship Id="rId36" Type="http://schemas.openxmlformats.org/officeDocument/2006/relationships/hyperlink" Target="http://www.boxofficeindia.com/actor.php?actorid=21" TargetMode="External"/><Relationship Id="rId49" Type="http://schemas.openxmlformats.org/officeDocument/2006/relationships/hyperlink" Target="http://www.boxofficeindia.com/actor.php?actorid=316" TargetMode="External"/><Relationship Id="rId57" Type="http://schemas.openxmlformats.org/officeDocument/2006/relationships/hyperlink" Target="http://www.boxofficeindia.com/actor.php?actorid=704" TargetMode="External"/><Relationship Id="rId61" Type="http://schemas.openxmlformats.org/officeDocument/2006/relationships/hyperlink" Target="http://www.boxofficeindia.com/actor.php?actorid=74" TargetMode="External"/><Relationship Id="rId10" Type="http://schemas.openxmlformats.org/officeDocument/2006/relationships/hyperlink" Target="http://www.boxofficeindia.com/actor.php?actorid=71" TargetMode="External"/><Relationship Id="rId19" Type="http://schemas.openxmlformats.org/officeDocument/2006/relationships/hyperlink" Target="http://www.boxofficeindia.com/actor.php?actorid=3" TargetMode="External"/><Relationship Id="rId31" Type="http://schemas.openxmlformats.org/officeDocument/2006/relationships/hyperlink" Target="http://www.boxofficeindia.com/actor.php?actorid=19" TargetMode="External"/><Relationship Id="rId44" Type="http://schemas.openxmlformats.org/officeDocument/2006/relationships/hyperlink" Target="http://www.boxofficeindia.com/actor.php?actorid=118" TargetMode="External"/><Relationship Id="rId52" Type="http://schemas.openxmlformats.org/officeDocument/2006/relationships/hyperlink" Target="http://www.boxofficeindia.com/actor.php?actorid=184" TargetMode="External"/><Relationship Id="rId60" Type="http://schemas.openxmlformats.org/officeDocument/2006/relationships/hyperlink" Target="http://www.boxofficeindia.com/actor.php?actorid=65" TargetMode="External"/><Relationship Id="rId65" Type="http://schemas.openxmlformats.org/officeDocument/2006/relationships/hyperlink" Target="http://www.boxofficeindia.com/actor.php?actorid=720" TargetMode="External"/><Relationship Id="rId4" Type="http://schemas.openxmlformats.org/officeDocument/2006/relationships/hyperlink" Target="http://www.boxofficeindia.com/actor.php?actorid=5" TargetMode="External"/><Relationship Id="rId9" Type="http://schemas.openxmlformats.org/officeDocument/2006/relationships/hyperlink" Target="http://www.boxofficeindia.com/actor.php?actorid=75" TargetMode="External"/><Relationship Id="rId14" Type="http://schemas.openxmlformats.org/officeDocument/2006/relationships/hyperlink" Target="http://www.boxofficeindia.com/actor.php?actorid=102" TargetMode="External"/><Relationship Id="rId22" Type="http://schemas.openxmlformats.org/officeDocument/2006/relationships/hyperlink" Target="http://www.boxofficeindia.com/actor.php?actorid=56" TargetMode="External"/><Relationship Id="rId27" Type="http://schemas.openxmlformats.org/officeDocument/2006/relationships/hyperlink" Target="http://www.boxofficeindia.com/actor.php?actorid=50" TargetMode="External"/><Relationship Id="rId30" Type="http://schemas.openxmlformats.org/officeDocument/2006/relationships/hyperlink" Target="http://www.boxofficeindia.com/actor.php?actorid=82" TargetMode="External"/><Relationship Id="rId35" Type="http://schemas.openxmlformats.org/officeDocument/2006/relationships/hyperlink" Target="http://www.boxofficeindia.com/actor.php?actorid=3540" TargetMode="External"/><Relationship Id="rId43" Type="http://schemas.openxmlformats.org/officeDocument/2006/relationships/hyperlink" Target="http://www.boxofficeindia.com/actor.php?actorid=92" TargetMode="External"/><Relationship Id="rId48" Type="http://schemas.openxmlformats.org/officeDocument/2006/relationships/hyperlink" Target="http://www.boxofficeindia.com/actor.php?actorid=91" TargetMode="External"/><Relationship Id="rId56" Type="http://schemas.openxmlformats.org/officeDocument/2006/relationships/hyperlink" Target="http://www.boxofficeindia.com/actor.php?actorid=16" TargetMode="External"/><Relationship Id="rId64" Type="http://schemas.openxmlformats.org/officeDocument/2006/relationships/hyperlink" Target="http://www.boxofficeindia.com/actor.php?actorid=23" TargetMode="External"/><Relationship Id="rId69" Type="http://schemas.openxmlformats.org/officeDocument/2006/relationships/hyperlink" Target="http://www.boxofficeindia.com/actor.php?actorid=1531" TargetMode="External"/><Relationship Id="rId8" Type="http://schemas.openxmlformats.org/officeDocument/2006/relationships/hyperlink" Target="http://www.boxofficeindia.com/actor.php?actorid=6" TargetMode="External"/><Relationship Id="rId51" Type="http://schemas.openxmlformats.org/officeDocument/2006/relationships/hyperlink" Target="http://www.boxofficeindia.com/actor.php?actorid=64" TargetMode="External"/><Relationship Id="rId3" Type="http://schemas.openxmlformats.org/officeDocument/2006/relationships/hyperlink" Target="http://www.boxofficeindia.com/actor.php?actorid=44" TargetMode="External"/><Relationship Id="rId12" Type="http://schemas.openxmlformats.org/officeDocument/2006/relationships/hyperlink" Target="http://www.boxofficeindia.com/actor.php?actorid=48" TargetMode="External"/><Relationship Id="rId17" Type="http://schemas.openxmlformats.org/officeDocument/2006/relationships/hyperlink" Target="http://www.boxofficeindia.com/actor.php?actorid=8" TargetMode="External"/><Relationship Id="rId25" Type="http://schemas.openxmlformats.org/officeDocument/2006/relationships/hyperlink" Target="http://www.boxofficeindia.com/actor.php?actorid=621" TargetMode="External"/><Relationship Id="rId33" Type="http://schemas.openxmlformats.org/officeDocument/2006/relationships/hyperlink" Target="http://www.boxofficeindia.com/actor.php?actorid=8704" TargetMode="External"/><Relationship Id="rId38" Type="http://schemas.openxmlformats.org/officeDocument/2006/relationships/hyperlink" Target="http://www.boxofficeindia.com/actor.php?actorid=49" TargetMode="External"/><Relationship Id="rId46" Type="http://schemas.openxmlformats.org/officeDocument/2006/relationships/hyperlink" Target="http://www.boxofficeindia.com/actor.php?actorid=185" TargetMode="External"/><Relationship Id="rId59" Type="http://schemas.openxmlformats.org/officeDocument/2006/relationships/hyperlink" Target="http://www.boxofficeindia.com/actor.php?actorid=1550" TargetMode="External"/><Relationship Id="rId67" Type="http://schemas.openxmlformats.org/officeDocument/2006/relationships/hyperlink" Target="http://www.boxofficeindia.com/actor.php?actorid=15" TargetMode="External"/><Relationship Id="rId20" Type="http://schemas.openxmlformats.org/officeDocument/2006/relationships/hyperlink" Target="http://www.boxofficeindia.com/actor.php?actorid=45" TargetMode="External"/><Relationship Id="rId41" Type="http://schemas.openxmlformats.org/officeDocument/2006/relationships/hyperlink" Target="http://www.boxofficeindia.com/actor.php?actorid=62" TargetMode="External"/><Relationship Id="rId54" Type="http://schemas.openxmlformats.org/officeDocument/2006/relationships/hyperlink" Target="http://www.boxofficeindia.com/actor.php?actorid=172" TargetMode="External"/><Relationship Id="rId62" Type="http://schemas.openxmlformats.org/officeDocument/2006/relationships/hyperlink" Target="http://www.boxofficeindia.com/actor.php?actorid=663" TargetMode="External"/><Relationship Id="rId70" Type="http://schemas.openxmlformats.org/officeDocument/2006/relationships/hyperlink" Target="http://www.boxofficeindia.com/actor.php?actorid=12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xofficeindia.com/actor.php?actorid=175&amp;role=24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oxofficeindia.com/movie.php?movieid=3035" TargetMode="External"/><Relationship Id="rId117" Type="http://schemas.openxmlformats.org/officeDocument/2006/relationships/hyperlink" Target="http://www.boxofficeindia.com/movie.php?movieid=2736" TargetMode="External"/><Relationship Id="rId21" Type="http://schemas.openxmlformats.org/officeDocument/2006/relationships/hyperlink" Target="http://www.boxofficeindia.com/movie.php?movieid=2737" TargetMode="External"/><Relationship Id="rId42" Type="http://schemas.openxmlformats.org/officeDocument/2006/relationships/hyperlink" Target="http://www.boxofficeindia.com/movie.php?movieid=2201" TargetMode="External"/><Relationship Id="rId47" Type="http://schemas.openxmlformats.org/officeDocument/2006/relationships/hyperlink" Target="http://www.boxofficeindia.com/movie.php?movieid=667" TargetMode="External"/><Relationship Id="rId63" Type="http://schemas.openxmlformats.org/officeDocument/2006/relationships/hyperlink" Target="http://www.boxofficeindia.com/movie.php?movieid=11" TargetMode="External"/><Relationship Id="rId68" Type="http://schemas.openxmlformats.org/officeDocument/2006/relationships/hyperlink" Target="http://www.boxofficeindia.com/movie.php?movieid=2400" TargetMode="External"/><Relationship Id="rId84" Type="http://schemas.openxmlformats.org/officeDocument/2006/relationships/hyperlink" Target="http://www.boxofficeindia.com/movie.php?movieid=563" TargetMode="External"/><Relationship Id="rId89" Type="http://schemas.openxmlformats.org/officeDocument/2006/relationships/hyperlink" Target="http://www.boxofficeindia.com/movie.php?movieid=630" TargetMode="External"/><Relationship Id="rId112" Type="http://schemas.openxmlformats.org/officeDocument/2006/relationships/hyperlink" Target="http://www.boxofficeindia.com/movie.php?movieid=2599" TargetMode="External"/><Relationship Id="rId133" Type="http://schemas.openxmlformats.org/officeDocument/2006/relationships/hyperlink" Target="http://www.boxofficeindia.com/movie.php?movieid=3183" TargetMode="External"/><Relationship Id="rId16" Type="http://schemas.openxmlformats.org/officeDocument/2006/relationships/hyperlink" Target="http://www.boxofficeindia.com/movie.php?movieid=2372" TargetMode="External"/><Relationship Id="rId107" Type="http://schemas.openxmlformats.org/officeDocument/2006/relationships/hyperlink" Target="http://www.boxofficeindia.com/movie.php?movieid=2515" TargetMode="External"/><Relationship Id="rId11" Type="http://schemas.openxmlformats.org/officeDocument/2006/relationships/hyperlink" Target="http://www.boxofficeindia.com/movie.php?movieid=369" TargetMode="External"/><Relationship Id="rId32" Type="http://schemas.openxmlformats.org/officeDocument/2006/relationships/hyperlink" Target="http://www.boxofficeindia.com/movie.php?movieid=33" TargetMode="External"/><Relationship Id="rId37" Type="http://schemas.openxmlformats.org/officeDocument/2006/relationships/hyperlink" Target="http://www.boxofficeindia.com/movie.php?movieid=254" TargetMode="External"/><Relationship Id="rId53" Type="http://schemas.openxmlformats.org/officeDocument/2006/relationships/hyperlink" Target="http://www.boxofficeindia.com/movie.php?movieid=2635" TargetMode="External"/><Relationship Id="rId58" Type="http://schemas.openxmlformats.org/officeDocument/2006/relationships/hyperlink" Target="http://www.boxofficeindia.com/movie.php?movieid=2796" TargetMode="External"/><Relationship Id="rId74" Type="http://schemas.openxmlformats.org/officeDocument/2006/relationships/hyperlink" Target="http://www.boxofficeindia.com/movie.php?movieid=154" TargetMode="External"/><Relationship Id="rId79" Type="http://schemas.openxmlformats.org/officeDocument/2006/relationships/hyperlink" Target="http://www.boxofficeindia.com/movie.php?movieid=343" TargetMode="External"/><Relationship Id="rId102" Type="http://schemas.openxmlformats.org/officeDocument/2006/relationships/hyperlink" Target="http://www.boxofficeindia.com/movie.php?movieid=2404" TargetMode="External"/><Relationship Id="rId123" Type="http://schemas.openxmlformats.org/officeDocument/2006/relationships/hyperlink" Target="http://www.boxofficeindia.com/movie.php?movieid=2969" TargetMode="External"/><Relationship Id="rId128" Type="http://schemas.openxmlformats.org/officeDocument/2006/relationships/hyperlink" Target="http://www.boxofficeindia.com/movie.php?movieid=3094" TargetMode="External"/><Relationship Id="rId5" Type="http://schemas.openxmlformats.org/officeDocument/2006/relationships/hyperlink" Target="http://www.boxofficeindia.com/movie.php?movieid=1197" TargetMode="External"/><Relationship Id="rId90" Type="http://schemas.openxmlformats.org/officeDocument/2006/relationships/hyperlink" Target="http://www.boxofficeindia.com/movie.php?movieid=677" TargetMode="External"/><Relationship Id="rId95" Type="http://schemas.openxmlformats.org/officeDocument/2006/relationships/hyperlink" Target="http://www.boxofficeindia.com/movie.php?movieid=732" TargetMode="External"/><Relationship Id="rId14" Type="http://schemas.openxmlformats.org/officeDocument/2006/relationships/hyperlink" Target="http://www.boxofficeindia.com/movie.php?movieid=659" TargetMode="External"/><Relationship Id="rId22" Type="http://schemas.openxmlformats.org/officeDocument/2006/relationships/hyperlink" Target="http://www.boxofficeindia.com/movie.php?movieid=2916" TargetMode="External"/><Relationship Id="rId27" Type="http://schemas.openxmlformats.org/officeDocument/2006/relationships/hyperlink" Target="http://www.boxofficeindia.com/movie.php?movieid=3359" TargetMode="External"/><Relationship Id="rId30" Type="http://schemas.openxmlformats.org/officeDocument/2006/relationships/hyperlink" Target="http://www.boxofficeindia.com/movie.php?movieid=1166" TargetMode="External"/><Relationship Id="rId35" Type="http://schemas.openxmlformats.org/officeDocument/2006/relationships/hyperlink" Target="http://www.boxofficeindia.com/movie.php?movieid=785" TargetMode="External"/><Relationship Id="rId43" Type="http://schemas.openxmlformats.org/officeDocument/2006/relationships/hyperlink" Target="http://www.boxofficeindia.com/movie.php?movieid=2068" TargetMode="External"/><Relationship Id="rId48" Type="http://schemas.openxmlformats.org/officeDocument/2006/relationships/hyperlink" Target="http://www.boxofficeindia.com/movie.php?movieid=675" TargetMode="External"/><Relationship Id="rId56" Type="http://schemas.openxmlformats.org/officeDocument/2006/relationships/hyperlink" Target="http://www.boxofficeindia.com/movie.php?movieid=2683" TargetMode="External"/><Relationship Id="rId64" Type="http://schemas.openxmlformats.org/officeDocument/2006/relationships/hyperlink" Target="http://www.boxofficeindia.com/movie.php?movieid=3142" TargetMode="External"/><Relationship Id="rId69" Type="http://schemas.openxmlformats.org/officeDocument/2006/relationships/hyperlink" Target="http://www.boxofficeindia.com/movie.php?movieid=1233" TargetMode="External"/><Relationship Id="rId77" Type="http://schemas.openxmlformats.org/officeDocument/2006/relationships/hyperlink" Target="http://www.boxofficeindia.com/movie.php?movieid=258" TargetMode="External"/><Relationship Id="rId100" Type="http://schemas.openxmlformats.org/officeDocument/2006/relationships/hyperlink" Target="http://www.boxofficeindia.com/movie.php?movieid=439" TargetMode="External"/><Relationship Id="rId105" Type="http://schemas.openxmlformats.org/officeDocument/2006/relationships/hyperlink" Target="http://www.boxofficeindia.com/movie.php?movieid=2491" TargetMode="External"/><Relationship Id="rId113" Type="http://schemas.openxmlformats.org/officeDocument/2006/relationships/hyperlink" Target="http://www.boxofficeindia.com/movie.php?movieid=2642" TargetMode="External"/><Relationship Id="rId118" Type="http://schemas.openxmlformats.org/officeDocument/2006/relationships/hyperlink" Target="http://www.boxofficeindia.com/movie.php?movieid=2750" TargetMode="External"/><Relationship Id="rId126" Type="http://schemas.openxmlformats.org/officeDocument/2006/relationships/hyperlink" Target="http://www.boxofficeindia.com/movie.php?movieid=3066" TargetMode="External"/><Relationship Id="rId134" Type="http://schemas.openxmlformats.org/officeDocument/2006/relationships/hyperlink" Target="http://www.boxofficeindia.com/movie.php?movieid=3321" TargetMode="External"/><Relationship Id="rId8" Type="http://schemas.openxmlformats.org/officeDocument/2006/relationships/hyperlink" Target="http://www.boxofficeindia.com/movie.php?movieid=309" TargetMode="External"/><Relationship Id="rId51" Type="http://schemas.openxmlformats.org/officeDocument/2006/relationships/hyperlink" Target="http://www.boxofficeindia.com/movie.php?movieid=2445" TargetMode="External"/><Relationship Id="rId72" Type="http://schemas.openxmlformats.org/officeDocument/2006/relationships/hyperlink" Target="http://www.boxofficeindia.com/movie.php?movieid=88" TargetMode="External"/><Relationship Id="rId80" Type="http://schemas.openxmlformats.org/officeDocument/2006/relationships/hyperlink" Target="http://www.boxofficeindia.com/movie.php?movieid=284" TargetMode="External"/><Relationship Id="rId85" Type="http://schemas.openxmlformats.org/officeDocument/2006/relationships/hyperlink" Target="http://www.boxofficeindia.com/movie.php?movieid=522" TargetMode="External"/><Relationship Id="rId93" Type="http://schemas.openxmlformats.org/officeDocument/2006/relationships/hyperlink" Target="http://www.boxofficeindia.com/movie.php?movieid=670" TargetMode="External"/><Relationship Id="rId98" Type="http://schemas.openxmlformats.org/officeDocument/2006/relationships/hyperlink" Target="http://www.boxofficeindia.com/movie.php?movieid=722" TargetMode="External"/><Relationship Id="rId121" Type="http://schemas.openxmlformats.org/officeDocument/2006/relationships/hyperlink" Target="http://www.boxofficeindia.com/movie.php?movieid=2907" TargetMode="External"/><Relationship Id="rId3" Type="http://schemas.openxmlformats.org/officeDocument/2006/relationships/hyperlink" Target="http://www.boxofficeindia.com/movie.php?movieid=2482" TargetMode="External"/><Relationship Id="rId12" Type="http://schemas.openxmlformats.org/officeDocument/2006/relationships/hyperlink" Target="http://www.boxofficeindia.com/movie.php?movieid=391" TargetMode="External"/><Relationship Id="rId17" Type="http://schemas.openxmlformats.org/officeDocument/2006/relationships/hyperlink" Target="http://www.boxofficeindia.com/movie.php?movieid=2389" TargetMode="External"/><Relationship Id="rId25" Type="http://schemas.openxmlformats.org/officeDocument/2006/relationships/hyperlink" Target="http://www.boxofficeindia.com/movie.php?movieid=3005" TargetMode="External"/><Relationship Id="rId33" Type="http://schemas.openxmlformats.org/officeDocument/2006/relationships/hyperlink" Target="http://www.boxofficeindia.com/movie.php?movieid=84" TargetMode="External"/><Relationship Id="rId38" Type="http://schemas.openxmlformats.org/officeDocument/2006/relationships/hyperlink" Target="http://www.boxofficeindia.com/movie.php?movieid=1467" TargetMode="External"/><Relationship Id="rId46" Type="http://schemas.openxmlformats.org/officeDocument/2006/relationships/hyperlink" Target="http://www.boxofficeindia.com/movie.php?movieid=596" TargetMode="External"/><Relationship Id="rId59" Type="http://schemas.openxmlformats.org/officeDocument/2006/relationships/hyperlink" Target="http://www.boxofficeindia.com/movie.php?movieid=2819" TargetMode="External"/><Relationship Id="rId67" Type="http://schemas.openxmlformats.org/officeDocument/2006/relationships/hyperlink" Target="http://www.boxofficeindia.com/movie.php?movieid=2410" TargetMode="External"/><Relationship Id="rId103" Type="http://schemas.openxmlformats.org/officeDocument/2006/relationships/hyperlink" Target="http://www.boxofficeindia.com/movie.php?movieid=2419" TargetMode="External"/><Relationship Id="rId108" Type="http://schemas.openxmlformats.org/officeDocument/2006/relationships/hyperlink" Target="http://www.boxofficeindia.com/movie.php?movieid=2529" TargetMode="External"/><Relationship Id="rId116" Type="http://schemas.openxmlformats.org/officeDocument/2006/relationships/hyperlink" Target="http://www.boxofficeindia.com/movie.php?movieid=2704" TargetMode="External"/><Relationship Id="rId124" Type="http://schemas.openxmlformats.org/officeDocument/2006/relationships/hyperlink" Target="http://www.boxofficeindia.com/movie.php?movieid=3008" TargetMode="External"/><Relationship Id="rId129" Type="http://schemas.openxmlformats.org/officeDocument/2006/relationships/hyperlink" Target="http://www.boxofficeindia.com/movie.php?movieid=3106" TargetMode="External"/><Relationship Id="rId20" Type="http://schemas.openxmlformats.org/officeDocument/2006/relationships/hyperlink" Target="http://www.boxofficeindia.com/movie.php?movieid=2627" TargetMode="External"/><Relationship Id="rId41" Type="http://schemas.openxmlformats.org/officeDocument/2006/relationships/hyperlink" Target="http://www.boxofficeindia.com/movie.php?movieid=416" TargetMode="External"/><Relationship Id="rId54" Type="http://schemas.openxmlformats.org/officeDocument/2006/relationships/hyperlink" Target="http://www.boxofficeindia.com/movie.php?movieid=2647" TargetMode="External"/><Relationship Id="rId62" Type="http://schemas.openxmlformats.org/officeDocument/2006/relationships/hyperlink" Target="http://www.boxofficeindia.com/movie.php?movieid=3033" TargetMode="External"/><Relationship Id="rId70" Type="http://schemas.openxmlformats.org/officeDocument/2006/relationships/hyperlink" Target="http://www.boxofficeindia.com/movie.php?movieid=852" TargetMode="External"/><Relationship Id="rId75" Type="http://schemas.openxmlformats.org/officeDocument/2006/relationships/hyperlink" Target="http://www.boxofficeindia.com/movie.php?movieid=996" TargetMode="External"/><Relationship Id="rId83" Type="http://schemas.openxmlformats.org/officeDocument/2006/relationships/hyperlink" Target="http://www.boxofficeindia.com/movie.php?movieid=437" TargetMode="External"/><Relationship Id="rId88" Type="http://schemas.openxmlformats.org/officeDocument/2006/relationships/hyperlink" Target="http://www.boxofficeindia.com/movie.php?movieid=639" TargetMode="External"/><Relationship Id="rId91" Type="http://schemas.openxmlformats.org/officeDocument/2006/relationships/hyperlink" Target="http://www.boxofficeindia.com/movie.php?movieid=673" TargetMode="External"/><Relationship Id="rId96" Type="http://schemas.openxmlformats.org/officeDocument/2006/relationships/hyperlink" Target="http://www.boxofficeindia.com/movie.php?movieid=742" TargetMode="External"/><Relationship Id="rId111" Type="http://schemas.openxmlformats.org/officeDocument/2006/relationships/hyperlink" Target="http://www.boxofficeindia.com/movie.php?movieid=2572" TargetMode="External"/><Relationship Id="rId132" Type="http://schemas.openxmlformats.org/officeDocument/2006/relationships/hyperlink" Target="http://www.boxofficeindia.com/movie.php?movieid=3181" TargetMode="External"/><Relationship Id="rId1" Type="http://schemas.openxmlformats.org/officeDocument/2006/relationships/hyperlink" Target="http://www.boxofficeindia.com/movie.php?movieid=3629" TargetMode="External"/><Relationship Id="rId6" Type="http://schemas.openxmlformats.org/officeDocument/2006/relationships/hyperlink" Target="http://www.boxofficeindia.com/movie.php?movieid=45" TargetMode="External"/><Relationship Id="rId15" Type="http://schemas.openxmlformats.org/officeDocument/2006/relationships/hyperlink" Target="http://www.boxofficeindia.com/movie.php?movieid=724" TargetMode="External"/><Relationship Id="rId23" Type="http://schemas.openxmlformats.org/officeDocument/2006/relationships/hyperlink" Target="http://www.boxofficeindia.com/movie.php?movieid=2958" TargetMode="External"/><Relationship Id="rId28" Type="http://schemas.openxmlformats.org/officeDocument/2006/relationships/hyperlink" Target="http://www.boxofficeindia.com/movie.php?movieid=2104" TargetMode="External"/><Relationship Id="rId36" Type="http://schemas.openxmlformats.org/officeDocument/2006/relationships/hyperlink" Target="http://www.boxofficeindia.com/movie.php?movieid=338" TargetMode="External"/><Relationship Id="rId49" Type="http://schemas.openxmlformats.org/officeDocument/2006/relationships/hyperlink" Target="http://www.boxofficeindia.com/movie.php?movieid=757" TargetMode="External"/><Relationship Id="rId57" Type="http://schemas.openxmlformats.org/officeDocument/2006/relationships/hyperlink" Target="http://www.boxofficeindia.com/movie.php?movieid=2690" TargetMode="External"/><Relationship Id="rId106" Type="http://schemas.openxmlformats.org/officeDocument/2006/relationships/hyperlink" Target="http://www.boxofficeindia.com/movie.php?movieid=2510" TargetMode="External"/><Relationship Id="rId114" Type="http://schemas.openxmlformats.org/officeDocument/2006/relationships/hyperlink" Target="http://www.boxofficeindia.com/movie.php?movieid=2646" TargetMode="External"/><Relationship Id="rId119" Type="http://schemas.openxmlformats.org/officeDocument/2006/relationships/hyperlink" Target="http://www.boxofficeindia.com/movie.php?movieid=2775" TargetMode="External"/><Relationship Id="rId127" Type="http://schemas.openxmlformats.org/officeDocument/2006/relationships/hyperlink" Target="http://www.boxofficeindia.com/movie.php?movieid=3077" TargetMode="External"/><Relationship Id="rId10" Type="http://schemas.openxmlformats.org/officeDocument/2006/relationships/hyperlink" Target="http://www.boxofficeindia.com/movie.php?movieid=297" TargetMode="External"/><Relationship Id="rId31" Type="http://schemas.openxmlformats.org/officeDocument/2006/relationships/hyperlink" Target="http://www.boxofficeindia.com/movie.php?movieid=178" TargetMode="External"/><Relationship Id="rId44" Type="http://schemas.openxmlformats.org/officeDocument/2006/relationships/hyperlink" Target="http://www.boxofficeindia.com/movie.php?movieid=231" TargetMode="External"/><Relationship Id="rId52" Type="http://schemas.openxmlformats.org/officeDocument/2006/relationships/hyperlink" Target="http://www.boxofficeindia.com/movie.php?movieid=2495" TargetMode="External"/><Relationship Id="rId60" Type="http://schemas.openxmlformats.org/officeDocument/2006/relationships/hyperlink" Target="http://www.boxofficeindia.com/movie.php?movieid=2920" TargetMode="External"/><Relationship Id="rId65" Type="http://schemas.openxmlformats.org/officeDocument/2006/relationships/hyperlink" Target="http://www.boxofficeindia.com/movie.php?movieid=3318" TargetMode="External"/><Relationship Id="rId73" Type="http://schemas.openxmlformats.org/officeDocument/2006/relationships/hyperlink" Target="http://www.boxofficeindia.com/movie.php?movieid=156" TargetMode="External"/><Relationship Id="rId78" Type="http://schemas.openxmlformats.org/officeDocument/2006/relationships/hyperlink" Target="http://www.boxofficeindia.com/movie.php?movieid=1485" TargetMode="External"/><Relationship Id="rId81" Type="http://schemas.openxmlformats.org/officeDocument/2006/relationships/hyperlink" Target="http://www.boxofficeindia.com/movie.php?movieid=386" TargetMode="External"/><Relationship Id="rId86" Type="http://schemas.openxmlformats.org/officeDocument/2006/relationships/hyperlink" Target="http://www.boxofficeindia.com/movie.php?movieid=1240" TargetMode="External"/><Relationship Id="rId94" Type="http://schemas.openxmlformats.org/officeDocument/2006/relationships/hyperlink" Target="http://www.boxofficeindia.com/movie.php?movieid=661" TargetMode="External"/><Relationship Id="rId99" Type="http://schemas.openxmlformats.org/officeDocument/2006/relationships/hyperlink" Target="http://www.boxofficeindia.com/movie.php?movieid=743" TargetMode="External"/><Relationship Id="rId101" Type="http://schemas.openxmlformats.org/officeDocument/2006/relationships/hyperlink" Target="http://www.boxofficeindia.com/movie.php?movieid=2370" TargetMode="External"/><Relationship Id="rId122" Type="http://schemas.openxmlformats.org/officeDocument/2006/relationships/hyperlink" Target="http://www.boxofficeindia.com/movie.php?movieid=2974" TargetMode="External"/><Relationship Id="rId130" Type="http://schemas.openxmlformats.org/officeDocument/2006/relationships/hyperlink" Target="http://www.boxofficeindia.com/movie.php?movieid=3158" TargetMode="External"/><Relationship Id="rId135" Type="http://schemas.openxmlformats.org/officeDocument/2006/relationships/hyperlink" Target="http://www.boxofficeindia.com/movie.php?movieid=3326" TargetMode="External"/><Relationship Id="rId4" Type="http://schemas.openxmlformats.org/officeDocument/2006/relationships/hyperlink" Target="http://www.boxofficeindia.com/movie.php?movieid=1956" TargetMode="External"/><Relationship Id="rId9" Type="http://schemas.openxmlformats.org/officeDocument/2006/relationships/hyperlink" Target="http://www.boxofficeindia.com/movie.php?movieid=263" TargetMode="External"/><Relationship Id="rId13" Type="http://schemas.openxmlformats.org/officeDocument/2006/relationships/hyperlink" Target="http://www.boxofficeindia.com/movie.php?movieid=664" TargetMode="External"/><Relationship Id="rId18" Type="http://schemas.openxmlformats.org/officeDocument/2006/relationships/hyperlink" Target="http://www.boxofficeindia.com/movie.php?movieid=2411" TargetMode="External"/><Relationship Id="rId39" Type="http://schemas.openxmlformats.org/officeDocument/2006/relationships/hyperlink" Target="http://www.boxofficeindia.com/movie.php?movieid=349" TargetMode="External"/><Relationship Id="rId109" Type="http://schemas.openxmlformats.org/officeDocument/2006/relationships/hyperlink" Target="http://www.boxofficeindia.com/movie.php?movieid=2553" TargetMode="External"/><Relationship Id="rId34" Type="http://schemas.openxmlformats.org/officeDocument/2006/relationships/hyperlink" Target="http://www.boxofficeindia.com/movie.php?movieid=115" TargetMode="External"/><Relationship Id="rId50" Type="http://schemas.openxmlformats.org/officeDocument/2006/relationships/hyperlink" Target="http://www.boxofficeindia.com/movie.php?movieid=718" TargetMode="External"/><Relationship Id="rId55" Type="http://schemas.openxmlformats.org/officeDocument/2006/relationships/hyperlink" Target="http://www.boxofficeindia.com/movie.php?movieid=2671" TargetMode="External"/><Relationship Id="rId76" Type="http://schemas.openxmlformats.org/officeDocument/2006/relationships/hyperlink" Target="http://www.boxofficeindia.com/movie.php?movieid=328" TargetMode="External"/><Relationship Id="rId97" Type="http://schemas.openxmlformats.org/officeDocument/2006/relationships/hyperlink" Target="http://www.boxofficeindia.com/movie.php?movieid=756" TargetMode="External"/><Relationship Id="rId104" Type="http://schemas.openxmlformats.org/officeDocument/2006/relationships/hyperlink" Target="http://www.boxofficeindia.com/movie.php?movieid=2431" TargetMode="External"/><Relationship Id="rId120" Type="http://schemas.openxmlformats.org/officeDocument/2006/relationships/hyperlink" Target="http://www.boxofficeindia.com/movie.php?movieid=2807" TargetMode="External"/><Relationship Id="rId125" Type="http://schemas.openxmlformats.org/officeDocument/2006/relationships/hyperlink" Target="http://www.boxofficeindia.com/movie.php?movieid=3016" TargetMode="External"/><Relationship Id="rId7" Type="http://schemas.openxmlformats.org/officeDocument/2006/relationships/hyperlink" Target="http://www.boxofficeindia.com/movie.php?movieid=136" TargetMode="External"/><Relationship Id="rId71" Type="http://schemas.openxmlformats.org/officeDocument/2006/relationships/hyperlink" Target="http://www.boxofficeindia.com/movie.php?movieid=797" TargetMode="External"/><Relationship Id="rId92" Type="http://schemas.openxmlformats.org/officeDocument/2006/relationships/hyperlink" Target="http://www.boxofficeindia.com/movie.php?movieid=694" TargetMode="External"/><Relationship Id="rId2" Type="http://schemas.openxmlformats.org/officeDocument/2006/relationships/hyperlink" Target="http://www.boxofficeindia.com/movie.php?movieid=3443" TargetMode="External"/><Relationship Id="rId29" Type="http://schemas.openxmlformats.org/officeDocument/2006/relationships/hyperlink" Target="http://www.boxofficeindia.com/movie.php?movieid=1287" TargetMode="External"/><Relationship Id="rId24" Type="http://schemas.openxmlformats.org/officeDocument/2006/relationships/hyperlink" Target="http://www.boxofficeindia.com/movie.php?movieid=2952" TargetMode="External"/><Relationship Id="rId40" Type="http://schemas.openxmlformats.org/officeDocument/2006/relationships/hyperlink" Target="http://www.boxofficeindia.com/movie.php?movieid=270" TargetMode="External"/><Relationship Id="rId45" Type="http://schemas.openxmlformats.org/officeDocument/2006/relationships/hyperlink" Target="http://www.boxofficeindia.com/movie.php?movieid=591" TargetMode="External"/><Relationship Id="rId66" Type="http://schemas.openxmlformats.org/officeDocument/2006/relationships/hyperlink" Target="http://www.boxofficeindia.com/movie.php?movieid=3487" TargetMode="External"/><Relationship Id="rId87" Type="http://schemas.openxmlformats.org/officeDocument/2006/relationships/hyperlink" Target="http://www.boxofficeindia.com/movie.php?movieid=637" TargetMode="External"/><Relationship Id="rId110" Type="http://schemas.openxmlformats.org/officeDocument/2006/relationships/hyperlink" Target="http://www.boxofficeindia.com/movie.php?movieid=2560" TargetMode="External"/><Relationship Id="rId115" Type="http://schemas.openxmlformats.org/officeDocument/2006/relationships/hyperlink" Target="http://www.boxofficeindia.com/movie.php?movieid=2672" TargetMode="External"/><Relationship Id="rId131" Type="http://schemas.openxmlformats.org/officeDocument/2006/relationships/hyperlink" Target="http://www.boxofficeindia.com/movie.php?movieid=3170" TargetMode="External"/><Relationship Id="rId136" Type="http://schemas.openxmlformats.org/officeDocument/2006/relationships/drawing" Target="../drawings/drawing3.xml"/><Relationship Id="rId61" Type="http://schemas.openxmlformats.org/officeDocument/2006/relationships/hyperlink" Target="http://www.boxofficeindia.com/movie.php?movieid=2944" TargetMode="External"/><Relationship Id="rId82" Type="http://schemas.openxmlformats.org/officeDocument/2006/relationships/hyperlink" Target="http://www.boxofficeindia.com/movie.php?movieid=438" TargetMode="External"/><Relationship Id="rId19" Type="http://schemas.openxmlformats.org/officeDocument/2006/relationships/hyperlink" Target="http://www.boxofficeindia.com/movie.php?movieid=255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oxofficeindia.com/actor.php?actorid=175&amp;role=2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xofficeindia.com/actor.php?actorid=6" TargetMode="External"/><Relationship Id="rId13" Type="http://schemas.openxmlformats.org/officeDocument/2006/relationships/hyperlink" Target="http://www.boxofficeindia.com/actor.php?actorid=43" TargetMode="External"/><Relationship Id="rId18" Type="http://schemas.openxmlformats.org/officeDocument/2006/relationships/hyperlink" Target="http://www.boxofficeindia.com/actor.php?actorid=1555" TargetMode="External"/><Relationship Id="rId26" Type="http://schemas.openxmlformats.org/officeDocument/2006/relationships/hyperlink" Target="http://www.boxofficeindia.com/actor.php?actorid=7" TargetMode="External"/><Relationship Id="rId3" Type="http://schemas.openxmlformats.org/officeDocument/2006/relationships/hyperlink" Target="http://www.boxofficeindia.com/actor.php?actorid=44" TargetMode="External"/><Relationship Id="rId21" Type="http://schemas.openxmlformats.org/officeDocument/2006/relationships/hyperlink" Target="http://www.boxofficeindia.com/actor.php?actorid=11" TargetMode="External"/><Relationship Id="rId34" Type="http://schemas.openxmlformats.org/officeDocument/2006/relationships/hyperlink" Target="http://www.boxofficeindia.com/actor.php?actorid=94" TargetMode="External"/><Relationship Id="rId7" Type="http://schemas.openxmlformats.org/officeDocument/2006/relationships/hyperlink" Target="http://www.boxofficeindia.com/actor.php?actorid=29" TargetMode="External"/><Relationship Id="rId12" Type="http://schemas.openxmlformats.org/officeDocument/2006/relationships/hyperlink" Target="http://www.boxofficeindia.com/actor.php?actorid=48" TargetMode="External"/><Relationship Id="rId17" Type="http://schemas.openxmlformats.org/officeDocument/2006/relationships/hyperlink" Target="http://www.boxofficeindia.com/actor.php?actorid=8" TargetMode="External"/><Relationship Id="rId25" Type="http://schemas.openxmlformats.org/officeDocument/2006/relationships/hyperlink" Target="http://www.boxofficeindia.com/actor.php?actorid=621" TargetMode="External"/><Relationship Id="rId33" Type="http://schemas.openxmlformats.org/officeDocument/2006/relationships/hyperlink" Target="http://www.boxofficeindia.com/actor.php?actorid=8704" TargetMode="External"/><Relationship Id="rId2" Type="http://schemas.openxmlformats.org/officeDocument/2006/relationships/hyperlink" Target="http://www.boxofficeindia.com/actor.php?actorid=4" TargetMode="External"/><Relationship Id="rId16" Type="http://schemas.openxmlformats.org/officeDocument/2006/relationships/hyperlink" Target="http://www.boxofficeindia.com/actor.php?actorid=30" TargetMode="External"/><Relationship Id="rId20" Type="http://schemas.openxmlformats.org/officeDocument/2006/relationships/hyperlink" Target="http://www.boxofficeindia.com/actor.php?actorid=45" TargetMode="External"/><Relationship Id="rId29" Type="http://schemas.openxmlformats.org/officeDocument/2006/relationships/hyperlink" Target="http://www.boxofficeindia.com/actor.php?actorid=13" TargetMode="External"/><Relationship Id="rId1" Type="http://schemas.openxmlformats.org/officeDocument/2006/relationships/hyperlink" Target="http://www.boxofficeindia.com/actor.php?actorid=2" TargetMode="External"/><Relationship Id="rId6" Type="http://schemas.openxmlformats.org/officeDocument/2006/relationships/hyperlink" Target="http://www.boxofficeindia.com/actor.php?actorid=47" TargetMode="External"/><Relationship Id="rId11" Type="http://schemas.openxmlformats.org/officeDocument/2006/relationships/hyperlink" Target="http://www.boxofficeindia.com/actor.php?actorid=76" TargetMode="External"/><Relationship Id="rId24" Type="http://schemas.openxmlformats.org/officeDocument/2006/relationships/hyperlink" Target="http://www.boxofficeindia.com/actor.php?actorid=1" TargetMode="External"/><Relationship Id="rId32" Type="http://schemas.openxmlformats.org/officeDocument/2006/relationships/hyperlink" Target="http://www.boxofficeindia.com/actor.php?actorid=14" TargetMode="External"/><Relationship Id="rId37" Type="http://schemas.openxmlformats.org/officeDocument/2006/relationships/hyperlink" Target="http://www.boxofficeindia.com/actor.php?actorid=37" TargetMode="External"/><Relationship Id="rId5" Type="http://schemas.openxmlformats.org/officeDocument/2006/relationships/hyperlink" Target="http://www.boxofficeindia.com/actor.php?actorid=518" TargetMode="External"/><Relationship Id="rId15" Type="http://schemas.openxmlformats.org/officeDocument/2006/relationships/hyperlink" Target="http://www.boxofficeindia.com/actor.php?actorid=57" TargetMode="External"/><Relationship Id="rId23" Type="http://schemas.openxmlformats.org/officeDocument/2006/relationships/hyperlink" Target="http://www.boxofficeindia.com/actor.php?actorid=6603" TargetMode="External"/><Relationship Id="rId28" Type="http://schemas.openxmlformats.org/officeDocument/2006/relationships/hyperlink" Target="http://www.boxofficeindia.com/actor.php?actorid=26" TargetMode="External"/><Relationship Id="rId36" Type="http://schemas.openxmlformats.org/officeDocument/2006/relationships/hyperlink" Target="http://www.boxofficeindia.com/actor.php?actorid=21" TargetMode="External"/><Relationship Id="rId10" Type="http://schemas.openxmlformats.org/officeDocument/2006/relationships/hyperlink" Target="http://www.boxofficeindia.com/actor.php?actorid=71" TargetMode="External"/><Relationship Id="rId19" Type="http://schemas.openxmlformats.org/officeDocument/2006/relationships/hyperlink" Target="http://www.boxofficeindia.com/actor.php?actorid=3" TargetMode="External"/><Relationship Id="rId31" Type="http://schemas.openxmlformats.org/officeDocument/2006/relationships/hyperlink" Target="http://www.boxofficeindia.com/actor.php?actorid=19" TargetMode="External"/><Relationship Id="rId4" Type="http://schemas.openxmlformats.org/officeDocument/2006/relationships/hyperlink" Target="http://www.boxofficeindia.com/actor.php?actorid=5" TargetMode="External"/><Relationship Id="rId9" Type="http://schemas.openxmlformats.org/officeDocument/2006/relationships/hyperlink" Target="http://www.boxofficeindia.com/actor.php?actorid=75" TargetMode="External"/><Relationship Id="rId14" Type="http://schemas.openxmlformats.org/officeDocument/2006/relationships/hyperlink" Target="http://www.boxofficeindia.com/actor.php?actorid=102" TargetMode="External"/><Relationship Id="rId22" Type="http://schemas.openxmlformats.org/officeDocument/2006/relationships/hyperlink" Target="http://www.boxofficeindia.com/actor.php?actorid=56" TargetMode="External"/><Relationship Id="rId27" Type="http://schemas.openxmlformats.org/officeDocument/2006/relationships/hyperlink" Target="http://www.boxofficeindia.com/actor.php?actorid=50" TargetMode="External"/><Relationship Id="rId30" Type="http://schemas.openxmlformats.org/officeDocument/2006/relationships/hyperlink" Target="http://www.boxofficeindia.com/actor.php?actorid=82" TargetMode="External"/><Relationship Id="rId35" Type="http://schemas.openxmlformats.org/officeDocument/2006/relationships/hyperlink" Target="http://www.boxofficeindia.com/actor.php?actorid=354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oxofficeindia.com/movie.php?movieid=2410" TargetMode="External"/><Relationship Id="rId117" Type="http://schemas.openxmlformats.org/officeDocument/2006/relationships/hyperlink" Target="http://www.boxofficeindia.com/movie.php?movieid=2958" TargetMode="External"/><Relationship Id="rId21" Type="http://schemas.openxmlformats.org/officeDocument/2006/relationships/hyperlink" Target="http://www.boxofficeindia.com/movie.php?movieid=3033" TargetMode="External"/><Relationship Id="rId42" Type="http://schemas.openxmlformats.org/officeDocument/2006/relationships/hyperlink" Target="http://www.boxofficeindia.com/movie.php?movieid=437" TargetMode="External"/><Relationship Id="rId47" Type="http://schemas.openxmlformats.org/officeDocument/2006/relationships/hyperlink" Target="http://www.boxofficeindia.com/movie.php?movieid=639" TargetMode="External"/><Relationship Id="rId63" Type="http://schemas.openxmlformats.org/officeDocument/2006/relationships/hyperlink" Target="http://www.boxofficeindia.com/movie.php?movieid=2431" TargetMode="External"/><Relationship Id="rId68" Type="http://schemas.openxmlformats.org/officeDocument/2006/relationships/hyperlink" Target="http://www.boxofficeindia.com/movie.php?movieid=2553" TargetMode="External"/><Relationship Id="rId84" Type="http://schemas.openxmlformats.org/officeDocument/2006/relationships/hyperlink" Target="http://www.boxofficeindia.com/movie.php?movieid=3016" TargetMode="External"/><Relationship Id="rId89" Type="http://schemas.openxmlformats.org/officeDocument/2006/relationships/hyperlink" Target="http://www.boxofficeindia.com/movie.php?movieid=3158" TargetMode="External"/><Relationship Id="rId112" Type="http://schemas.openxmlformats.org/officeDocument/2006/relationships/hyperlink" Target="http://www.boxofficeindia.com/movie.php?movieid=2411" TargetMode="External"/><Relationship Id="rId133" Type="http://schemas.openxmlformats.org/officeDocument/2006/relationships/hyperlink" Target="http://www.boxofficeindia.com/movie.php?movieid=349" TargetMode="External"/><Relationship Id="rId16" Type="http://schemas.openxmlformats.org/officeDocument/2006/relationships/hyperlink" Target="http://www.boxofficeindia.com/movie.php?movieid=2690" TargetMode="External"/><Relationship Id="rId107" Type="http://schemas.openxmlformats.org/officeDocument/2006/relationships/hyperlink" Target="http://www.boxofficeindia.com/movie.php?movieid=664" TargetMode="External"/><Relationship Id="rId11" Type="http://schemas.openxmlformats.org/officeDocument/2006/relationships/hyperlink" Target="http://www.boxofficeindia.com/movie.php?movieid=2495" TargetMode="External"/><Relationship Id="rId32" Type="http://schemas.openxmlformats.org/officeDocument/2006/relationships/hyperlink" Target="http://www.boxofficeindia.com/movie.php?movieid=156" TargetMode="External"/><Relationship Id="rId37" Type="http://schemas.openxmlformats.org/officeDocument/2006/relationships/hyperlink" Target="http://www.boxofficeindia.com/movie.php?movieid=1485" TargetMode="External"/><Relationship Id="rId53" Type="http://schemas.openxmlformats.org/officeDocument/2006/relationships/hyperlink" Target="http://www.boxofficeindia.com/movie.php?movieid=661" TargetMode="External"/><Relationship Id="rId58" Type="http://schemas.openxmlformats.org/officeDocument/2006/relationships/hyperlink" Target="http://www.boxofficeindia.com/movie.php?movieid=743" TargetMode="External"/><Relationship Id="rId74" Type="http://schemas.openxmlformats.org/officeDocument/2006/relationships/hyperlink" Target="http://www.boxofficeindia.com/movie.php?movieid=2672" TargetMode="External"/><Relationship Id="rId79" Type="http://schemas.openxmlformats.org/officeDocument/2006/relationships/hyperlink" Target="http://www.boxofficeindia.com/movie.php?movieid=2807" TargetMode="External"/><Relationship Id="rId102" Type="http://schemas.openxmlformats.org/officeDocument/2006/relationships/hyperlink" Target="http://www.boxofficeindia.com/movie.php?movieid=309" TargetMode="External"/><Relationship Id="rId123" Type="http://schemas.openxmlformats.org/officeDocument/2006/relationships/hyperlink" Target="http://www.boxofficeindia.com/movie.php?movieid=1287" TargetMode="External"/><Relationship Id="rId128" Type="http://schemas.openxmlformats.org/officeDocument/2006/relationships/hyperlink" Target="http://www.boxofficeindia.com/movie.php?movieid=115" TargetMode="External"/><Relationship Id="rId5" Type="http://schemas.openxmlformats.org/officeDocument/2006/relationships/hyperlink" Target="http://www.boxofficeindia.com/movie.php?movieid=596" TargetMode="External"/><Relationship Id="rId90" Type="http://schemas.openxmlformats.org/officeDocument/2006/relationships/hyperlink" Target="http://www.boxofficeindia.com/movie.php?movieid=3170" TargetMode="External"/><Relationship Id="rId95" Type="http://schemas.openxmlformats.org/officeDocument/2006/relationships/hyperlink" Target="http://www.boxofficeindia.com/movie.php?movieid=3629" TargetMode="External"/><Relationship Id="rId14" Type="http://schemas.openxmlformats.org/officeDocument/2006/relationships/hyperlink" Target="http://www.boxofficeindia.com/movie.php?movieid=2671" TargetMode="External"/><Relationship Id="rId22" Type="http://schemas.openxmlformats.org/officeDocument/2006/relationships/hyperlink" Target="http://www.boxofficeindia.com/movie.php?movieid=11" TargetMode="External"/><Relationship Id="rId27" Type="http://schemas.openxmlformats.org/officeDocument/2006/relationships/hyperlink" Target="http://www.boxofficeindia.com/movie.php?movieid=2400" TargetMode="External"/><Relationship Id="rId30" Type="http://schemas.openxmlformats.org/officeDocument/2006/relationships/hyperlink" Target="http://www.boxofficeindia.com/movie.php?movieid=797" TargetMode="External"/><Relationship Id="rId35" Type="http://schemas.openxmlformats.org/officeDocument/2006/relationships/hyperlink" Target="http://www.boxofficeindia.com/movie.php?movieid=328" TargetMode="External"/><Relationship Id="rId43" Type="http://schemas.openxmlformats.org/officeDocument/2006/relationships/hyperlink" Target="http://www.boxofficeindia.com/movie.php?movieid=563" TargetMode="External"/><Relationship Id="rId48" Type="http://schemas.openxmlformats.org/officeDocument/2006/relationships/hyperlink" Target="http://www.boxofficeindia.com/movie.php?movieid=630" TargetMode="External"/><Relationship Id="rId56" Type="http://schemas.openxmlformats.org/officeDocument/2006/relationships/hyperlink" Target="http://www.boxofficeindia.com/movie.php?movieid=756" TargetMode="External"/><Relationship Id="rId64" Type="http://schemas.openxmlformats.org/officeDocument/2006/relationships/hyperlink" Target="http://www.boxofficeindia.com/movie.php?movieid=2491" TargetMode="External"/><Relationship Id="rId69" Type="http://schemas.openxmlformats.org/officeDocument/2006/relationships/hyperlink" Target="http://www.boxofficeindia.com/movie.php?movieid=2560" TargetMode="External"/><Relationship Id="rId77" Type="http://schemas.openxmlformats.org/officeDocument/2006/relationships/hyperlink" Target="http://www.boxofficeindia.com/movie.php?movieid=2750" TargetMode="External"/><Relationship Id="rId100" Type="http://schemas.openxmlformats.org/officeDocument/2006/relationships/hyperlink" Target="http://www.boxofficeindia.com/movie.php?movieid=45" TargetMode="External"/><Relationship Id="rId105" Type="http://schemas.openxmlformats.org/officeDocument/2006/relationships/hyperlink" Target="http://www.boxofficeindia.com/movie.php?movieid=369" TargetMode="External"/><Relationship Id="rId113" Type="http://schemas.openxmlformats.org/officeDocument/2006/relationships/hyperlink" Target="http://www.boxofficeindia.com/movie.php?movieid=2557" TargetMode="External"/><Relationship Id="rId118" Type="http://schemas.openxmlformats.org/officeDocument/2006/relationships/hyperlink" Target="http://www.boxofficeindia.com/movie.php?movieid=2952" TargetMode="External"/><Relationship Id="rId126" Type="http://schemas.openxmlformats.org/officeDocument/2006/relationships/hyperlink" Target="http://www.boxofficeindia.com/movie.php?movieid=33" TargetMode="External"/><Relationship Id="rId134" Type="http://schemas.openxmlformats.org/officeDocument/2006/relationships/hyperlink" Target="http://www.boxofficeindia.com/movie.php?movieid=270" TargetMode="External"/><Relationship Id="rId8" Type="http://schemas.openxmlformats.org/officeDocument/2006/relationships/hyperlink" Target="http://www.boxofficeindia.com/movie.php?movieid=757" TargetMode="External"/><Relationship Id="rId51" Type="http://schemas.openxmlformats.org/officeDocument/2006/relationships/hyperlink" Target="http://www.boxofficeindia.com/movie.php?movieid=694" TargetMode="External"/><Relationship Id="rId72" Type="http://schemas.openxmlformats.org/officeDocument/2006/relationships/hyperlink" Target="http://www.boxofficeindia.com/movie.php?movieid=2642" TargetMode="External"/><Relationship Id="rId80" Type="http://schemas.openxmlformats.org/officeDocument/2006/relationships/hyperlink" Target="http://www.boxofficeindia.com/movie.php?movieid=2907" TargetMode="External"/><Relationship Id="rId85" Type="http://schemas.openxmlformats.org/officeDocument/2006/relationships/hyperlink" Target="http://www.boxofficeindia.com/movie.php?movieid=3066" TargetMode="External"/><Relationship Id="rId93" Type="http://schemas.openxmlformats.org/officeDocument/2006/relationships/hyperlink" Target="http://www.boxofficeindia.com/movie.php?movieid=3321" TargetMode="External"/><Relationship Id="rId98" Type="http://schemas.openxmlformats.org/officeDocument/2006/relationships/hyperlink" Target="http://www.boxofficeindia.com/movie.php?movieid=1956" TargetMode="External"/><Relationship Id="rId121" Type="http://schemas.openxmlformats.org/officeDocument/2006/relationships/hyperlink" Target="http://www.boxofficeindia.com/movie.php?movieid=3359" TargetMode="External"/><Relationship Id="rId3" Type="http://schemas.openxmlformats.org/officeDocument/2006/relationships/hyperlink" Target="http://www.boxofficeindia.com/movie.php?movieid=231" TargetMode="External"/><Relationship Id="rId12" Type="http://schemas.openxmlformats.org/officeDocument/2006/relationships/hyperlink" Target="http://www.boxofficeindia.com/movie.php?movieid=2635" TargetMode="External"/><Relationship Id="rId17" Type="http://schemas.openxmlformats.org/officeDocument/2006/relationships/hyperlink" Target="http://www.boxofficeindia.com/movie.php?movieid=2796" TargetMode="External"/><Relationship Id="rId25" Type="http://schemas.openxmlformats.org/officeDocument/2006/relationships/hyperlink" Target="http://www.boxofficeindia.com/movie.php?movieid=3487" TargetMode="External"/><Relationship Id="rId33" Type="http://schemas.openxmlformats.org/officeDocument/2006/relationships/hyperlink" Target="http://www.boxofficeindia.com/movie.php?movieid=154" TargetMode="External"/><Relationship Id="rId38" Type="http://schemas.openxmlformats.org/officeDocument/2006/relationships/hyperlink" Target="http://www.boxofficeindia.com/movie.php?movieid=343" TargetMode="External"/><Relationship Id="rId46" Type="http://schemas.openxmlformats.org/officeDocument/2006/relationships/hyperlink" Target="http://www.boxofficeindia.com/movie.php?movieid=637" TargetMode="External"/><Relationship Id="rId59" Type="http://schemas.openxmlformats.org/officeDocument/2006/relationships/hyperlink" Target="http://www.boxofficeindia.com/movie.php?movieid=439" TargetMode="External"/><Relationship Id="rId67" Type="http://schemas.openxmlformats.org/officeDocument/2006/relationships/hyperlink" Target="http://www.boxofficeindia.com/movie.php?movieid=2529" TargetMode="External"/><Relationship Id="rId103" Type="http://schemas.openxmlformats.org/officeDocument/2006/relationships/hyperlink" Target="http://www.boxofficeindia.com/movie.php?movieid=263" TargetMode="External"/><Relationship Id="rId108" Type="http://schemas.openxmlformats.org/officeDocument/2006/relationships/hyperlink" Target="http://www.boxofficeindia.com/movie.php?movieid=659" TargetMode="External"/><Relationship Id="rId116" Type="http://schemas.openxmlformats.org/officeDocument/2006/relationships/hyperlink" Target="http://www.boxofficeindia.com/movie.php?movieid=2916" TargetMode="External"/><Relationship Id="rId124" Type="http://schemas.openxmlformats.org/officeDocument/2006/relationships/hyperlink" Target="http://www.boxofficeindia.com/movie.php?movieid=1166" TargetMode="External"/><Relationship Id="rId129" Type="http://schemas.openxmlformats.org/officeDocument/2006/relationships/hyperlink" Target="http://www.boxofficeindia.com/movie.php?movieid=785" TargetMode="External"/><Relationship Id="rId20" Type="http://schemas.openxmlformats.org/officeDocument/2006/relationships/hyperlink" Target="http://www.boxofficeindia.com/movie.php?movieid=2944" TargetMode="External"/><Relationship Id="rId41" Type="http://schemas.openxmlformats.org/officeDocument/2006/relationships/hyperlink" Target="http://www.boxofficeindia.com/movie.php?movieid=438" TargetMode="External"/><Relationship Id="rId54" Type="http://schemas.openxmlformats.org/officeDocument/2006/relationships/hyperlink" Target="http://www.boxofficeindia.com/movie.php?movieid=732" TargetMode="External"/><Relationship Id="rId62" Type="http://schemas.openxmlformats.org/officeDocument/2006/relationships/hyperlink" Target="http://www.boxofficeindia.com/movie.php?movieid=2419" TargetMode="External"/><Relationship Id="rId70" Type="http://schemas.openxmlformats.org/officeDocument/2006/relationships/hyperlink" Target="http://www.boxofficeindia.com/movie.php?movieid=2572" TargetMode="External"/><Relationship Id="rId75" Type="http://schemas.openxmlformats.org/officeDocument/2006/relationships/hyperlink" Target="http://www.boxofficeindia.com/movie.php?movieid=2704" TargetMode="External"/><Relationship Id="rId83" Type="http://schemas.openxmlformats.org/officeDocument/2006/relationships/hyperlink" Target="http://www.boxofficeindia.com/movie.php?movieid=3008" TargetMode="External"/><Relationship Id="rId88" Type="http://schemas.openxmlformats.org/officeDocument/2006/relationships/hyperlink" Target="http://www.boxofficeindia.com/movie.php?movieid=3106" TargetMode="External"/><Relationship Id="rId91" Type="http://schemas.openxmlformats.org/officeDocument/2006/relationships/hyperlink" Target="http://www.boxofficeindia.com/movie.php?movieid=3181" TargetMode="External"/><Relationship Id="rId96" Type="http://schemas.openxmlformats.org/officeDocument/2006/relationships/hyperlink" Target="http://www.boxofficeindia.com/movie.php?movieid=3443" TargetMode="External"/><Relationship Id="rId111" Type="http://schemas.openxmlformats.org/officeDocument/2006/relationships/hyperlink" Target="http://www.boxofficeindia.com/movie.php?movieid=2389" TargetMode="External"/><Relationship Id="rId132" Type="http://schemas.openxmlformats.org/officeDocument/2006/relationships/hyperlink" Target="http://www.boxofficeindia.com/movie.php?movieid=1467" TargetMode="External"/><Relationship Id="rId1" Type="http://schemas.openxmlformats.org/officeDocument/2006/relationships/hyperlink" Target="http://www.boxofficeindia.com/movie.php?movieid=2201" TargetMode="External"/><Relationship Id="rId6" Type="http://schemas.openxmlformats.org/officeDocument/2006/relationships/hyperlink" Target="http://www.boxofficeindia.com/movie.php?movieid=667" TargetMode="External"/><Relationship Id="rId15" Type="http://schemas.openxmlformats.org/officeDocument/2006/relationships/hyperlink" Target="http://www.boxofficeindia.com/movie.php?movieid=2683" TargetMode="External"/><Relationship Id="rId23" Type="http://schemas.openxmlformats.org/officeDocument/2006/relationships/hyperlink" Target="http://www.boxofficeindia.com/movie.php?movieid=3142" TargetMode="External"/><Relationship Id="rId28" Type="http://schemas.openxmlformats.org/officeDocument/2006/relationships/hyperlink" Target="http://www.boxofficeindia.com/movie.php?movieid=1233" TargetMode="External"/><Relationship Id="rId36" Type="http://schemas.openxmlformats.org/officeDocument/2006/relationships/hyperlink" Target="http://www.boxofficeindia.com/movie.php?movieid=258" TargetMode="External"/><Relationship Id="rId49" Type="http://schemas.openxmlformats.org/officeDocument/2006/relationships/hyperlink" Target="http://www.boxofficeindia.com/movie.php?movieid=677" TargetMode="External"/><Relationship Id="rId57" Type="http://schemas.openxmlformats.org/officeDocument/2006/relationships/hyperlink" Target="http://www.boxofficeindia.com/movie.php?movieid=722" TargetMode="External"/><Relationship Id="rId106" Type="http://schemas.openxmlformats.org/officeDocument/2006/relationships/hyperlink" Target="http://www.boxofficeindia.com/movie.php?movieid=391" TargetMode="External"/><Relationship Id="rId114" Type="http://schemas.openxmlformats.org/officeDocument/2006/relationships/hyperlink" Target="http://www.boxofficeindia.com/movie.php?movieid=2627" TargetMode="External"/><Relationship Id="rId119" Type="http://schemas.openxmlformats.org/officeDocument/2006/relationships/hyperlink" Target="http://www.boxofficeindia.com/movie.php?movieid=3005" TargetMode="External"/><Relationship Id="rId127" Type="http://schemas.openxmlformats.org/officeDocument/2006/relationships/hyperlink" Target="http://www.boxofficeindia.com/movie.php?movieid=84" TargetMode="External"/><Relationship Id="rId10" Type="http://schemas.openxmlformats.org/officeDocument/2006/relationships/hyperlink" Target="http://www.boxofficeindia.com/movie.php?movieid=2445" TargetMode="External"/><Relationship Id="rId31" Type="http://schemas.openxmlformats.org/officeDocument/2006/relationships/hyperlink" Target="http://www.boxofficeindia.com/movie.php?movieid=88" TargetMode="External"/><Relationship Id="rId44" Type="http://schemas.openxmlformats.org/officeDocument/2006/relationships/hyperlink" Target="http://www.boxofficeindia.com/movie.php?movieid=522" TargetMode="External"/><Relationship Id="rId52" Type="http://schemas.openxmlformats.org/officeDocument/2006/relationships/hyperlink" Target="http://www.boxofficeindia.com/movie.php?movieid=670" TargetMode="External"/><Relationship Id="rId60" Type="http://schemas.openxmlformats.org/officeDocument/2006/relationships/hyperlink" Target="http://www.boxofficeindia.com/movie.php?movieid=2370" TargetMode="External"/><Relationship Id="rId65" Type="http://schemas.openxmlformats.org/officeDocument/2006/relationships/hyperlink" Target="http://www.boxofficeindia.com/movie.php?movieid=2510" TargetMode="External"/><Relationship Id="rId73" Type="http://schemas.openxmlformats.org/officeDocument/2006/relationships/hyperlink" Target="http://www.boxofficeindia.com/movie.php?movieid=2646" TargetMode="External"/><Relationship Id="rId78" Type="http://schemas.openxmlformats.org/officeDocument/2006/relationships/hyperlink" Target="http://www.boxofficeindia.com/movie.php?movieid=2775" TargetMode="External"/><Relationship Id="rId81" Type="http://schemas.openxmlformats.org/officeDocument/2006/relationships/hyperlink" Target="http://www.boxofficeindia.com/movie.php?movieid=2974" TargetMode="External"/><Relationship Id="rId86" Type="http://schemas.openxmlformats.org/officeDocument/2006/relationships/hyperlink" Target="http://www.boxofficeindia.com/movie.php?movieid=3077" TargetMode="External"/><Relationship Id="rId94" Type="http://schemas.openxmlformats.org/officeDocument/2006/relationships/hyperlink" Target="http://www.boxofficeindia.com/movie.php?movieid=3326" TargetMode="External"/><Relationship Id="rId99" Type="http://schemas.openxmlformats.org/officeDocument/2006/relationships/hyperlink" Target="http://www.boxofficeindia.com/movie.php?movieid=1197" TargetMode="External"/><Relationship Id="rId101" Type="http://schemas.openxmlformats.org/officeDocument/2006/relationships/hyperlink" Target="http://www.boxofficeindia.com/movie.php?movieid=136" TargetMode="External"/><Relationship Id="rId122" Type="http://schemas.openxmlformats.org/officeDocument/2006/relationships/hyperlink" Target="http://www.boxofficeindia.com/movie.php?movieid=2104" TargetMode="External"/><Relationship Id="rId130" Type="http://schemas.openxmlformats.org/officeDocument/2006/relationships/hyperlink" Target="http://www.boxofficeindia.com/movie.php?movieid=338" TargetMode="External"/><Relationship Id="rId135" Type="http://schemas.openxmlformats.org/officeDocument/2006/relationships/hyperlink" Target="http://www.boxofficeindia.com/movie.php?movieid=416" TargetMode="External"/><Relationship Id="rId4" Type="http://schemas.openxmlformats.org/officeDocument/2006/relationships/hyperlink" Target="http://www.boxofficeindia.com/movie.php?movieid=591" TargetMode="External"/><Relationship Id="rId9" Type="http://schemas.openxmlformats.org/officeDocument/2006/relationships/hyperlink" Target="http://www.boxofficeindia.com/movie.php?movieid=718" TargetMode="External"/><Relationship Id="rId13" Type="http://schemas.openxmlformats.org/officeDocument/2006/relationships/hyperlink" Target="http://www.boxofficeindia.com/movie.php?movieid=2647" TargetMode="External"/><Relationship Id="rId18" Type="http://schemas.openxmlformats.org/officeDocument/2006/relationships/hyperlink" Target="http://www.boxofficeindia.com/movie.php?movieid=2819" TargetMode="External"/><Relationship Id="rId39" Type="http://schemas.openxmlformats.org/officeDocument/2006/relationships/hyperlink" Target="http://www.boxofficeindia.com/movie.php?movieid=284" TargetMode="External"/><Relationship Id="rId109" Type="http://schemas.openxmlformats.org/officeDocument/2006/relationships/hyperlink" Target="http://www.boxofficeindia.com/movie.php?movieid=724" TargetMode="External"/><Relationship Id="rId34" Type="http://schemas.openxmlformats.org/officeDocument/2006/relationships/hyperlink" Target="http://www.boxofficeindia.com/movie.php?movieid=996" TargetMode="External"/><Relationship Id="rId50" Type="http://schemas.openxmlformats.org/officeDocument/2006/relationships/hyperlink" Target="http://www.boxofficeindia.com/movie.php?movieid=673" TargetMode="External"/><Relationship Id="rId55" Type="http://schemas.openxmlformats.org/officeDocument/2006/relationships/hyperlink" Target="http://www.boxofficeindia.com/movie.php?movieid=742" TargetMode="External"/><Relationship Id="rId76" Type="http://schemas.openxmlformats.org/officeDocument/2006/relationships/hyperlink" Target="http://www.boxofficeindia.com/movie.php?movieid=2736" TargetMode="External"/><Relationship Id="rId97" Type="http://schemas.openxmlformats.org/officeDocument/2006/relationships/hyperlink" Target="http://www.boxofficeindia.com/movie.php?movieid=2482" TargetMode="External"/><Relationship Id="rId104" Type="http://schemas.openxmlformats.org/officeDocument/2006/relationships/hyperlink" Target="http://www.boxofficeindia.com/movie.php?movieid=297" TargetMode="External"/><Relationship Id="rId120" Type="http://schemas.openxmlformats.org/officeDocument/2006/relationships/hyperlink" Target="http://www.boxofficeindia.com/movie.php?movieid=3035" TargetMode="External"/><Relationship Id="rId125" Type="http://schemas.openxmlformats.org/officeDocument/2006/relationships/hyperlink" Target="http://www.boxofficeindia.com/movie.php?movieid=178" TargetMode="External"/><Relationship Id="rId7" Type="http://schemas.openxmlformats.org/officeDocument/2006/relationships/hyperlink" Target="http://www.boxofficeindia.com/movie.php?movieid=675" TargetMode="External"/><Relationship Id="rId71" Type="http://schemas.openxmlformats.org/officeDocument/2006/relationships/hyperlink" Target="http://www.boxofficeindia.com/movie.php?movieid=2599" TargetMode="External"/><Relationship Id="rId92" Type="http://schemas.openxmlformats.org/officeDocument/2006/relationships/hyperlink" Target="http://www.boxofficeindia.com/movie.php?movieid=3183" TargetMode="External"/><Relationship Id="rId2" Type="http://schemas.openxmlformats.org/officeDocument/2006/relationships/hyperlink" Target="http://www.boxofficeindia.com/movie.php?movieid=2068" TargetMode="External"/><Relationship Id="rId29" Type="http://schemas.openxmlformats.org/officeDocument/2006/relationships/hyperlink" Target="http://www.boxofficeindia.com/movie.php?movieid=852" TargetMode="External"/><Relationship Id="rId24" Type="http://schemas.openxmlformats.org/officeDocument/2006/relationships/hyperlink" Target="http://www.boxofficeindia.com/movie.php?movieid=3318" TargetMode="External"/><Relationship Id="rId40" Type="http://schemas.openxmlformats.org/officeDocument/2006/relationships/hyperlink" Target="http://www.boxofficeindia.com/movie.php?movieid=386" TargetMode="External"/><Relationship Id="rId45" Type="http://schemas.openxmlformats.org/officeDocument/2006/relationships/hyperlink" Target="http://www.boxofficeindia.com/movie.php?movieid=1240" TargetMode="External"/><Relationship Id="rId66" Type="http://schemas.openxmlformats.org/officeDocument/2006/relationships/hyperlink" Target="http://www.boxofficeindia.com/movie.php?movieid=2515" TargetMode="External"/><Relationship Id="rId87" Type="http://schemas.openxmlformats.org/officeDocument/2006/relationships/hyperlink" Target="http://www.boxofficeindia.com/movie.php?movieid=3094" TargetMode="External"/><Relationship Id="rId110" Type="http://schemas.openxmlformats.org/officeDocument/2006/relationships/hyperlink" Target="http://www.boxofficeindia.com/movie.php?movieid=2372" TargetMode="External"/><Relationship Id="rId115" Type="http://schemas.openxmlformats.org/officeDocument/2006/relationships/hyperlink" Target="http://www.boxofficeindia.com/movie.php?movieid=2737" TargetMode="External"/><Relationship Id="rId131" Type="http://schemas.openxmlformats.org/officeDocument/2006/relationships/hyperlink" Target="http://www.boxofficeindia.com/movie.php?movieid=254" TargetMode="External"/><Relationship Id="rId136" Type="http://schemas.openxmlformats.org/officeDocument/2006/relationships/drawing" Target="../drawings/drawing1.xml"/><Relationship Id="rId61" Type="http://schemas.openxmlformats.org/officeDocument/2006/relationships/hyperlink" Target="http://www.boxofficeindia.com/movie.php?movieid=2404" TargetMode="External"/><Relationship Id="rId82" Type="http://schemas.openxmlformats.org/officeDocument/2006/relationships/hyperlink" Target="http://www.boxofficeindia.com/movie.php?movieid=2969" TargetMode="External"/><Relationship Id="rId19" Type="http://schemas.openxmlformats.org/officeDocument/2006/relationships/hyperlink" Target="http://www.boxofficeindia.com/movie.php?movieid=29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ollywoodtrade.com/" TargetMode="External"/><Relationship Id="rId7" Type="http://schemas.openxmlformats.org/officeDocument/2006/relationships/hyperlink" Target="http://www.boxofficeindia.com/years.php?year=1994&amp;pageId=4" TargetMode="External"/><Relationship Id="rId2" Type="http://schemas.openxmlformats.org/officeDocument/2006/relationships/hyperlink" Target="http://ibosnetwork.com/" TargetMode="External"/><Relationship Id="rId1" Type="http://schemas.openxmlformats.org/officeDocument/2006/relationships/hyperlink" Target="http://www.boxofficeindia.com/" TargetMode="External"/><Relationship Id="rId6" Type="http://schemas.openxmlformats.org/officeDocument/2006/relationships/hyperlink" Target="http://www.boxofficeindia.com/hit-down.php?txtYearlyData=2010-2019" TargetMode="External"/><Relationship Id="rId5" Type="http://schemas.openxmlformats.org/officeDocument/2006/relationships/hyperlink" Target="http://www.boxofficeindia.com/hit-down.php?txtYearlyData=2000-2009" TargetMode="External"/><Relationship Id="rId4" Type="http://schemas.openxmlformats.org/officeDocument/2006/relationships/hyperlink" Target="http://www.boxofficeindia.com/hit-down.php?txtYearlyData=1990-199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ibosnetwork.com/asp/filmbodetails.asp?id=Dil+Tera+Aashiq" TargetMode="External"/><Relationship Id="rId3" Type="http://schemas.openxmlformats.org/officeDocument/2006/relationships/hyperlink" Target="http://ibosnetwork.com/asp/topfilmsbypair.asp?actor=Salman+Khan&amp;actress=Madhuri+Dixit&amp;sortorder=RAW_GROSS" TargetMode="External"/><Relationship Id="rId7" Type="http://schemas.openxmlformats.org/officeDocument/2006/relationships/hyperlink" Target="http://ibosnetwork.com/asp/filmbodetails.asp?id=Hum+Tumhare+Hain+Sanam" TargetMode="External"/><Relationship Id="rId2" Type="http://schemas.openxmlformats.org/officeDocument/2006/relationships/hyperlink" Target="http://ibosnetwork.com/asp/topfilmsbypair.asp?actor=Salman+Khan&amp;actress=Madhuri+Dixit&amp;sortorder=RELEASED" TargetMode="External"/><Relationship Id="rId1" Type="http://schemas.openxmlformats.org/officeDocument/2006/relationships/hyperlink" Target="http://ibosnetwork.com/asp/topfilmsbypair.asp?actor=Salman+Khan&amp;actress=Madhuri+Dixit&amp;sortorder=FILMNAME" TargetMode="External"/><Relationship Id="rId6" Type="http://schemas.openxmlformats.org/officeDocument/2006/relationships/hyperlink" Target="http://ibosnetwork.com/asp/filmbodetails.asp?id=Saajan" TargetMode="External"/><Relationship Id="rId5" Type="http://schemas.openxmlformats.org/officeDocument/2006/relationships/hyperlink" Target="http://ibosnetwork.com/asp/filmbodetails.asp?id=Hum+Aapke+Hai+Kaun" TargetMode="External"/><Relationship Id="rId4" Type="http://schemas.openxmlformats.org/officeDocument/2006/relationships/hyperlink" Target="http://ibosnetwork.com/asp/topfilmsbypair.asp?actor=Salman+Khan&amp;actress=Madhuri+Dixit&amp;sortorder=ADJUSTED_GROSS" TargetMode="External"/><Relationship Id="rId9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xofficeindia.com/movie.php?movieid=225" TargetMode="External"/><Relationship Id="rId18" Type="http://schemas.openxmlformats.org/officeDocument/2006/relationships/hyperlink" Target="http://www.boxofficeindia.com/movie.php?movieid=346" TargetMode="External"/><Relationship Id="rId26" Type="http://schemas.openxmlformats.org/officeDocument/2006/relationships/hyperlink" Target="http://www.boxofficeindia.com/movie.php?movieid=242" TargetMode="External"/><Relationship Id="rId39" Type="http://schemas.openxmlformats.org/officeDocument/2006/relationships/hyperlink" Target="http://www.boxofficeindia.com/movie.php?movieid=1472" TargetMode="External"/><Relationship Id="rId3" Type="http://schemas.openxmlformats.org/officeDocument/2006/relationships/hyperlink" Target="http://www.boxofficeindia.com/movie.php?movieid=234" TargetMode="External"/><Relationship Id="rId21" Type="http://schemas.openxmlformats.org/officeDocument/2006/relationships/hyperlink" Target="http://www.boxofficeindia.com/movie.php?movieid=344" TargetMode="External"/><Relationship Id="rId34" Type="http://schemas.openxmlformats.org/officeDocument/2006/relationships/hyperlink" Target="http://www.boxofficeindia.com/movie.php?movieid=1443" TargetMode="External"/><Relationship Id="rId42" Type="http://schemas.openxmlformats.org/officeDocument/2006/relationships/hyperlink" Target="http://www.boxofficeindia.com/movie.php?movieid=1452" TargetMode="External"/><Relationship Id="rId47" Type="http://schemas.openxmlformats.org/officeDocument/2006/relationships/hyperlink" Target="http://www.boxofficeindia.com/movie.php?movieid=1275" TargetMode="External"/><Relationship Id="rId50" Type="http://schemas.openxmlformats.org/officeDocument/2006/relationships/hyperlink" Target="http://www.boxofficeindia.com/movie.php?movieid=352" TargetMode="External"/><Relationship Id="rId7" Type="http://schemas.openxmlformats.org/officeDocument/2006/relationships/hyperlink" Target="http://www.boxofficeindia.com/movie.php?movieid=246" TargetMode="External"/><Relationship Id="rId12" Type="http://schemas.openxmlformats.org/officeDocument/2006/relationships/hyperlink" Target="http://www.boxofficeindia.com/movie.php?movieid=248" TargetMode="External"/><Relationship Id="rId17" Type="http://schemas.openxmlformats.org/officeDocument/2006/relationships/hyperlink" Target="http://www.boxofficeindia.com/movie.php?movieid=260" TargetMode="External"/><Relationship Id="rId25" Type="http://schemas.openxmlformats.org/officeDocument/2006/relationships/hyperlink" Target="http://www.boxofficeindia.com/movie.php?movieid=231" TargetMode="External"/><Relationship Id="rId33" Type="http://schemas.openxmlformats.org/officeDocument/2006/relationships/hyperlink" Target="http://www.boxofficeindia.com/movie.php?movieid=228" TargetMode="External"/><Relationship Id="rId38" Type="http://schemas.openxmlformats.org/officeDocument/2006/relationships/hyperlink" Target="http://www.boxofficeindia.com/movie.php?movieid=1469" TargetMode="External"/><Relationship Id="rId46" Type="http://schemas.openxmlformats.org/officeDocument/2006/relationships/hyperlink" Target="http://www.boxofficeindia.com/movie.php?movieid=353" TargetMode="External"/><Relationship Id="rId2" Type="http://schemas.openxmlformats.org/officeDocument/2006/relationships/hyperlink" Target="http://www.boxofficeindia.com/movie.php?movieid=265" TargetMode="External"/><Relationship Id="rId16" Type="http://schemas.openxmlformats.org/officeDocument/2006/relationships/hyperlink" Target="http://www.boxofficeindia.com/movie.php?movieid=227" TargetMode="External"/><Relationship Id="rId20" Type="http://schemas.openxmlformats.org/officeDocument/2006/relationships/hyperlink" Target="http://www.boxofficeindia.com/movie.php?movieid=345" TargetMode="External"/><Relationship Id="rId29" Type="http://schemas.openxmlformats.org/officeDocument/2006/relationships/hyperlink" Target="http://www.boxofficeindia.com/movie.php?movieid=349" TargetMode="External"/><Relationship Id="rId41" Type="http://schemas.openxmlformats.org/officeDocument/2006/relationships/hyperlink" Target="http://www.boxofficeindia.com/movie.php?movieid=1434" TargetMode="External"/><Relationship Id="rId1" Type="http://schemas.openxmlformats.org/officeDocument/2006/relationships/hyperlink" Target="http://www.boxofficeindia.com/movie.php?movieid=266" TargetMode="External"/><Relationship Id="rId6" Type="http://schemas.openxmlformats.org/officeDocument/2006/relationships/hyperlink" Target="http://www.boxofficeindia.com/movie.php?movieid=233" TargetMode="External"/><Relationship Id="rId11" Type="http://schemas.openxmlformats.org/officeDocument/2006/relationships/hyperlink" Target="http://www.boxofficeindia.com/movie.php?movieid=239" TargetMode="External"/><Relationship Id="rId24" Type="http://schemas.openxmlformats.org/officeDocument/2006/relationships/hyperlink" Target="http://www.boxofficeindia.com/movie.php?movieid=348" TargetMode="External"/><Relationship Id="rId32" Type="http://schemas.openxmlformats.org/officeDocument/2006/relationships/hyperlink" Target="http://www.boxofficeindia.com/movie.php?movieid=243" TargetMode="External"/><Relationship Id="rId37" Type="http://schemas.openxmlformats.org/officeDocument/2006/relationships/hyperlink" Target="http://www.boxofficeindia.com/movie.php?movieid=1457" TargetMode="External"/><Relationship Id="rId40" Type="http://schemas.openxmlformats.org/officeDocument/2006/relationships/hyperlink" Target="http://www.boxofficeindia.com/movie.php?movieid=357" TargetMode="External"/><Relationship Id="rId45" Type="http://schemas.openxmlformats.org/officeDocument/2006/relationships/hyperlink" Target="http://www.boxofficeindia.com/movie.php?movieid=245" TargetMode="External"/><Relationship Id="rId5" Type="http://schemas.openxmlformats.org/officeDocument/2006/relationships/hyperlink" Target="http://www.boxofficeindia.com/movie.php?movieid=258" TargetMode="External"/><Relationship Id="rId15" Type="http://schemas.openxmlformats.org/officeDocument/2006/relationships/hyperlink" Target="http://www.boxofficeindia.com/movie.php?movieid=343" TargetMode="External"/><Relationship Id="rId23" Type="http://schemas.openxmlformats.org/officeDocument/2006/relationships/hyperlink" Target="http://www.boxofficeindia.com/movie.php?movieid=240" TargetMode="External"/><Relationship Id="rId28" Type="http://schemas.openxmlformats.org/officeDocument/2006/relationships/hyperlink" Target="http://www.boxofficeindia.com/movie.php?movieid=226" TargetMode="External"/><Relationship Id="rId36" Type="http://schemas.openxmlformats.org/officeDocument/2006/relationships/hyperlink" Target="http://www.boxofficeindia.com/movie.php?movieid=1465" TargetMode="External"/><Relationship Id="rId49" Type="http://schemas.openxmlformats.org/officeDocument/2006/relationships/hyperlink" Target="http://www.boxofficeindia.com/movie.php?movieid=1474" TargetMode="External"/><Relationship Id="rId10" Type="http://schemas.openxmlformats.org/officeDocument/2006/relationships/hyperlink" Target="http://www.boxofficeindia.com/movie.php?movieid=224" TargetMode="External"/><Relationship Id="rId19" Type="http://schemas.openxmlformats.org/officeDocument/2006/relationships/hyperlink" Target="http://www.boxofficeindia.com/movie.php?movieid=235" TargetMode="External"/><Relationship Id="rId31" Type="http://schemas.openxmlformats.org/officeDocument/2006/relationships/hyperlink" Target="http://www.boxofficeindia.com/movie.php?movieid=1431" TargetMode="External"/><Relationship Id="rId44" Type="http://schemas.openxmlformats.org/officeDocument/2006/relationships/hyperlink" Target="http://www.boxofficeindia.com/movie.php?movieid=354" TargetMode="External"/><Relationship Id="rId4" Type="http://schemas.openxmlformats.org/officeDocument/2006/relationships/hyperlink" Target="http://www.boxofficeindia.com/movie.php?movieid=263" TargetMode="External"/><Relationship Id="rId9" Type="http://schemas.openxmlformats.org/officeDocument/2006/relationships/hyperlink" Target="http://www.boxofficeindia.com/movie.php?movieid=341" TargetMode="External"/><Relationship Id="rId14" Type="http://schemas.openxmlformats.org/officeDocument/2006/relationships/hyperlink" Target="http://www.boxofficeindia.com/movie.php?movieid=342" TargetMode="External"/><Relationship Id="rId22" Type="http://schemas.openxmlformats.org/officeDocument/2006/relationships/hyperlink" Target="http://www.boxofficeindia.com/movie.php?movieid=347" TargetMode="External"/><Relationship Id="rId27" Type="http://schemas.openxmlformats.org/officeDocument/2006/relationships/hyperlink" Target="http://www.boxofficeindia.com/movie.php?movieid=255" TargetMode="External"/><Relationship Id="rId30" Type="http://schemas.openxmlformats.org/officeDocument/2006/relationships/hyperlink" Target="http://www.boxofficeindia.com/movie.php?movieid=360" TargetMode="External"/><Relationship Id="rId35" Type="http://schemas.openxmlformats.org/officeDocument/2006/relationships/hyperlink" Target="http://www.boxofficeindia.com/movie.php?movieid=350" TargetMode="External"/><Relationship Id="rId43" Type="http://schemas.openxmlformats.org/officeDocument/2006/relationships/hyperlink" Target="http://www.boxofficeindia.com/movie.php?movieid=247" TargetMode="External"/><Relationship Id="rId48" Type="http://schemas.openxmlformats.org/officeDocument/2006/relationships/hyperlink" Target="http://www.boxofficeindia.com/movie.php?movieid=238" TargetMode="External"/><Relationship Id="rId8" Type="http://schemas.openxmlformats.org/officeDocument/2006/relationships/hyperlink" Target="http://www.boxofficeindia.com/movie.php?movieid=223" TargetMode="External"/><Relationship Id="rId5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xofficeindia.com/actor.php?actorid=73" TargetMode="External"/><Relationship Id="rId13" Type="http://schemas.openxmlformats.org/officeDocument/2006/relationships/hyperlink" Target="http://www.boxofficeindia.com/actor.php?actorid=728" TargetMode="External"/><Relationship Id="rId18" Type="http://schemas.openxmlformats.org/officeDocument/2006/relationships/hyperlink" Target="http://www.boxofficeindia.com/actor.php?actorid=6604" TargetMode="External"/><Relationship Id="rId26" Type="http://schemas.openxmlformats.org/officeDocument/2006/relationships/hyperlink" Target="http://www.boxofficeindia.com/actor.php?actorid=176" TargetMode="External"/><Relationship Id="rId3" Type="http://schemas.openxmlformats.org/officeDocument/2006/relationships/hyperlink" Target="http://www.boxofficeindia.com/actor.php?actorid=17" TargetMode="External"/><Relationship Id="rId21" Type="http://schemas.openxmlformats.org/officeDocument/2006/relationships/hyperlink" Target="http://www.boxofficeindia.com/actor.php?actorid=1235" TargetMode="External"/><Relationship Id="rId34" Type="http://schemas.openxmlformats.org/officeDocument/2006/relationships/hyperlink" Target="http://www.boxofficeindia.com/actor.php?actorid=134" TargetMode="External"/><Relationship Id="rId7" Type="http://schemas.openxmlformats.org/officeDocument/2006/relationships/hyperlink" Target="http://www.boxofficeindia.com/actor.php?actorid=118" TargetMode="External"/><Relationship Id="rId12" Type="http://schemas.openxmlformats.org/officeDocument/2006/relationships/hyperlink" Target="http://www.boxofficeindia.com/actor.php?actorid=316" TargetMode="External"/><Relationship Id="rId17" Type="http://schemas.openxmlformats.org/officeDocument/2006/relationships/hyperlink" Target="http://www.boxofficeindia.com/actor.php?actorid=172" TargetMode="External"/><Relationship Id="rId25" Type="http://schemas.openxmlformats.org/officeDocument/2006/relationships/hyperlink" Target="http://www.boxofficeindia.com/actor.php?actorid=663" TargetMode="External"/><Relationship Id="rId33" Type="http://schemas.openxmlformats.org/officeDocument/2006/relationships/hyperlink" Target="http://www.boxofficeindia.com/actor.php?actorid=12" TargetMode="External"/><Relationship Id="rId2" Type="http://schemas.openxmlformats.org/officeDocument/2006/relationships/hyperlink" Target="http://www.boxofficeindia.com/actor.php?actorid=10" TargetMode="External"/><Relationship Id="rId16" Type="http://schemas.openxmlformats.org/officeDocument/2006/relationships/hyperlink" Target="http://www.boxofficeindia.com/actor.php?actorid=479" TargetMode="External"/><Relationship Id="rId20" Type="http://schemas.openxmlformats.org/officeDocument/2006/relationships/hyperlink" Target="http://www.boxofficeindia.com/actor.php?actorid=704" TargetMode="External"/><Relationship Id="rId29" Type="http://schemas.openxmlformats.org/officeDocument/2006/relationships/hyperlink" Target="http://www.boxofficeindia.com/actor.php?actorid=622" TargetMode="External"/><Relationship Id="rId1" Type="http://schemas.openxmlformats.org/officeDocument/2006/relationships/hyperlink" Target="http://www.boxofficeindia.com/actor.php?actorid=49" TargetMode="External"/><Relationship Id="rId6" Type="http://schemas.openxmlformats.org/officeDocument/2006/relationships/hyperlink" Target="http://www.boxofficeindia.com/actor.php?actorid=92" TargetMode="External"/><Relationship Id="rId11" Type="http://schemas.openxmlformats.org/officeDocument/2006/relationships/hyperlink" Target="http://www.boxofficeindia.com/actor.php?actorid=91" TargetMode="External"/><Relationship Id="rId24" Type="http://schemas.openxmlformats.org/officeDocument/2006/relationships/hyperlink" Target="http://www.boxofficeindia.com/actor.php?actorid=74" TargetMode="External"/><Relationship Id="rId32" Type="http://schemas.openxmlformats.org/officeDocument/2006/relationships/hyperlink" Target="http://www.boxofficeindia.com/actor.php?actorid=1531" TargetMode="External"/><Relationship Id="rId5" Type="http://schemas.openxmlformats.org/officeDocument/2006/relationships/hyperlink" Target="http://www.boxofficeindia.com/actor.php?actorid=63" TargetMode="External"/><Relationship Id="rId15" Type="http://schemas.openxmlformats.org/officeDocument/2006/relationships/hyperlink" Target="http://www.boxofficeindia.com/actor.php?actorid=184" TargetMode="External"/><Relationship Id="rId23" Type="http://schemas.openxmlformats.org/officeDocument/2006/relationships/hyperlink" Target="http://www.boxofficeindia.com/actor.php?actorid=65" TargetMode="External"/><Relationship Id="rId28" Type="http://schemas.openxmlformats.org/officeDocument/2006/relationships/hyperlink" Target="http://www.boxofficeindia.com/actor.php?actorid=720" TargetMode="External"/><Relationship Id="rId10" Type="http://schemas.openxmlformats.org/officeDocument/2006/relationships/hyperlink" Target="http://www.boxofficeindia.com/actor.php?actorid=119" TargetMode="External"/><Relationship Id="rId19" Type="http://schemas.openxmlformats.org/officeDocument/2006/relationships/hyperlink" Target="http://www.boxofficeindia.com/actor.php?actorid=16" TargetMode="External"/><Relationship Id="rId31" Type="http://schemas.openxmlformats.org/officeDocument/2006/relationships/hyperlink" Target="http://www.boxofficeindia.com/actor.php?actorid=177" TargetMode="External"/><Relationship Id="rId4" Type="http://schemas.openxmlformats.org/officeDocument/2006/relationships/hyperlink" Target="http://www.boxofficeindia.com/actor.php?actorid=62" TargetMode="External"/><Relationship Id="rId9" Type="http://schemas.openxmlformats.org/officeDocument/2006/relationships/hyperlink" Target="http://www.boxofficeindia.com/actor.php?actorid=185" TargetMode="External"/><Relationship Id="rId14" Type="http://schemas.openxmlformats.org/officeDocument/2006/relationships/hyperlink" Target="http://www.boxofficeindia.com/actor.php?actorid=64" TargetMode="External"/><Relationship Id="rId22" Type="http://schemas.openxmlformats.org/officeDocument/2006/relationships/hyperlink" Target="http://www.boxofficeindia.com/actor.php?actorid=1550" TargetMode="External"/><Relationship Id="rId27" Type="http://schemas.openxmlformats.org/officeDocument/2006/relationships/hyperlink" Target="http://www.boxofficeindia.com/actor.php?actorid=23" TargetMode="External"/><Relationship Id="rId30" Type="http://schemas.openxmlformats.org/officeDocument/2006/relationships/hyperlink" Target="http://www.boxofficeindia.com/actor.php?actorid=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56"/>
  <sheetViews>
    <sheetView tabSelected="1" showWhiteSpace="0" zoomScaleNormal="100" workbookViewId="0">
      <selection activeCell="AG1" sqref="AG1"/>
    </sheetView>
  </sheetViews>
  <sheetFormatPr defaultRowHeight="15"/>
  <cols>
    <col min="1" max="1" width="6.5703125" customWidth="1"/>
    <col min="2" max="2" width="33.5703125" bestFit="1" customWidth="1"/>
    <col min="3" max="3" width="9.7109375" customWidth="1"/>
    <col min="4" max="5" width="12.42578125" style="10" customWidth="1"/>
    <col min="6" max="6" width="12.28515625" customWidth="1"/>
    <col min="7" max="7" width="14.42578125" customWidth="1"/>
    <col min="8" max="8" width="11.28515625" customWidth="1"/>
    <col min="9" max="9" width="7.85546875" customWidth="1"/>
    <col min="10" max="10" width="8.28515625" customWidth="1"/>
    <col min="11" max="11" width="9" customWidth="1"/>
    <col min="12" max="13" width="16.85546875" customWidth="1"/>
    <col min="14" max="14" width="16.140625" customWidth="1"/>
    <col min="15" max="15" width="11.42578125" customWidth="1"/>
    <col min="16" max="17" width="17.85546875" customWidth="1"/>
    <col min="18" max="18" width="35.140625" customWidth="1"/>
    <col min="19" max="19" width="16" customWidth="1"/>
    <col min="20" max="20" width="28.42578125" customWidth="1"/>
    <col min="21" max="21" width="11.85546875" customWidth="1"/>
    <col min="22" max="22" width="22.42578125" customWidth="1"/>
    <col min="23" max="23" width="13.140625" bestFit="1" customWidth="1"/>
    <col min="24" max="24" width="13.28515625" style="34" bestFit="1" customWidth="1"/>
    <col min="25" max="25" width="24.5703125" style="34" bestFit="1" customWidth="1"/>
    <col min="26" max="26" width="20.42578125" customWidth="1"/>
    <col min="27" max="27" width="20" bestFit="1" customWidth="1"/>
    <col min="28" max="28" width="13.140625" bestFit="1" customWidth="1"/>
    <col min="29" max="29" width="8.7109375" style="34" bestFit="1" customWidth="1"/>
    <col min="30" max="31" width="22" customWidth="1"/>
    <col min="32" max="32" width="13.140625" bestFit="1" customWidth="1"/>
    <col min="33" max="33" width="8.7109375" style="34" bestFit="1" customWidth="1"/>
    <col min="34" max="34" width="21.85546875" bestFit="1" customWidth="1"/>
    <col min="35" max="35" width="21.85546875" customWidth="1"/>
    <col min="36" max="36" width="8.7109375" style="34" bestFit="1" customWidth="1"/>
    <col min="37" max="37" width="13.140625" style="34" bestFit="1" customWidth="1"/>
    <col min="38" max="38" width="10.140625" bestFit="1" customWidth="1"/>
    <col min="39" max="39" width="15.28515625" bestFit="1" customWidth="1"/>
    <col min="40" max="40" width="19" bestFit="1" customWidth="1"/>
    <col min="41" max="41" width="22.28515625" bestFit="1" customWidth="1"/>
  </cols>
  <sheetData>
    <row r="1" spans="1:38" ht="34.5" customHeight="1">
      <c r="A1" t="s">
        <v>438</v>
      </c>
      <c r="B1" s="9" t="s">
        <v>0</v>
      </c>
      <c r="C1" s="9" t="s">
        <v>10</v>
      </c>
      <c r="D1" s="11" t="s">
        <v>1</v>
      </c>
      <c r="E1" s="11" t="s">
        <v>1838</v>
      </c>
      <c r="F1" s="9" t="s">
        <v>55</v>
      </c>
      <c r="G1" s="9" t="s">
        <v>412</v>
      </c>
      <c r="H1" s="9" t="s">
        <v>2</v>
      </c>
      <c r="I1" s="9" t="s">
        <v>3</v>
      </c>
      <c r="J1" s="9" t="s">
        <v>11</v>
      </c>
      <c r="K1" s="9" t="s">
        <v>961</v>
      </c>
      <c r="L1" s="9" t="s">
        <v>13</v>
      </c>
      <c r="M1" s="9" t="s">
        <v>1460</v>
      </c>
      <c r="N1" s="9" t="s">
        <v>12</v>
      </c>
      <c r="O1" s="9" t="s">
        <v>1889</v>
      </c>
      <c r="P1" s="9" t="s">
        <v>4</v>
      </c>
      <c r="Q1" s="9" t="s">
        <v>1891</v>
      </c>
      <c r="R1" s="9" t="s">
        <v>19</v>
      </c>
      <c r="S1" s="9" t="s">
        <v>1890</v>
      </c>
      <c r="T1" s="9" t="s">
        <v>1885</v>
      </c>
      <c r="U1" s="9" t="s">
        <v>841</v>
      </c>
      <c r="V1" s="9" t="s">
        <v>51</v>
      </c>
      <c r="W1" s="9" t="s">
        <v>2255</v>
      </c>
      <c r="X1" s="9" t="s">
        <v>2254</v>
      </c>
      <c r="Y1" s="9" t="s">
        <v>1887</v>
      </c>
      <c r="Z1" s="9" t="s">
        <v>52</v>
      </c>
      <c r="AA1" s="9" t="s">
        <v>1888</v>
      </c>
      <c r="AB1" s="9" t="s">
        <v>2256</v>
      </c>
      <c r="AC1" s="9" t="s">
        <v>2257</v>
      </c>
      <c r="AD1" s="9" t="s">
        <v>53</v>
      </c>
      <c r="AE1" s="9" t="s">
        <v>1892</v>
      </c>
      <c r="AF1" s="9" t="s">
        <v>2258</v>
      </c>
      <c r="AG1" s="9" t="s">
        <v>2259</v>
      </c>
      <c r="AH1" s="9" t="s">
        <v>54</v>
      </c>
      <c r="AI1" s="9" t="s">
        <v>2252</v>
      </c>
      <c r="AJ1" s="9" t="s">
        <v>2260</v>
      </c>
      <c r="AK1" s="9" t="s">
        <v>2261</v>
      </c>
      <c r="AL1" s="9" t="s">
        <v>1886</v>
      </c>
    </row>
    <row r="2" spans="1:38">
      <c r="A2">
        <v>1</v>
      </c>
      <c r="B2" s="8" t="s">
        <v>5</v>
      </c>
      <c r="C2" s="10">
        <v>1994</v>
      </c>
      <c r="D2" s="12">
        <v>34551</v>
      </c>
      <c r="E2" s="12"/>
      <c r="F2" s="10" t="s">
        <v>47</v>
      </c>
      <c r="G2" s="10" t="s">
        <v>82</v>
      </c>
      <c r="H2" s="10" t="s">
        <v>6</v>
      </c>
      <c r="I2" s="10">
        <v>35</v>
      </c>
      <c r="J2" s="22">
        <v>1</v>
      </c>
      <c r="K2" s="10">
        <v>77.95</v>
      </c>
      <c r="L2" s="1">
        <v>62500000</v>
      </c>
      <c r="M2" s="1">
        <v>1279550000</v>
      </c>
      <c r="N2" s="1">
        <v>6850360440</v>
      </c>
      <c r="O2" s="1">
        <f>724650000</f>
        <v>724650000</v>
      </c>
      <c r="P2" t="s">
        <v>46</v>
      </c>
      <c r="Q2" s="1">
        <v>0</v>
      </c>
      <c r="R2" t="s">
        <v>48</v>
      </c>
      <c r="S2">
        <f>14425000+12200000+13900000+400000+3275000</f>
        <v>44200000</v>
      </c>
      <c r="T2" t="s">
        <v>49</v>
      </c>
      <c r="U2" s="17" t="s">
        <v>392</v>
      </c>
      <c r="V2" s="37" t="s">
        <v>14</v>
      </c>
      <c r="W2" s="45">
        <f>VLOOKUP(V2,'Actor and Actress Success'!$A$1:$B$72,2,FALSE)</f>
        <v>29.166666666666668</v>
      </c>
      <c r="X2" s="34">
        <v>1</v>
      </c>
      <c r="Y2" s="34">
        <f>'Star Economic history'!E2</f>
        <v>16300000</v>
      </c>
      <c r="Z2" s="37" t="s">
        <v>16</v>
      </c>
      <c r="AA2" s="37"/>
      <c r="AB2" s="45">
        <f>VLOOKUP(Z2,'Actor and Actress Success'!$A$1:$B$72,2,FALSE)</f>
        <v>50.819672131147541</v>
      </c>
      <c r="AC2" s="34">
        <v>1</v>
      </c>
      <c r="AD2" t="s">
        <v>17</v>
      </c>
      <c r="AF2" t="e">
        <f>VLOOKUP(AD2,'Actor and Actress Success'!$A$1:$B$72,2,FALSE)</f>
        <v>#N/A</v>
      </c>
      <c r="AG2" s="34">
        <v>0</v>
      </c>
      <c r="AH2" t="s">
        <v>18</v>
      </c>
      <c r="AJ2" s="34">
        <v>0</v>
      </c>
      <c r="AK2" t="e">
        <f>VLOOKUP(AH2,'Actor and Actress Success'!$A$1:$B$72,2,FALSE)</f>
        <v>#N/A</v>
      </c>
    </row>
    <row r="3" spans="1:38">
      <c r="A3">
        <v>2</v>
      </c>
      <c r="B3" s="8" t="s">
        <v>64</v>
      </c>
      <c r="C3" s="10">
        <v>1995</v>
      </c>
      <c r="D3" s="12">
        <v>34992</v>
      </c>
      <c r="E3" s="12"/>
      <c r="F3" s="10" t="s">
        <v>47</v>
      </c>
      <c r="G3" s="10" t="s">
        <v>82</v>
      </c>
      <c r="H3" s="10" t="s">
        <v>56</v>
      </c>
      <c r="I3" s="10">
        <v>180</v>
      </c>
      <c r="J3" s="22">
        <v>3</v>
      </c>
      <c r="K3" s="10">
        <v>78.75</v>
      </c>
      <c r="L3" s="1">
        <v>40000000</v>
      </c>
      <c r="M3" s="1">
        <v>1031700000</v>
      </c>
      <c r="N3" s="1">
        <v>4443074020</v>
      </c>
      <c r="O3" s="1"/>
      <c r="P3" t="s">
        <v>57</v>
      </c>
      <c r="R3" t="s">
        <v>63</v>
      </c>
      <c r="T3" t="s">
        <v>62</v>
      </c>
      <c r="U3" s="17" t="s">
        <v>62</v>
      </c>
      <c r="V3" s="37" t="s">
        <v>58</v>
      </c>
      <c r="W3" s="45">
        <f>VLOOKUP(V3,'Actor and Actress Success'!$A$1:$B$72,2,FALSE)</f>
        <v>66.666666666666657</v>
      </c>
      <c r="X3" s="34">
        <v>1</v>
      </c>
      <c r="Z3" s="37" t="s">
        <v>59</v>
      </c>
      <c r="AA3" s="37"/>
      <c r="AB3" s="45">
        <f>VLOOKUP(Z3,'Actor and Actress Success'!$A$1:$B$72,2,FALSE)</f>
        <v>46.428571428571431</v>
      </c>
      <c r="AC3" s="34">
        <v>1</v>
      </c>
      <c r="AD3" t="s">
        <v>60</v>
      </c>
      <c r="AF3" s="45" t="e">
        <f>VLOOKUP(AD3,'Actor and Actress Success'!$A$1:$B$72,2,FALSE)</f>
        <v>#N/A</v>
      </c>
      <c r="AH3" t="s">
        <v>61</v>
      </c>
      <c r="AK3" s="45" t="e">
        <f>VLOOKUP(AH3,'Actor and Actress Success'!$A$1:$B$72,2,FALSE)</f>
        <v>#N/A</v>
      </c>
    </row>
    <row r="4" spans="1:38">
      <c r="A4">
        <v>3</v>
      </c>
      <c r="B4" s="8" t="s">
        <v>65</v>
      </c>
      <c r="C4" s="10">
        <v>1996</v>
      </c>
      <c r="D4" s="12">
        <v>35380</v>
      </c>
      <c r="E4" s="12"/>
      <c r="F4" s="10" t="s">
        <v>47</v>
      </c>
      <c r="G4" s="10" t="s">
        <v>82</v>
      </c>
      <c r="H4" s="10" t="s">
        <v>56</v>
      </c>
      <c r="I4" s="10">
        <v>185</v>
      </c>
      <c r="J4" s="22">
        <v>4</v>
      </c>
      <c r="K4" s="10">
        <v>55.95</v>
      </c>
      <c r="L4" s="1">
        <v>57500000</v>
      </c>
      <c r="M4" s="1">
        <v>763425000</v>
      </c>
      <c r="N4" s="1">
        <v>3795104500</v>
      </c>
      <c r="O4" s="1"/>
      <c r="P4" t="s">
        <v>66</v>
      </c>
      <c r="R4" t="s">
        <v>67</v>
      </c>
      <c r="T4" t="s">
        <v>68</v>
      </c>
      <c r="U4" s="17" t="s">
        <v>842</v>
      </c>
      <c r="V4" t="s">
        <v>73</v>
      </c>
      <c r="W4" s="45">
        <f>VLOOKUP(V4,'Actor and Actress Success'!$A$1:$B$72,2,FALSE)</f>
        <v>65.384615384615387</v>
      </c>
      <c r="X4" s="34">
        <v>1</v>
      </c>
      <c r="Z4" t="s">
        <v>69</v>
      </c>
      <c r="AB4" s="45">
        <f>VLOOKUP(Z4,'Actor and Actress Success'!$A$1:$B$72,2,FALSE)</f>
        <v>46.808510638297875</v>
      </c>
      <c r="AC4" s="34">
        <v>1</v>
      </c>
      <c r="AD4" t="s">
        <v>70</v>
      </c>
      <c r="AF4" s="45" t="e">
        <f>VLOOKUP(AD4,'Actor and Actress Success'!$A$1:$B$72,2,FALSE)</f>
        <v>#N/A</v>
      </c>
      <c r="AH4" t="s">
        <v>71</v>
      </c>
      <c r="AK4" s="45" t="e">
        <f>VLOOKUP(AH4,'Actor and Actress Success'!$A$1:$B$72,2,FALSE)</f>
        <v>#N/A</v>
      </c>
    </row>
    <row r="5" spans="1:38">
      <c r="A5">
        <v>4</v>
      </c>
      <c r="B5" s="8" t="s">
        <v>72</v>
      </c>
      <c r="C5" s="10">
        <v>1997</v>
      </c>
      <c r="D5" s="12">
        <v>35594</v>
      </c>
      <c r="E5" s="12"/>
      <c r="F5" s="10" t="s">
        <v>47</v>
      </c>
      <c r="G5" s="10" t="s">
        <v>82</v>
      </c>
      <c r="H5" s="10" t="s">
        <v>50</v>
      </c>
      <c r="I5" s="10">
        <v>290</v>
      </c>
      <c r="J5" s="22">
        <v>5</v>
      </c>
      <c r="K5" s="10">
        <v>67.92</v>
      </c>
      <c r="L5" s="1">
        <v>100000000</v>
      </c>
      <c r="M5" s="1">
        <v>655700000</v>
      </c>
      <c r="N5" s="1">
        <v>3434627460</v>
      </c>
      <c r="O5" s="1"/>
      <c r="P5" t="s">
        <v>74</v>
      </c>
      <c r="R5" t="s">
        <v>75</v>
      </c>
      <c r="T5" t="s">
        <v>74</v>
      </c>
      <c r="U5" s="17" t="s">
        <v>843</v>
      </c>
      <c r="V5" t="s">
        <v>76</v>
      </c>
      <c r="W5" s="45" t="e">
        <f>VLOOKUP(V5,'Actor and Actress Success'!$A$1:$B$72,2,FALSE)</f>
        <v>#N/A</v>
      </c>
      <c r="Z5" t="s">
        <v>77</v>
      </c>
      <c r="AB5" s="45">
        <f>VLOOKUP(Z5,'Actor and Actress Success'!$A$1:$B$72,2,FALSE)</f>
        <v>23.404255319148938</v>
      </c>
      <c r="AC5" s="34">
        <v>1</v>
      </c>
      <c r="AD5" t="s">
        <v>78</v>
      </c>
      <c r="AF5" s="45">
        <f>VLOOKUP(AD5,'Actor and Actress Success'!$A$1:$B$72,2,FALSE)</f>
        <v>15.238095238095239</v>
      </c>
      <c r="AG5" s="34">
        <v>1</v>
      </c>
      <c r="AH5" t="s">
        <v>79</v>
      </c>
      <c r="AJ5" s="34">
        <v>1</v>
      </c>
      <c r="AK5" s="45">
        <f>VLOOKUP(AH5,'Actor and Actress Success'!$A$1:$B$72,2,FALSE)</f>
        <v>26.373626373626376</v>
      </c>
    </row>
    <row r="6" spans="1:38">
      <c r="A6">
        <v>5</v>
      </c>
      <c r="B6" s="8" t="s">
        <v>80</v>
      </c>
      <c r="C6" s="10">
        <v>1998</v>
      </c>
      <c r="D6" s="12">
        <v>36084</v>
      </c>
      <c r="E6" s="12"/>
      <c r="F6" s="10" t="s">
        <v>47</v>
      </c>
      <c r="G6" s="10" t="s">
        <v>82</v>
      </c>
      <c r="H6" s="10" t="s">
        <v>56</v>
      </c>
      <c r="I6" s="10">
        <v>240</v>
      </c>
      <c r="J6" s="22">
        <v>6</v>
      </c>
      <c r="K6" s="10">
        <v>70.7</v>
      </c>
      <c r="L6" s="1">
        <v>100000000</v>
      </c>
      <c r="M6" s="1">
        <v>1067375000</v>
      </c>
      <c r="N6" s="1">
        <v>3302643960</v>
      </c>
      <c r="O6" s="1"/>
      <c r="P6" t="s">
        <v>382</v>
      </c>
      <c r="R6" t="s">
        <v>63</v>
      </c>
      <c r="T6" t="s">
        <v>382</v>
      </c>
      <c r="U6" s="17" t="s">
        <v>844</v>
      </c>
      <c r="V6" s="37" t="s">
        <v>58</v>
      </c>
      <c r="W6" s="45">
        <f>VLOOKUP(V6,'Actor and Actress Success'!$A$1:$B$72,2,FALSE)</f>
        <v>66.666666666666657</v>
      </c>
      <c r="X6" s="34">
        <v>1</v>
      </c>
      <c r="Z6" s="37" t="s">
        <v>59</v>
      </c>
      <c r="AA6" s="37"/>
      <c r="AB6" s="45">
        <f>VLOOKUP(Z6,'Actor and Actress Success'!$A$1:$B$72,2,FALSE)</f>
        <v>46.428571428571431</v>
      </c>
      <c r="AC6" s="34">
        <v>1</v>
      </c>
      <c r="AD6" t="s">
        <v>383</v>
      </c>
      <c r="AF6" s="45">
        <f>VLOOKUP(AD6,'Actor and Actress Success'!$A$1:$B$72,2,FALSE)</f>
        <v>47.5</v>
      </c>
      <c r="AG6" s="34">
        <v>1</v>
      </c>
      <c r="AH6" t="s">
        <v>384</v>
      </c>
      <c r="AK6" s="45" t="e">
        <f>VLOOKUP(AH6,'Actor and Actress Success'!$A$1:$B$72,2,FALSE)</f>
        <v>#N/A</v>
      </c>
    </row>
    <row r="7" spans="1:38">
      <c r="A7">
        <v>6</v>
      </c>
      <c r="B7" s="8" t="s">
        <v>81</v>
      </c>
      <c r="C7" s="10">
        <v>1995</v>
      </c>
      <c r="D7" s="12">
        <v>34712</v>
      </c>
      <c r="E7" s="12"/>
      <c r="F7" s="10" t="s">
        <v>82</v>
      </c>
      <c r="G7" s="10" t="s">
        <v>82</v>
      </c>
      <c r="H7" s="10" t="s">
        <v>50</v>
      </c>
      <c r="I7" s="10">
        <v>250</v>
      </c>
      <c r="J7" s="22">
        <v>14</v>
      </c>
      <c r="K7" s="10">
        <v>95.42</v>
      </c>
      <c r="L7" s="1">
        <v>60000000</v>
      </c>
      <c r="M7" s="1">
        <v>436350000</v>
      </c>
      <c r="N7" s="1">
        <v>2770542060</v>
      </c>
      <c r="O7" s="1"/>
      <c r="P7" t="s">
        <v>385</v>
      </c>
      <c r="R7" t="s">
        <v>387</v>
      </c>
      <c r="T7" t="s">
        <v>1839</v>
      </c>
      <c r="U7" s="17" t="s">
        <v>845</v>
      </c>
      <c r="V7" s="17" t="s">
        <v>426</v>
      </c>
      <c r="W7" s="45" t="e">
        <f>VLOOKUP(V7,'Actor and Actress Success'!$A$1:$B$72,2,FALSE)</f>
        <v>#N/A</v>
      </c>
      <c r="X7" s="34">
        <v>1</v>
      </c>
      <c r="Z7" t="s">
        <v>16</v>
      </c>
      <c r="AB7" s="45">
        <f>VLOOKUP(Z7,'Actor and Actress Success'!$A$1:$B$72,2,FALSE)</f>
        <v>50.819672131147541</v>
      </c>
      <c r="AC7" s="34">
        <v>1</v>
      </c>
      <c r="AD7" s="37" t="s">
        <v>58</v>
      </c>
      <c r="AE7" s="37"/>
      <c r="AF7" s="45">
        <f>VLOOKUP(AD7,'Actor and Actress Success'!$A$1:$B$72,2,FALSE)</f>
        <v>66.666666666666657</v>
      </c>
      <c r="AG7" s="34">
        <v>1</v>
      </c>
      <c r="AH7" s="37" t="s">
        <v>59</v>
      </c>
      <c r="AI7" s="37"/>
      <c r="AJ7" s="34">
        <v>1</v>
      </c>
      <c r="AK7" s="45">
        <f>VLOOKUP(AH7,'Actor and Actress Success'!$A$1:$B$72,2,FALSE)</f>
        <v>46.428571428571431</v>
      </c>
    </row>
    <row r="8" spans="1:38">
      <c r="A8">
        <v>7</v>
      </c>
      <c r="B8" s="8" t="s">
        <v>83</v>
      </c>
      <c r="C8" s="10">
        <v>1997</v>
      </c>
      <c r="D8" s="12">
        <v>35734</v>
      </c>
      <c r="E8" s="12"/>
      <c r="F8" s="10" t="s">
        <v>82</v>
      </c>
      <c r="G8" s="10" t="s">
        <v>82</v>
      </c>
      <c r="H8" s="10" t="s">
        <v>56</v>
      </c>
      <c r="I8" s="10">
        <v>245</v>
      </c>
      <c r="J8" s="22">
        <v>15</v>
      </c>
      <c r="K8" s="10">
        <v>56.24</v>
      </c>
      <c r="L8" s="1">
        <v>90000000</v>
      </c>
      <c r="M8" s="1">
        <v>718650000</v>
      </c>
      <c r="N8" s="1">
        <v>2733401440</v>
      </c>
      <c r="O8" s="1"/>
      <c r="P8" t="s">
        <v>390</v>
      </c>
      <c r="R8" t="s">
        <v>391</v>
      </c>
      <c r="T8" t="s">
        <v>1840</v>
      </c>
      <c r="U8" s="17" t="s">
        <v>388</v>
      </c>
      <c r="V8" s="37" t="s">
        <v>14</v>
      </c>
      <c r="W8" s="45">
        <f>VLOOKUP(V8,'Actor and Actress Success'!$A$1:$B$72,2,FALSE)</f>
        <v>29.166666666666668</v>
      </c>
      <c r="X8" s="34">
        <v>1</v>
      </c>
      <c r="Y8" s="34">
        <f>'Star Economic history'!H2</f>
        <v>67125000</v>
      </c>
      <c r="Z8" s="37" t="s">
        <v>58</v>
      </c>
      <c r="AA8" s="37"/>
      <c r="AB8" s="45">
        <f>VLOOKUP(Z8,'Actor and Actress Success'!$A$1:$B$72,2,FALSE)</f>
        <v>66.666666666666657</v>
      </c>
      <c r="AC8" s="34">
        <v>1</v>
      </c>
      <c r="AD8" t="s">
        <v>69</v>
      </c>
      <c r="AF8" s="45">
        <f>VLOOKUP(AD8,'Actor and Actress Success'!$A$1:$B$72,2,FALSE)</f>
        <v>46.808510638297875</v>
      </c>
      <c r="AG8" s="34">
        <v>1</v>
      </c>
      <c r="AH8" t="s">
        <v>384</v>
      </c>
      <c r="AK8" s="45" t="e">
        <f>VLOOKUP(AH8,'Actor and Actress Success'!$A$1:$B$72,2,FALSE)</f>
        <v>#N/A</v>
      </c>
    </row>
    <row r="9" spans="1:38">
      <c r="A9">
        <v>8</v>
      </c>
      <c r="B9" s="8" t="s">
        <v>84</v>
      </c>
      <c r="C9" s="10">
        <v>1999</v>
      </c>
      <c r="D9" s="12">
        <v>36469</v>
      </c>
      <c r="E9" s="12"/>
      <c r="F9" s="10" t="s">
        <v>82</v>
      </c>
      <c r="G9" s="10" t="s">
        <v>82</v>
      </c>
      <c r="H9" s="10" t="s">
        <v>6</v>
      </c>
      <c r="I9" s="10">
        <v>350</v>
      </c>
      <c r="J9" s="22">
        <v>16</v>
      </c>
      <c r="K9" s="10">
        <v>75.89</v>
      </c>
      <c r="L9" s="1">
        <v>170000000</v>
      </c>
      <c r="M9" s="1">
        <v>817120000</v>
      </c>
      <c r="N9" s="1">
        <v>2641337160</v>
      </c>
      <c r="O9" s="1"/>
      <c r="P9" t="s">
        <v>392</v>
      </c>
      <c r="Q9">
        <f>724650000</f>
        <v>724650000</v>
      </c>
      <c r="R9" t="s">
        <v>395</v>
      </c>
      <c r="S9">
        <f>14425000+12200000+13900000+400000+3275000+724650000+7725000+1925000+13475000+3500000+3650000+4325000</f>
        <v>803450000</v>
      </c>
      <c r="T9" t="s">
        <v>392</v>
      </c>
      <c r="U9" s="17" t="s">
        <v>392</v>
      </c>
      <c r="V9" t="s">
        <v>16</v>
      </c>
      <c r="W9" s="45">
        <f>VLOOKUP(V9,'Actor and Actress Success'!$A$1:$B$72,2,FALSE)</f>
        <v>50.819672131147541</v>
      </c>
      <c r="X9" s="34">
        <v>1</v>
      </c>
      <c r="Z9" t="s">
        <v>69</v>
      </c>
      <c r="AB9" s="45">
        <f>VLOOKUP(Z9,'Actor and Actress Success'!$A$1:$B$72,2,FALSE)</f>
        <v>46.808510638297875</v>
      </c>
      <c r="AD9" t="s">
        <v>393</v>
      </c>
      <c r="AF9" s="45">
        <f>VLOOKUP(AD9,'Actor and Actress Success'!$A$1:$B$72,2,FALSE)</f>
        <v>27.450980392156865</v>
      </c>
      <c r="AH9" t="s">
        <v>394</v>
      </c>
      <c r="AK9" s="45" t="e">
        <f>VLOOKUP(AH9,'Actor and Actress Success'!$A$1:$B$72,2,FALSE)</f>
        <v>#N/A</v>
      </c>
    </row>
    <row r="10" spans="1:38">
      <c r="A10">
        <v>9</v>
      </c>
      <c r="B10" s="8" t="s">
        <v>85</v>
      </c>
      <c r="C10" s="10">
        <v>1994</v>
      </c>
      <c r="D10" s="12">
        <v>34516</v>
      </c>
      <c r="E10" s="12"/>
      <c r="F10" s="10" t="s">
        <v>82</v>
      </c>
      <c r="G10" s="10" t="s">
        <v>82</v>
      </c>
      <c r="H10" s="10" t="s">
        <v>50</v>
      </c>
      <c r="I10" s="10">
        <v>220</v>
      </c>
      <c r="J10" s="22">
        <v>26</v>
      </c>
      <c r="K10" s="10">
        <v>94</v>
      </c>
      <c r="L10" s="1">
        <v>37500000</v>
      </c>
      <c r="M10" s="1">
        <v>226450000</v>
      </c>
      <c r="N10" s="1">
        <v>1991978340</v>
      </c>
      <c r="O10" s="1"/>
      <c r="P10" t="s">
        <v>399</v>
      </c>
      <c r="Q10" s="1">
        <v>0</v>
      </c>
      <c r="R10" t="s">
        <v>400</v>
      </c>
      <c r="S10">
        <v>0</v>
      </c>
      <c r="T10" t="s">
        <v>1841</v>
      </c>
      <c r="U10" s="17" t="s">
        <v>399</v>
      </c>
      <c r="V10" t="s">
        <v>396</v>
      </c>
      <c r="W10" s="45" t="e">
        <f>VLOOKUP(V10,'Actor and Actress Success'!$A$1:$B$72,2,FALSE)</f>
        <v>#N/A</v>
      </c>
      <c r="X10" s="34">
        <v>0</v>
      </c>
      <c r="Z10" s="37" t="s">
        <v>397</v>
      </c>
      <c r="AA10" s="37">
        <f>14525000+46100000+57200000+24475000</f>
        <v>142300000</v>
      </c>
      <c r="AB10" s="45">
        <f>VLOOKUP(Z10,'Actor and Actress Success'!$A$1:$B$72,2,FALSE)</f>
        <v>44.117647058823529</v>
      </c>
      <c r="AC10" s="34">
        <v>1</v>
      </c>
      <c r="AD10" t="s">
        <v>79</v>
      </c>
      <c r="AF10" s="45">
        <f>VLOOKUP(AD10,'Actor and Actress Success'!$A$1:$B$72,2,FALSE)</f>
        <v>26.373626373626376</v>
      </c>
      <c r="AG10" s="34">
        <v>0</v>
      </c>
      <c r="AH10" t="s">
        <v>398</v>
      </c>
      <c r="AJ10" s="34">
        <v>1</v>
      </c>
      <c r="AK10" s="45">
        <f>VLOOKUP(AH10,'Actor and Actress Success'!$A$1:$B$72,2,FALSE)</f>
        <v>21.052631578947366</v>
      </c>
    </row>
    <row r="11" spans="1:38">
      <c r="A11">
        <v>10</v>
      </c>
      <c r="B11" s="8" t="s">
        <v>86</v>
      </c>
      <c r="C11" s="10">
        <v>1995</v>
      </c>
      <c r="D11" s="12">
        <v>34852</v>
      </c>
      <c r="E11" s="12"/>
      <c r="F11" s="10" t="s">
        <v>82</v>
      </c>
      <c r="G11" s="10" t="s">
        <v>82</v>
      </c>
      <c r="H11" s="10" t="s">
        <v>6</v>
      </c>
      <c r="I11" s="10">
        <v>225</v>
      </c>
      <c r="J11" s="22">
        <v>27</v>
      </c>
      <c r="K11" s="10">
        <v>57.5</v>
      </c>
      <c r="L11" s="1">
        <v>42500000</v>
      </c>
      <c r="M11" s="1">
        <v>346825000</v>
      </c>
      <c r="N11" s="1">
        <v>1975306740</v>
      </c>
      <c r="O11" s="1"/>
      <c r="P11" t="s">
        <v>404</v>
      </c>
      <c r="R11" t="s">
        <v>67</v>
      </c>
      <c r="T11" t="s">
        <v>1842</v>
      </c>
      <c r="U11" s="17" t="s">
        <v>846</v>
      </c>
      <c r="V11" t="s">
        <v>405</v>
      </c>
      <c r="W11" s="45" t="e">
        <f>VLOOKUP(V11,'Actor and Actress Success'!$A$1:$B$72,2,FALSE)</f>
        <v>#N/A</v>
      </c>
      <c r="Z11" t="s">
        <v>14</v>
      </c>
      <c r="AA11">
        <f>16300000+49850000+724650000</f>
        <v>790800000</v>
      </c>
      <c r="AB11" s="45">
        <f>VLOOKUP(Z11,'Actor and Actress Success'!$A$1:$B$72,2,FALSE)</f>
        <v>29.166666666666668</v>
      </c>
      <c r="AC11" s="34">
        <v>1</v>
      </c>
      <c r="AD11" t="s">
        <v>406</v>
      </c>
      <c r="AF11" s="45" t="e">
        <f>VLOOKUP(AD11,'Actor and Actress Success'!$A$1:$B$72,2,FALSE)</f>
        <v>#N/A</v>
      </c>
      <c r="AH11" t="s">
        <v>407</v>
      </c>
      <c r="AK11" s="45" t="e">
        <f>VLOOKUP(AH11,'Actor and Actress Success'!$A$1:$B$72,2,FALSE)</f>
        <v>#N/A</v>
      </c>
    </row>
    <row r="12" spans="1:38">
      <c r="A12">
        <v>12</v>
      </c>
      <c r="B12" s="8" t="s">
        <v>87</v>
      </c>
      <c r="C12" s="10">
        <v>1996</v>
      </c>
      <c r="D12" s="12">
        <v>35153</v>
      </c>
      <c r="E12" s="12"/>
      <c r="F12" s="10" t="s">
        <v>82</v>
      </c>
      <c r="G12" s="10" t="s">
        <v>82</v>
      </c>
      <c r="H12" s="10" t="s">
        <v>408</v>
      </c>
      <c r="I12" s="10">
        <v>175</v>
      </c>
      <c r="J12" s="22">
        <v>32</v>
      </c>
      <c r="K12" s="10">
        <v>65.83</v>
      </c>
      <c r="L12" s="1">
        <v>47500000</v>
      </c>
      <c r="M12" s="1">
        <v>313490000</v>
      </c>
      <c r="N12" s="1">
        <v>1821928020</v>
      </c>
      <c r="O12" s="1"/>
      <c r="P12" t="s">
        <v>414</v>
      </c>
      <c r="R12" t="s">
        <v>67</v>
      </c>
      <c r="T12" t="s">
        <v>413</v>
      </c>
      <c r="U12" s="17" t="s">
        <v>847</v>
      </c>
      <c r="V12" t="s">
        <v>78</v>
      </c>
      <c r="W12" s="45">
        <f>VLOOKUP(V12,'Actor and Actress Success'!$A$1:$B$72,2,FALSE)</f>
        <v>15.238095238095239</v>
      </c>
      <c r="X12" s="34">
        <v>1</v>
      </c>
      <c r="Z12" t="s">
        <v>415</v>
      </c>
      <c r="AB12" s="45" t="e">
        <f>VLOOKUP(Z12,'Actor and Actress Success'!$A$1:$B$72,2,FALSE)</f>
        <v>#N/A</v>
      </c>
      <c r="AD12" t="s">
        <v>416</v>
      </c>
      <c r="AF12" s="45">
        <f>VLOOKUP(AD12,'Actor and Actress Success'!$A$1:$B$72,2,FALSE)</f>
        <v>14.035087719298245</v>
      </c>
      <c r="AG12" s="34">
        <v>1</v>
      </c>
      <c r="AH12" t="s">
        <v>417</v>
      </c>
      <c r="AK12" s="45" t="e">
        <f>VLOOKUP(AH12,'Actor and Actress Success'!$A$1:$B$72,2,FALSE)</f>
        <v>#N/A</v>
      </c>
    </row>
    <row r="13" spans="1:38">
      <c r="A13">
        <v>13</v>
      </c>
      <c r="B13" s="8" t="s">
        <v>88</v>
      </c>
      <c r="C13" s="10">
        <v>1995</v>
      </c>
      <c r="D13" s="12">
        <v>34950</v>
      </c>
      <c r="E13" s="12"/>
      <c r="F13" s="10" t="s">
        <v>82</v>
      </c>
      <c r="G13" s="10" t="s">
        <v>82</v>
      </c>
      <c r="H13" s="10" t="s">
        <v>56</v>
      </c>
      <c r="I13" s="10">
        <v>215</v>
      </c>
      <c r="J13" s="22">
        <v>35</v>
      </c>
      <c r="K13" s="10">
        <v>66.56</v>
      </c>
      <c r="L13" s="1">
        <v>45000000</v>
      </c>
      <c r="M13" s="1">
        <v>334412500</v>
      </c>
      <c r="N13" s="1">
        <v>1700317960</v>
      </c>
      <c r="O13" s="1"/>
      <c r="P13" t="s">
        <v>421</v>
      </c>
      <c r="R13" t="s">
        <v>418</v>
      </c>
      <c r="T13" t="s">
        <v>421</v>
      </c>
      <c r="U13" s="17" t="s">
        <v>848</v>
      </c>
      <c r="V13" t="s">
        <v>78</v>
      </c>
      <c r="W13" s="45">
        <f>VLOOKUP(V13,'Actor and Actress Success'!$A$1:$B$72,2,FALSE)</f>
        <v>15.238095238095239</v>
      </c>
      <c r="Z13" t="s">
        <v>73</v>
      </c>
      <c r="AA13">
        <f>52950000+50900000+25450000</f>
        <v>129300000</v>
      </c>
      <c r="AB13" s="45">
        <f>VLOOKUP(Z13,'Actor and Actress Success'!$A$1:$B$72,2,FALSE)</f>
        <v>65.384615384615387</v>
      </c>
      <c r="AC13" s="34">
        <v>1</v>
      </c>
      <c r="AD13" t="s">
        <v>419</v>
      </c>
      <c r="AF13" s="45">
        <f>VLOOKUP(AD13,'Actor and Actress Success'!$A$1:$B$72,2,FALSE)</f>
        <v>21.212121212121211</v>
      </c>
      <c r="AG13" s="34">
        <v>1</v>
      </c>
      <c r="AH13" t="s">
        <v>420</v>
      </c>
      <c r="AK13" s="45" t="e">
        <f>VLOOKUP(AH13,'Actor and Actress Success'!$A$1:$B$72,2,FALSE)</f>
        <v>#N/A</v>
      </c>
    </row>
    <row r="14" spans="1:38">
      <c r="A14">
        <v>14</v>
      </c>
      <c r="B14" s="8" t="s">
        <v>89</v>
      </c>
      <c r="C14" s="10">
        <v>1994</v>
      </c>
      <c r="D14" s="12">
        <v>34537</v>
      </c>
      <c r="E14" s="12"/>
      <c r="F14" s="10" t="s">
        <v>82</v>
      </c>
      <c r="G14" s="10" t="s">
        <v>82</v>
      </c>
      <c r="H14" s="10" t="s">
        <v>50</v>
      </c>
      <c r="I14" s="10">
        <v>155</v>
      </c>
      <c r="J14" s="22">
        <v>40</v>
      </c>
      <c r="K14" s="10">
        <v>0</v>
      </c>
      <c r="L14" s="1">
        <v>22500000</v>
      </c>
      <c r="M14" s="1">
        <v>158517500</v>
      </c>
      <c r="N14" s="1">
        <v>1495349900</v>
      </c>
      <c r="O14" s="1"/>
      <c r="P14" t="s">
        <v>423</v>
      </c>
      <c r="Q14">
        <f>16300000</f>
        <v>16300000</v>
      </c>
      <c r="R14" t="s">
        <v>427</v>
      </c>
      <c r="S14">
        <f>21935000+11190000+1687500+13875000+20000000+30900000+40625000+82350000+13100000+7750000+9975000+3100000+71575000+29650000+15750000+49850000+17550000+24475000+39275000</f>
        <v>504612500</v>
      </c>
      <c r="T14" t="s">
        <v>422</v>
      </c>
      <c r="U14" s="17" t="s">
        <v>849</v>
      </c>
      <c r="V14" t="s">
        <v>424</v>
      </c>
      <c r="W14" s="45" t="e">
        <f>VLOOKUP(V14,'Actor and Actress Success'!$A$1:$B$72,2,FALSE)</f>
        <v>#N/A</v>
      </c>
      <c r="X14" s="34">
        <v>0</v>
      </c>
      <c r="Z14" t="s">
        <v>415</v>
      </c>
      <c r="AB14" s="45" t="e">
        <f>VLOOKUP(Z14,'Actor and Actress Success'!$A$1:$B$72,2,FALSE)</f>
        <v>#N/A</v>
      </c>
      <c r="AC14" s="34">
        <v>0</v>
      </c>
      <c r="AD14" t="s">
        <v>425</v>
      </c>
      <c r="AF14" t="e">
        <f>VLOOKUP(AD14,'Actor and Actress Success'!$A$1:$B$72,2,FALSE)</f>
        <v>#N/A</v>
      </c>
      <c r="AG14" s="34">
        <v>0</v>
      </c>
      <c r="AH14" t="s">
        <v>426</v>
      </c>
      <c r="AJ14" s="34">
        <v>0</v>
      </c>
      <c r="AK14" t="e">
        <f>VLOOKUP(AH14,'Actor and Actress Success'!$A$1:$B$72,2,FALSE)</f>
        <v>#N/A</v>
      </c>
    </row>
    <row r="15" spans="1:38">
      <c r="A15">
        <v>15</v>
      </c>
      <c r="B15" s="8" t="s">
        <v>91</v>
      </c>
      <c r="C15" s="10">
        <v>1997</v>
      </c>
      <c r="D15" s="12">
        <v>35762</v>
      </c>
      <c r="E15" s="12"/>
      <c r="F15" s="10" t="s">
        <v>176</v>
      </c>
      <c r="G15" s="10" t="s">
        <v>176</v>
      </c>
      <c r="H15" s="10" t="s">
        <v>428</v>
      </c>
      <c r="I15" s="10">
        <v>300</v>
      </c>
      <c r="J15" s="22">
        <v>45</v>
      </c>
      <c r="K15" s="10">
        <v>57.39</v>
      </c>
      <c r="L15" s="1">
        <v>110000000</v>
      </c>
      <c r="M15" s="1">
        <v>456112500</v>
      </c>
      <c r="N15" s="1">
        <v>1935572760</v>
      </c>
      <c r="O15" s="1"/>
      <c r="P15" t="s">
        <v>404</v>
      </c>
      <c r="R15" t="s">
        <v>430</v>
      </c>
      <c r="T15" t="s">
        <v>1842</v>
      </c>
      <c r="U15" s="17" t="s">
        <v>851</v>
      </c>
      <c r="V15" s="37" t="s">
        <v>73</v>
      </c>
      <c r="W15" s="45">
        <f>VLOOKUP(V15,'Actor and Actress Success'!$A$1:$B$72,2,FALSE)</f>
        <v>65.384615384615387</v>
      </c>
      <c r="X15" s="34">
        <v>1</v>
      </c>
      <c r="Z15" s="39" t="s">
        <v>429</v>
      </c>
      <c r="AA15" s="39"/>
      <c r="AB15" s="45">
        <f>VLOOKUP(Z15,'Actor and Actress Success'!$A$1:$B$72,2,FALSE)</f>
        <v>39.285714285714285</v>
      </c>
      <c r="AC15" s="34">
        <v>1</v>
      </c>
      <c r="AD15" s="37" t="s">
        <v>410</v>
      </c>
      <c r="AE15" s="37"/>
      <c r="AF15" s="45">
        <f>VLOOKUP(AD15,'Actor and Actress Success'!$A$1:$B$72,2,FALSE)</f>
        <v>27.659574468085108</v>
      </c>
      <c r="AG15" s="34">
        <v>1</v>
      </c>
      <c r="AH15" s="39" t="s">
        <v>59</v>
      </c>
      <c r="AI15" s="39"/>
      <c r="AJ15" s="34">
        <v>1</v>
      </c>
      <c r="AK15" s="45">
        <f>VLOOKUP(AH15,'Actor and Actress Success'!$A$1:$B$72,2,FALSE)</f>
        <v>46.428571428571431</v>
      </c>
    </row>
    <row r="16" spans="1:38">
      <c r="A16">
        <v>16</v>
      </c>
      <c r="B16" s="8" t="s">
        <v>90</v>
      </c>
      <c r="C16" s="10">
        <v>1997</v>
      </c>
      <c r="D16" s="12">
        <v>35650</v>
      </c>
      <c r="E16" s="12"/>
      <c r="F16" s="10" t="s">
        <v>176</v>
      </c>
      <c r="G16" s="10" t="s">
        <v>176</v>
      </c>
      <c r="H16" s="10" t="s">
        <v>56</v>
      </c>
      <c r="I16" s="10">
        <v>210</v>
      </c>
      <c r="J16" s="22">
        <v>46</v>
      </c>
      <c r="K16" s="10">
        <v>61.52</v>
      </c>
      <c r="L16" s="1">
        <v>100000000</v>
      </c>
      <c r="M16" s="1">
        <v>409500000</v>
      </c>
      <c r="N16" s="1">
        <v>1896394500</v>
      </c>
      <c r="O16" s="1"/>
      <c r="P16" t="s">
        <v>431</v>
      </c>
      <c r="R16" t="s">
        <v>67</v>
      </c>
      <c r="T16" t="s">
        <v>431</v>
      </c>
      <c r="U16" s="17" t="s">
        <v>850</v>
      </c>
      <c r="V16" t="s">
        <v>58</v>
      </c>
      <c r="W16" s="45">
        <f>VLOOKUP(V16,'Actor and Actress Success'!$A$1:$B$72,2,FALSE)</f>
        <v>66.666666666666657</v>
      </c>
      <c r="X16" s="34">
        <v>1</v>
      </c>
      <c r="Z16" t="s">
        <v>60</v>
      </c>
      <c r="AB16" s="45" t="e">
        <f>VLOOKUP(Z16,'Actor and Actress Success'!$A$1:$B$72,2,FALSE)</f>
        <v>#N/A</v>
      </c>
      <c r="AD16" t="s">
        <v>432</v>
      </c>
      <c r="AF16" s="45" t="e">
        <f>VLOOKUP(AD16,'Actor and Actress Success'!$A$1:$B$72,2,FALSE)</f>
        <v>#N/A</v>
      </c>
      <c r="AG16" s="34">
        <v>1</v>
      </c>
      <c r="AH16" t="s">
        <v>433</v>
      </c>
      <c r="AK16" s="45" t="e">
        <f>VLOOKUP(AH16,'Actor and Actress Success'!$A$1:$B$72,2,FALSE)</f>
        <v>#N/A</v>
      </c>
    </row>
    <row r="17" spans="1:37">
      <c r="A17">
        <v>17</v>
      </c>
      <c r="B17" s="8" t="s">
        <v>92</v>
      </c>
      <c r="C17" s="10">
        <v>1995</v>
      </c>
      <c r="D17" s="12">
        <v>34978</v>
      </c>
      <c r="E17" s="12"/>
      <c r="F17" s="10" t="s">
        <v>176</v>
      </c>
      <c r="G17" s="10" t="s">
        <v>176</v>
      </c>
      <c r="H17" s="10" t="s">
        <v>56</v>
      </c>
      <c r="I17" s="10">
        <v>210</v>
      </c>
      <c r="J17" s="22">
        <v>47</v>
      </c>
      <c r="K17" s="10">
        <v>82.5</v>
      </c>
      <c r="L17" s="1">
        <v>82500000</v>
      </c>
      <c r="M17" s="1">
        <v>340050000</v>
      </c>
      <c r="N17" s="1">
        <v>1838877480</v>
      </c>
      <c r="O17" s="1"/>
      <c r="P17" t="s">
        <v>434</v>
      </c>
      <c r="R17" t="s">
        <v>67</v>
      </c>
      <c r="T17" t="s">
        <v>434</v>
      </c>
      <c r="U17" s="17" t="s">
        <v>434</v>
      </c>
      <c r="V17" t="s">
        <v>435</v>
      </c>
      <c r="W17" s="45">
        <f>VLOOKUP(V17,'Actor and Actress Success'!$A$1:$B$72,2,FALSE)</f>
        <v>24.324324324324326</v>
      </c>
      <c r="X17" s="34">
        <v>1</v>
      </c>
      <c r="Z17" t="s">
        <v>436</v>
      </c>
      <c r="AB17" s="45" t="e">
        <f>VLOOKUP(Z17,'Actor and Actress Success'!$A$1:$B$72,2,FALSE)</f>
        <v>#N/A</v>
      </c>
      <c r="AC17" s="34">
        <v>1</v>
      </c>
      <c r="AD17" t="s">
        <v>437</v>
      </c>
      <c r="AF17" s="45" t="e">
        <f>VLOOKUP(AD17,'Actor and Actress Success'!$A$1:$B$72,2,FALSE)</f>
        <v>#N/A</v>
      </c>
      <c r="AH17" t="s">
        <v>406</v>
      </c>
      <c r="AK17" s="45" t="e">
        <f>VLOOKUP(AH17,'Actor and Actress Success'!$A$1:$B$72,2,FALSE)</f>
        <v>#N/A</v>
      </c>
    </row>
    <row r="18" spans="1:37">
      <c r="A18">
        <v>18</v>
      </c>
      <c r="B18" s="8" t="s">
        <v>93</v>
      </c>
      <c r="C18" s="10">
        <v>1999</v>
      </c>
      <c r="D18" s="12">
        <v>36308</v>
      </c>
      <c r="E18" s="12"/>
      <c r="F18" s="10" t="s">
        <v>176</v>
      </c>
      <c r="G18" s="10" t="s">
        <v>176</v>
      </c>
      <c r="H18" s="10" t="s">
        <v>439</v>
      </c>
      <c r="I18" s="10">
        <v>285</v>
      </c>
      <c r="J18" s="22">
        <v>48</v>
      </c>
      <c r="K18" s="10">
        <v>74</v>
      </c>
      <c r="L18" s="1">
        <v>120000000</v>
      </c>
      <c r="M18" s="1">
        <v>498105000</v>
      </c>
      <c r="N18" s="1">
        <v>1828596660</v>
      </c>
      <c r="O18" s="1"/>
      <c r="P18" t="s">
        <v>441</v>
      </c>
      <c r="Q18" t="e">
        <f>Q1+191900000</f>
        <v>#VALUE!</v>
      </c>
      <c r="R18" t="s">
        <v>430</v>
      </c>
      <c r="T18" t="s">
        <v>440</v>
      </c>
      <c r="U18" s="17" t="s">
        <v>450</v>
      </c>
      <c r="V18" t="s">
        <v>442</v>
      </c>
      <c r="W18" s="45">
        <f>VLOOKUP(V18,'Actor and Actress Success'!$A$1:$B$72,2,FALSE)</f>
        <v>34.042553191489361</v>
      </c>
      <c r="X18" s="34">
        <v>1</v>
      </c>
      <c r="Y18" s="34">
        <f>'Star Economic history'!J5</f>
        <v>47083333.333333336</v>
      </c>
      <c r="Z18" t="s">
        <v>16</v>
      </c>
      <c r="AB18" s="45">
        <f>VLOOKUP(Z18,'Actor and Actress Success'!$A$1:$B$72,2,FALSE)</f>
        <v>50.819672131147541</v>
      </c>
      <c r="AC18" s="34">
        <v>1</v>
      </c>
      <c r="AD18" t="s">
        <v>69</v>
      </c>
      <c r="AF18" s="45">
        <f>VLOOKUP(AD18,'Actor and Actress Success'!$A$1:$B$72,2,FALSE)</f>
        <v>46.808510638297875</v>
      </c>
      <c r="AG18" s="34">
        <v>1</v>
      </c>
      <c r="AH18" t="s">
        <v>394</v>
      </c>
      <c r="AJ18" s="34">
        <v>1</v>
      </c>
      <c r="AK18" s="45" t="e">
        <f>VLOOKUP(AH18,'Actor and Actress Success'!$A$1:$B$72,2,FALSE)</f>
        <v>#N/A</v>
      </c>
    </row>
    <row r="19" spans="1:37">
      <c r="A19">
        <v>19</v>
      </c>
      <c r="B19" s="8" t="s">
        <v>94</v>
      </c>
      <c r="C19" s="10">
        <v>1997</v>
      </c>
      <c r="D19" s="12">
        <v>35531</v>
      </c>
      <c r="E19" s="12"/>
      <c r="F19" s="10" t="s">
        <v>176</v>
      </c>
      <c r="G19" s="10" t="s">
        <v>176</v>
      </c>
      <c r="H19" s="10" t="s">
        <v>50</v>
      </c>
      <c r="I19" s="10">
        <v>235</v>
      </c>
      <c r="J19" s="22">
        <v>51</v>
      </c>
      <c r="K19" s="10">
        <v>62.5</v>
      </c>
      <c r="L19" s="1">
        <v>75000000</v>
      </c>
      <c r="M19" s="1">
        <v>324362500</v>
      </c>
      <c r="N19" s="1">
        <v>1720138640</v>
      </c>
      <c r="O19" s="1"/>
      <c r="P19" t="s">
        <v>444</v>
      </c>
      <c r="R19" t="s">
        <v>446</v>
      </c>
      <c r="T19" t="s">
        <v>443</v>
      </c>
      <c r="U19" s="17" t="s">
        <v>443</v>
      </c>
      <c r="V19" t="s">
        <v>77</v>
      </c>
      <c r="W19" s="45">
        <f>VLOOKUP(V19,'Actor and Actress Success'!$A$1:$B$72,2,FALSE)</f>
        <v>23.404255319148938</v>
      </c>
      <c r="X19" s="34">
        <v>1</v>
      </c>
      <c r="Z19" t="s">
        <v>398</v>
      </c>
      <c r="AB19" s="45">
        <f>VLOOKUP(Z19,'Actor and Actress Success'!$A$1:$B$72,2,FALSE)</f>
        <v>21.052631578947366</v>
      </c>
      <c r="AC19" s="34">
        <v>1</v>
      </c>
      <c r="AD19" t="s">
        <v>411</v>
      </c>
      <c r="AF19" s="45" t="e">
        <f>VLOOKUP(AD19,'Actor and Actress Success'!$A$1:$B$72,2,FALSE)</f>
        <v>#N/A</v>
      </c>
      <c r="AH19" t="s">
        <v>445</v>
      </c>
      <c r="AK19" s="45" t="e">
        <f>VLOOKUP(AH19,'Actor and Actress Success'!$A$1:$B$72,2,FALSE)</f>
        <v>#N/A</v>
      </c>
    </row>
    <row r="20" spans="1:37">
      <c r="A20">
        <v>20</v>
      </c>
      <c r="B20" s="8" t="s">
        <v>95</v>
      </c>
      <c r="C20" s="10">
        <v>1998</v>
      </c>
      <c r="D20" s="12">
        <v>36119</v>
      </c>
      <c r="E20" s="12"/>
      <c r="F20" s="10" t="s">
        <v>176</v>
      </c>
      <c r="G20" s="10" t="s">
        <v>176</v>
      </c>
      <c r="H20" s="10" t="s">
        <v>50</v>
      </c>
      <c r="I20" s="10">
        <v>220</v>
      </c>
      <c r="J20" s="22">
        <v>52</v>
      </c>
      <c r="K20" s="10">
        <v>63.33</v>
      </c>
      <c r="L20" s="1">
        <v>82500000</v>
      </c>
      <c r="M20" s="1">
        <v>388825000</v>
      </c>
      <c r="N20" s="1">
        <v>1645950020</v>
      </c>
      <c r="O20" s="1"/>
      <c r="P20" t="s">
        <v>448</v>
      </c>
      <c r="R20" t="s">
        <v>430</v>
      </c>
      <c r="T20" s="13" t="s">
        <v>1843</v>
      </c>
      <c r="U20" s="17" t="s">
        <v>447</v>
      </c>
      <c r="V20" t="s">
        <v>76</v>
      </c>
      <c r="W20" s="45" t="e">
        <f>VLOOKUP(V20,'Actor and Actress Success'!$A$1:$B$72,2,FALSE)</f>
        <v>#N/A</v>
      </c>
      <c r="Z20" t="s">
        <v>435</v>
      </c>
      <c r="AB20" s="45">
        <f>VLOOKUP(Z20,'Actor and Actress Success'!$A$1:$B$72,2,FALSE)</f>
        <v>24.324324324324326</v>
      </c>
      <c r="AC20" s="34">
        <v>1</v>
      </c>
      <c r="AD20" t="s">
        <v>449</v>
      </c>
      <c r="AF20" s="45">
        <f>VLOOKUP(AD20,'Actor and Actress Success'!$A$1:$B$72,2,FALSE)</f>
        <v>42.307692307692307</v>
      </c>
      <c r="AG20" s="34">
        <v>1</v>
      </c>
      <c r="AH20" t="s">
        <v>384</v>
      </c>
      <c r="AK20" s="45" t="e">
        <f>VLOOKUP(AH20,'Actor and Actress Success'!$A$1:$B$72,2,FALSE)</f>
        <v>#N/A</v>
      </c>
    </row>
    <row r="21" spans="1:37">
      <c r="A21">
        <v>21</v>
      </c>
      <c r="B21" s="8" t="s">
        <v>96</v>
      </c>
      <c r="C21" s="10">
        <v>1997</v>
      </c>
      <c r="D21" s="12">
        <v>35482</v>
      </c>
      <c r="E21" s="12"/>
      <c r="F21" s="10" t="s">
        <v>176</v>
      </c>
      <c r="G21" s="10" t="s">
        <v>176</v>
      </c>
      <c r="H21" s="10" t="s">
        <v>439</v>
      </c>
      <c r="I21" s="10">
        <v>230</v>
      </c>
      <c r="J21" s="22">
        <v>53</v>
      </c>
      <c r="K21" s="10">
        <v>84.17</v>
      </c>
      <c r="L21" s="1">
        <v>67500000</v>
      </c>
      <c r="M21" s="1">
        <v>309543750</v>
      </c>
      <c r="N21" s="1">
        <v>1614181360</v>
      </c>
      <c r="O21" s="1"/>
      <c r="P21" t="s">
        <v>441</v>
      </c>
      <c r="Q21">
        <f>Q7+69575000+131400000</f>
        <v>200975000</v>
      </c>
      <c r="R21" t="s">
        <v>427</v>
      </c>
      <c r="S21">
        <f>S9+91800000+104850000</f>
        <v>1000100000</v>
      </c>
      <c r="T21" t="s">
        <v>450</v>
      </c>
      <c r="U21" s="17" t="s">
        <v>852</v>
      </c>
      <c r="V21" s="37" t="s">
        <v>451</v>
      </c>
      <c r="W21" s="45">
        <f>VLOOKUP(V21,'Actor and Actress Success'!$A$1:$B$72,2,FALSE)</f>
        <v>22.857142857142858</v>
      </c>
      <c r="X21" s="34">
        <v>1</v>
      </c>
      <c r="Y21" s="34">
        <f>'Star Economic history'!H3</f>
        <v>50056250</v>
      </c>
      <c r="Z21" s="37" t="s">
        <v>69</v>
      </c>
      <c r="AA21" s="37"/>
      <c r="AB21" s="45">
        <f>VLOOKUP(Z21,'Actor and Actress Success'!$A$1:$B$72,2,FALSE)</f>
        <v>46.808510638297875</v>
      </c>
      <c r="AC21" s="34">
        <v>1</v>
      </c>
      <c r="AD21" t="s">
        <v>452</v>
      </c>
      <c r="AF21" s="45" t="e">
        <f>VLOOKUP(AD21,'Actor and Actress Success'!$A$1:$B$72,2,FALSE)</f>
        <v>#N/A</v>
      </c>
      <c r="AH21" t="s">
        <v>453</v>
      </c>
      <c r="AK21" s="45" t="e">
        <f>VLOOKUP(AH21,'Actor and Actress Success'!$A$1:$B$72,2,FALSE)</f>
        <v>#N/A</v>
      </c>
    </row>
    <row r="22" spans="1:37">
      <c r="A22">
        <v>22</v>
      </c>
      <c r="B22" s="8" t="s">
        <v>97</v>
      </c>
      <c r="C22" s="10">
        <v>1996</v>
      </c>
      <c r="D22" s="12">
        <v>35300</v>
      </c>
      <c r="E22" s="12"/>
      <c r="F22" s="10" t="s">
        <v>176</v>
      </c>
      <c r="G22" s="10" t="s">
        <v>176</v>
      </c>
      <c r="H22" s="10" t="s">
        <v>50</v>
      </c>
      <c r="I22" s="10">
        <v>235</v>
      </c>
      <c r="J22" s="22">
        <v>54</v>
      </c>
      <c r="K22" s="10">
        <v>76.94</v>
      </c>
      <c r="L22" s="1">
        <v>72500000</v>
      </c>
      <c r="M22" s="1">
        <v>286118750</v>
      </c>
      <c r="N22" s="1">
        <v>1604734120</v>
      </c>
      <c r="O22" s="1"/>
      <c r="P22" t="s">
        <v>454</v>
      </c>
      <c r="R22" t="s">
        <v>67</v>
      </c>
      <c r="T22" t="s">
        <v>454</v>
      </c>
      <c r="U22" s="17" t="s">
        <v>853</v>
      </c>
      <c r="V22" t="s">
        <v>77</v>
      </c>
      <c r="W22" s="45">
        <f>VLOOKUP(V22,'Actor and Actress Success'!$A$1:$B$72,2,FALSE)</f>
        <v>23.404255319148938</v>
      </c>
      <c r="X22" s="34">
        <v>1</v>
      </c>
      <c r="Z22" t="s">
        <v>16</v>
      </c>
      <c r="AB22" s="45">
        <f>VLOOKUP(Z22,'Actor and Actress Success'!$A$1:$B$72,2,FALSE)</f>
        <v>50.819672131147541</v>
      </c>
      <c r="AC22" s="34">
        <v>1</v>
      </c>
      <c r="AD22" t="s">
        <v>69</v>
      </c>
      <c r="AF22" s="45">
        <f>VLOOKUP(AD22,'Actor and Actress Success'!$A$1:$B$72,2,FALSE)</f>
        <v>46.808510638297875</v>
      </c>
      <c r="AG22" s="34">
        <v>1</v>
      </c>
      <c r="AH22" t="s">
        <v>394</v>
      </c>
      <c r="AJ22" s="34">
        <v>1</v>
      </c>
      <c r="AK22" s="45" t="e">
        <f>VLOOKUP(AH22,'Actor and Actress Success'!$A$1:$B$72,2,FALSE)</f>
        <v>#N/A</v>
      </c>
    </row>
    <row r="23" spans="1:37">
      <c r="A23">
        <v>23</v>
      </c>
      <c r="B23" s="8" t="s">
        <v>98</v>
      </c>
      <c r="C23" s="10">
        <v>1998</v>
      </c>
      <c r="D23" s="12">
        <v>36000</v>
      </c>
      <c r="E23" s="12"/>
      <c r="F23" s="10" t="s">
        <v>176</v>
      </c>
      <c r="G23" s="10" t="s">
        <v>176</v>
      </c>
      <c r="H23" s="10" t="s">
        <v>56</v>
      </c>
      <c r="I23" s="10">
        <v>180</v>
      </c>
      <c r="J23" s="22">
        <v>55</v>
      </c>
      <c r="K23" s="10">
        <v>94.67</v>
      </c>
      <c r="L23" s="1">
        <v>75000000</v>
      </c>
      <c r="M23" s="1">
        <v>382700000</v>
      </c>
      <c r="N23" s="1">
        <v>1603900540</v>
      </c>
      <c r="O23" s="1"/>
      <c r="P23" s="17" t="s">
        <v>455</v>
      </c>
      <c r="Q23" s="17"/>
      <c r="R23" s="17" t="s">
        <v>63</v>
      </c>
      <c r="S23" s="17"/>
      <c r="T23" s="17" t="s">
        <v>455</v>
      </c>
      <c r="U23" s="17" t="s">
        <v>503</v>
      </c>
      <c r="V23" s="17" t="s">
        <v>429</v>
      </c>
      <c r="W23" s="45">
        <f>VLOOKUP(V23,'Actor and Actress Success'!$A$1:$B$72,2,FALSE)</f>
        <v>39.285714285714285</v>
      </c>
      <c r="X23" s="35">
        <v>1</v>
      </c>
      <c r="Y23" s="35">
        <f>'Star Economic history'!I4</f>
        <v>154912500</v>
      </c>
      <c r="Z23" s="17" t="s">
        <v>59</v>
      </c>
      <c r="AA23" s="17"/>
      <c r="AB23" s="45">
        <f>VLOOKUP(Z23,'Actor and Actress Success'!$A$1:$B$72,2,FALSE)</f>
        <v>46.428571428571431</v>
      </c>
      <c r="AC23" s="35">
        <v>1</v>
      </c>
      <c r="AD23" s="17" t="s">
        <v>456</v>
      </c>
      <c r="AE23" s="17"/>
      <c r="AF23" s="45" t="e">
        <f>VLOOKUP(AD23,'Actor and Actress Success'!$A$1:$B$72,2,FALSE)</f>
        <v>#N/A</v>
      </c>
      <c r="AG23" s="35"/>
      <c r="AH23" s="17" t="s">
        <v>457</v>
      </c>
      <c r="AI23" s="17"/>
      <c r="AK23" s="45" t="e">
        <f>VLOOKUP(AH23,'Actor and Actress Success'!$A$1:$B$72,2,FALSE)</f>
        <v>#N/A</v>
      </c>
    </row>
    <row r="24" spans="1:37">
      <c r="A24">
        <v>24</v>
      </c>
      <c r="B24" s="8" t="s">
        <v>99</v>
      </c>
      <c r="C24" s="10">
        <v>1996</v>
      </c>
      <c r="D24" s="12">
        <v>35230</v>
      </c>
      <c r="E24" s="12"/>
      <c r="F24" s="10" t="s">
        <v>176</v>
      </c>
      <c r="G24" s="10" t="s">
        <v>176</v>
      </c>
      <c r="H24" s="10" t="s">
        <v>50</v>
      </c>
      <c r="I24" s="10">
        <v>230</v>
      </c>
      <c r="J24" s="22">
        <v>59</v>
      </c>
      <c r="K24" s="10">
        <v>91.43</v>
      </c>
      <c r="L24" s="1">
        <v>67500000</v>
      </c>
      <c r="M24" s="1">
        <v>251550000</v>
      </c>
      <c r="N24" s="1">
        <v>1485810040</v>
      </c>
      <c r="O24" s="1"/>
      <c r="P24" s="17" t="s">
        <v>458</v>
      </c>
      <c r="Q24" s="17"/>
      <c r="R24" s="17" t="s">
        <v>430</v>
      </c>
      <c r="S24" s="17"/>
      <c r="T24" t="s">
        <v>1844</v>
      </c>
      <c r="U24" s="17" t="s">
        <v>854</v>
      </c>
      <c r="V24" s="17" t="s">
        <v>459</v>
      </c>
      <c r="W24" s="45">
        <f>VLOOKUP(V24,'Actor and Actress Success'!$A$1:$B$72,2,FALSE)</f>
        <v>21.739130434782609</v>
      </c>
      <c r="X24" s="35">
        <v>1</v>
      </c>
      <c r="Y24" s="35"/>
      <c r="Z24" s="17" t="s">
        <v>397</v>
      </c>
      <c r="AA24" s="17">
        <f>'Star Economic history'!G6</f>
        <v>41531250</v>
      </c>
      <c r="AB24" s="45">
        <f>VLOOKUP(Z24,'Actor and Actress Success'!$A$1:$B$72,2,FALSE)</f>
        <v>44.117647058823529</v>
      </c>
      <c r="AC24" s="35">
        <v>1</v>
      </c>
      <c r="AD24" s="17" t="s">
        <v>398</v>
      </c>
      <c r="AE24" s="17"/>
      <c r="AF24" s="45">
        <f>VLOOKUP(AD24,'Actor and Actress Success'!$A$1:$B$72,2,FALSE)</f>
        <v>21.052631578947366</v>
      </c>
      <c r="AG24" s="35">
        <v>1</v>
      </c>
      <c r="AH24" s="17" t="s">
        <v>460</v>
      </c>
      <c r="AI24" s="17"/>
      <c r="AK24" s="45" t="e">
        <f>VLOOKUP(AH24,'Actor and Actress Success'!$A$1:$B$72,2,FALSE)</f>
        <v>#N/A</v>
      </c>
    </row>
    <row r="25" spans="1:37">
      <c r="A25">
        <v>25</v>
      </c>
      <c r="B25" s="8" t="s">
        <v>100</v>
      </c>
      <c r="C25" s="10">
        <v>1996</v>
      </c>
      <c r="D25" s="12">
        <v>35377</v>
      </c>
      <c r="E25" s="12"/>
      <c r="F25" s="10" t="s">
        <v>176</v>
      </c>
      <c r="G25" s="10" t="s">
        <v>176</v>
      </c>
      <c r="H25" s="10" t="s">
        <v>50</v>
      </c>
      <c r="I25" s="10">
        <v>220</v>
      </c>
      <c r="J25" s="22">
        <v>61</v>
      </c>
      <c r="K25" s="10">
        <v>79</v>
      </c>
      <c r="L25" s="1">
        <v>62500000</v>
      </c>
      <c r="M25" s="1">
        <v>265762500</v>
      </c>
      <c r="N25" s="1">
        <v>1466637700</v>
      </c>
      <c r="O25" s="1"/>
      <c r="P25" s="17" t="s">
        <v>434</v>
      </c>
      <c r="Q25" s="17"/>
      <c r="R25" s="17" t="s">
        <v>463</v>
      </c>
      <c r="S25" s="17"/>
      <c r="T25" s="17" t="s">
        <v>434</v>
      </c>
      <c r="U25" s="17" t="s">
        <v>434</v>
      </c>
      <c r="V25" s="17" t="s">
        <v>77</v>
      </c>
      <c r="W25" s="45">
        <f>VLOOKUP(V25,'Actor and Actress Success'!$A$1:$B$72,2,FALSE)</f>
        <v>23.404255319148938</v>
      </c>
      <c r="X25" s="35">
        <v>1</v>
      </c>
      <c r="Y25" s="35"/>
      <c r="Z25" s="17" t="s">
        <v>461</v>
      </c>
      <c r="AA25" s="17"/>
      <c r="AB25" s="45">
        <f>VLOOKUP(Z25,'Actor and Actress Success'!$A$1:$B$72,2,FALSE)</f>
        <v>50</v>
      </c>
      <c r="AC25" s="35">
        <v>1</v>
      </c>
      <c r="AD25" s="17" t="s">
        <v>462</v>
      </c>
      <c r="AE25" s="17"/>
      <c r="AF25" s="45" t="e">
        <f>VLOOKUP(AD25,'Actor and Actress Success'!$A$1:$B$72,2,FALSE)</f>
        <v>#N/A</v>
      </c>
      <c r="AG25" s="35"/>
      <c r="AH25" s="17" t="s">
        <v>60</v>
      </c>
      <c r="AI25" s="17"/>
      <c r="AK25" s="45" t="e">
        <f>VLOOKUP(AH25,'Actor and Actress Success'!$A$1:$B$72,2,FALSE)</f>
        <v>#N/A</v>
      </c>
    </row>
    <row r="26" spans="1:37">
      <c r="A26">
        <v>26</v>
      </c>
      <c r="B26" s="8" t="s">
        <v>101</v>
      </c>
      <c r="C26" s="10">
        <v>1994</v>
      </c>
      <c r="D26" s="12">
        <v>34355</v>
      </c>
      <c r="E26" s="12"/>
      <c r="F26" s="10" t="s">
        <v>176</v>
      </c>
      <c r="G26" s="10" t="s">
        <v>176</v>
      </c>
      <c r="H26" s="10" t="s">
        <v>428</v>
      </c>
      <c r="I26" s="10">
        <v>195</v>
      </c>
      <c r="J26" s="22">
        <v>63</v>
      </c>
      <c r="K26" s="10">
        <v>95</v>
      </c>
      <c r="L26" s="1">
        <v>23000000</v>
      </c>
      <c r="M26" s="1">
        <v>152650000</v>
      </c>
      <c r="N26" s="1">
        <v>1459135480</v>
      </c>
      <c r="O26" s="1"/>
      <c r="P26" s="17" t="s">
        <v>441</v>
      </c>
      <c r="Q26" s="20">
        <v>0</v>
      </c>
      <c r="R26" s="17" t="s">
        <v>427</v>
      </c>
      <c r="S26" s="17">
        <f>21935000+11190000+1687500+13875000+20000000+30900000+40625000</f>
        <v>140212500</v>
      </c>
      <c r="T26" s="17" t="s">
        <v>464</v>
      </c>
      <c r="U26" s="17" t="s">
        <v>855</v>
      </c>
      <c r="V26" s="17" t="s">
        <v>451</v>
      </c>
      <c r="W26" s="45">
        <f>VLOOKUP(V26,'Actor and Actress Success'!$A$1:$B$72,2,FALSE)</f>
        <v>22.857142857142858</v>
      </c>
      <c r="X26" s="35">
        <v>1</v>
      </c>
      <c r="Y26" s="35">
        <f>'Star Economic history'!E3</f>
        <v>12387500</v>
      </c>
      <c r="Z26" s="17" t="s">
        <v>69</v>
      </c>
      <c r="AA26" s="17"/>
      <c r="AB26" s="45">
        <f>VLOOKUP(Z26,'Actor and Actress Success'!$A$1:$B$72,2,FALSE)</f>
        <v>46.808510638297875</v>
      </c>
      <c r="AC26" s="35">
        <v>1</v>
      </c>
      <c r="AD26" s="17" t="s">
        <v>465</v>
      </c>
      <c r="AE26" s="17"/>
      <c r="AF26" t="e">
        <f>VLOOKUP(AD26,'Actor and Actress Success'!$A$1:$B$72,2,FALSE)</f>
        <v>#N/A</v>
      </c>
      <c r="AG26" s="35">
        <v>0</v>
      </c>
      <c r="AH26" s="17" t="s">
        <v>466</v>
      </c>
      <c r="AI26" s="17"/>
      <c r="AJ26" s="34">
        <v>0</v>
      </c>
      <c r="AK26" t="e">
        <f>VLOOKUP(AH26,'Actor and Actress Success'!$A$1:$B$72,2,FALSE)</f>
        <v>#N/A</v>
      </c>
    </row>
    <row r="27" spans="1:37">
      <c r="A27">
        <v>27</v>
      </c>
      <c r="B27" s="8" t="s">
        <v>102</v>
      </c>
      <c r="C27" s="10">
        <v>1998</v>
      </c>
      <c r="D27" s="12">
        <v>35881</v>
      </c>
      <c r="E27" s="12"/>
      <c r="F27" s="10" t="s">
        <v>176</v>
      </c>
      <c r="G27" s="10" t="s">
        <v>176</v>
      </c>
      <c r="H27" s="10" t="s">
        <v>56</v>
      </c>
      <c r="I27" s="10">
        <v>225</v>
      </c>
      <c r="J27" s="22">
        <v>64</v>
      </c>
      <c r="K27" s="10">
        <v>74.25</v>
      </c>
      <c r="L27" s="1">
        <v>77500000</v>
      </c>
      <c r="M27" s="1">
        <v>333687500</v>
      </c>
      <c r="N27" s="1">
        <v>1446724400</v>
      </c>
      <c r="O27" s="1"/>
      <c r="P27" s="17" t="s">
        <v>467</v>
      </c>
      <c r="Q27" s="17"/>
      <c r="R27" s="17" t="s">
        <v>470</v>
      </c>
      <c r="S27" s="17"/>
      <c r="T27" s="17" t="s">
        <v>467</v>
      </c>
      <c r="U27" s="17" t="s">
        <v>856</v>
      </c>
      <c r="V27" s="17" t="s">
        <v>468</v>
      </c>
      <c r="W27" s="45">
        <f>VLOOKUP(V27,'Actor and Actress Success'!$A$1:$B$72,2,FALSE)</f>
        <v>14.285714285714285</v>
      </c>
      <c r="X27" s="35"/>
      <c r="Y27" s="35"/>
      <c r="Z27" s="17" t="s">
        <v>16</v>
      </c>
      <c r="AA27" s="17" t="e">
        <f>#REF!+161300000+131400000+56800000</f>
        <v>#REF!</v>
      </c>
      <c r="AB27" s="45">
        <f>VLOOKUP(Z27,'Actor and Actress Success'!$A$1:$B$72,2,FALSE)</f>
        <v>50.819672131147541</v>
      </c>
      <c r="AC27" s="35">
        <v>1</v>
      </c>
      <c r="AD27" s="17" t="s">
        <v>59</v>
      </c>
      <c r="AE27" s="17"/>
      <c r="AF27" s="45">
        <f>VLOOKUP(AD27,'Actor and Actress Success'!$A$1:$B$72,2,FALSE)</f>
        <v>46.428571428571431</v>
      </c>
      <c r="AG27" s="35">
        <v>1</v>
      </c>
      <c r="AH27" s="17" t="s">
        <v>469</v>
      </c>
      <c r="AI27" s="17"/>
      <c r="AK27" s="45" t="e">
        <f>VLOOKUP(AH27,'Actor and Actress Success'!$A$1:$B$72,2,FALSE)</f>
        <v>#N/A</v>
      </c>
    </row>
    <row r="28" spans="1:37">
      <c r="A28">
        <v>28</v>
      </c>
      <c r="B28" s="8" t="s">
        <v>103</v>
      </c>
      <c r="C28" s="10">
        <v>1996</v>
      </c>
      <c r="D28" s="12">
        <v>35167</v>
      </c>
      <c r="E28" s="12"/>
      <c r="F28" s="10" t="s">
        <v>176</v>
      </c>
      <c r="G28" s="10" t="s">
        <v>176</v>
      </c>
      <c r="H28" s="10" t="s">
        <v>439</v>
      </c>
      <c r="I28" s="10">
        <v>210</v>
      </c>
      <c r="J28" s="22">
        <v>65</v>
      </c>
      <c r="K28" s="10">
        <v>63.33</v>
      </c>
      <c r="L28" s="1">
        <v>42500000</v>
      </c>
      <c r="M28" s="1">
        <v>236140000</v>
      </c>
      <c r="N28" s="1">
        <v>1442834360</v>
      </c>
      <c r="O28" s="1"/>
      <c r="P28" s="17" t="s">
        <v>441</v>
      </c>
      <c r="Q28" s="17">
        <f>Q11+125575000+52075000</f>
        <v>177650000</v>
      </c>
      <c r="R28" s="17" t="s">
        <v>67</v>
      </c>
      <c r="S28" s="17"/>
      <c r="T28" s="17" t="s">
        <v>450</v>
      </c>
      <c r="U28" s="17"/>
      <c r="V28" s="37" t="s">
        <v>451</v>
      </c>
      <c r="W28" s="45">
        <f>VLOOKUP(V28,'Actor and Actress Success'!$A$1:$B$72,2,FALSE)</f>
        <v>22.857142857142858</v>
      </c>
      <c r="X28" s="35">
        <v>1</v>
      </c>
      <c r="Y28" s="35">
        <f>'Star Economic history'!G3</f>
        <v>66550000</v>
      </c>
      <c r="Z28" s="37" t="s">
        <v>69</v>
      </c>
      <c r="AA28" s="37"/>
      <c r="AB28" s="45">
        <f>VLOOKUP(Z28,'Actor and Actress Success'!$A$1:$B$72,2,FALSE)</f>
        <v>46.808510638297875</v>
      </c>
      <c r="AC28" s="35">
        <v>1</v>
      </c>
      <c r="AD28" s="17" t="s">
        <v>394</v>
      </c>
      <c r="AE28" s="17"/>
      <c r="AF28" s="45" t="e">
        <f>VLOOKUP(AD28,'Actor and Actress Success'!$A$1:$B$72,2,FALSE)</f>
        <v>#N/A</v>
      </c>
      <c r="AG28" s="35"/>
      <c r="AH28" s="17" t="s">
        <v>452</v>
      </c>
      <c r="AI28" s="17"/>
      <c r="AK28" s="45" t="e">
        <f>VLOOKUP(AH28,'Actor and Actress Success'!$A$1:$B$72,2,FALSE)</f>
        <v>#N/A</v>
      </c>
    </row>
    <row r="29" spans="1:37">
      <c r="A29">
        <v>29</v>
      </c>
      <c r="B29" s="8" t="s">
        <v>104</v>
      </c>
      <c r="C29" s="10">
        <v>1995</v>
      </c>
      <c r="D29" s="12">
        <v>34880</v>
      </c>
      <c r="E29" s="12"/>
      <c r="F29" s="10" t="s">
        <v>176</v>
      </c>
      <c r="G29" s="10" t="s">
        <v>176</v>
      </c>
      <c r="H29" s="10" t="s">
        <v>439</v>
      </c>
      <c r="I29" s="10">
        <v>210</v>
      </c>
      <c r="J29" s="22">
        <v>67</v>
      </c>
      <c r="K29" s="10">
        <v>72.5</v>
      </c>
      <c r="L29" s="1">
        <v>35000000</v>
      </c>
      <c r="M29" s="1">
        <v>212298750</v>
      </c>
      <c r="N29" s="1">
        <v>1376147960</v>
      </c>
      <c r="O29" s="1"/>
      <c r="P29" s="17" t="s">
        <v>441</v>
      </c>
      <c r="Q29" s="17">
        <f>Q22+52975000+39300000</f>
        <v>92275000</v>
      </c>
      <c r="R29" s="17" t="s">
        <v>427</v>
      </c>
      <c r="S29" s="17">
        <f>S14+48125000+7325000+31450000+10450000+48100000+18450000+18600000+34325000+11250000+1100000+26275000+14850000</f>
        <v>774912500</v>
      </c>
      <c r="T29" s="17" t="s">
        <v>450</v>
      </c>
      <c r="U29" s="17" t="s">
        <v>857</v>
      </c>
      <c r="V29" s="37" t="s">
        <v>451</v>
      </c>
      <c r="W29" s="45">
        <f>VLOOKUP(V29,'Actor and Actress Success'!$A$1:$B$72,2,FALSE)</f>
        <v>22.857142857142858</v>
      </c>
      <c r="X29" s="35">
        <v>1</v>
      </c>
      <c r="Y29" s="35">
        <f>'Star Economic history'!F3</f>
        <v>32603125</v>
      </c>
      <c r="Z29" s="37" t="s">
        <v>69</v>
      </c>
      <c r="AA29" s="37"/>
      <c r="AB29" s="45">
        <f>VLOOKUP(Z29,'Actor and Actress Success'!$A$1:$B$72,2,FALSE)</f>
        <v>46.808510638297875</v>
      </c>
      <c r="AC29" s="35">
        <v>1</v>
      </c>
      <c r="AD29" s="17" t="s">
        <v>471</v>
      </c>
      <c r="AE29" s="17"/>
      <c r="AF29" s="45" t="e">
        <f>VLOOKUP(AD29,'Actor and Actress Success'!$A$1:$B$72,2,FALSE)</f>
        <v>#N/A</v>
      </c>
      <c r="AG29" s="35"/>
      <c r="AH29" s="17" t="s">
        <v>472</v>
      </c>
      <c r="AI29" s="17"/>
      <c r="AK29" s="45" t="e">
        <f>VLOOKUP(AH29,'Actor and Actress Success'!$A$1:$B$72,2,FALSE)</f>
        <v>#N/A</v>
      </c>
    </row>
    <row r="30" spans="1:37">
      <c r="A30">
        <v>30</v>
      </c>
      <c r="B30" s="8" t="s">
        <v>105</v>
      </c>
      <c r="C30" s="10">
        <v>1997</v>
      </c>
      <c r="D30" s="12">
        <v>35489</v>
      </c>
      <c r="E30" s="12"/>
      <c r="F30" s="10" t="s">
        <v>176</v>
      </c>
      <c r="G30" s="10" t="s">
        <v>176</v>
      </c>
      <c r="H30" s="10" t="s">
        <v>6</v>
      </c>
      <c r="I30" s="10">
        <v>170</v>
      </c>
      <c r="J30" s="22">
        <v>70</v>
      </c>
      <c r="K30" s="10">
        <v>70</v>
      </c>
      <c r="L30" s="1">
        <v>60000000</v>
      </c>
      <c r="M30" s="1">
        <v>280475000</v>
      </c>
      <c r="N30" s="1">
        <v>1295198080</v>
      </c>
      <c r="O30" s="1"/>
      <c r="P30" s="17" t="s">
        <v>454</v>
      </c>
      <c r="Q30" s="17"/>
      <c r="R30" s="17" t="s">
        <v>67</v>
      </c>
      <c r="S30" s="17"/>
      <c r="T30" s="17" t="s">
        <v>473</v>
      </c>
      <c r="U30" s="17" t="s">
        <v>473</v>
      </c>
      <c r="V30" s="37" t="s">
        <v>442</v>
      </c>
      <c r="W30" s="45">
        <f>VLOOKUP(V30,'Actor and Actress Success'!$A$1:$B$72,2,FALSE)</f>
        <v>34.042553191489361</v>
      </c>
      <c r="X30" s="35">
        <v>1</v>
      </c>
      <c r="Y30" s="35">
        <f>'Star Economic history'!H5</f>
        <v>52525000</v>
      </c>
      <c r="Z30" s="37" t="s">
        <v>474</v>
      </c>
      <c r="AA30" s="37"/>
      <c r="AB30" s="45">
        <f>VLOOKUP(Z30,'Actor and Actress Success'!$A$1:$B$72,2,FALSE)</f>
        <v>44.444444444444443</v>
      </c>
      <c r="AC30" s="35">
        <v>1</v>
      </c>
      <c r="AD30" s="17" t="s">
        <v>419</v>
      </c>
      <c r="AE30" s="17"/>
      <c r="AF30" s="45">
        <f>VLOOKUP(AD30,'Actor and Actress Success'!$A$1:$B$72,2,FALSE)</f>
        <v>21.212121212121211</v>
      </c>
      <c r="AG30" s="35">
        <v>1</v>
      </c>
      <c r="AH30" s="17" t="s">
        <v>452</v>
      </c>
      <c r="AI30" s="17"/>
      <c r="AK30" s="45" t="e">
        <f>VLOOKUP(AH30,'Actor and Actress Success'!$A$1:$B$72,2,FALSE)</f>
        <v>#N/A</v>
      </c>
    </row>
    <row r="31" spans="1:37">
      <c r="A31">
        <v>31</v>
      </c>
      <c r="B31" s="8" t="s">
        <v>106</v>
      </c>
      <c r="C31" s="10">
        <v>1996</v>
      </c>
      <c r="D31" s="12">
        <v>35090</v>
      </c>
      <c r="E31" s="12"/>
      <c r="F31" s="10" t="s">
        <v>176</v>
      </c>
      <c r="G31" s="10" t="s">
        <v>176</v>
      </c>
      <c r="H31" s="10" t="s">
        <v>6</v>
      </c>
      <c r="I31" s="10">
        <v>115</v>
      </c>
      <c r="J31" s="22">
        <v>74</v>
      </c>
      <c r="K31" s="10">
        <v>0</v>
      </c>
      <c r="L31" s="1">
        <v>32500000</v>
      </c>
      <c r="M31" s="1">
        <v>206700000</v>
      </c>
      <c r="N31" s="1">
        <v>1257223880</v>
      </c>
      <c r="O31" s="1"/>
      <c r="P31" s="17" t="s">
        <v>476</v>
      </c>
      <c r="Q31" s="17"/>
      <c r="R31" s="17" t="s">
        <v>481</v>
      </c>
      <c r="S31" s="17"/>
      <c r="T31" s="17" t="s">
        <v>475</v>
      </c>
      <c r="U31" s="17" t="s">
        <v>858</v>
      </c>
      <c r="V31" s="17" t="s">
        <v>477</v>
      </c>
      <c r="W31" s="45" t="e">
        <f>VLOOKUP(V31,'Actor and Actress Success'!$A$1:$B$72,2,FALSE)</f>
        <v>#N/A</v>
      </c>
      <c r="X31" s="35">
        <v>1</v>
      </c>
      <c r="Y31" s="35"/>
      <c r="Z31" s="17" t="s">
        <v>478</v>
      </c>
      <c r="AA31" s="17"/>
      <c r="AB31" s="45" t="e">
        <f>VLOOKUP(Z31,'Actor and Actress Success'!$A$1:$B$72,2,FALSE)</f>
        <v>#N/A</v>
      </c>
      <c r="AC31" s="35">
        <v>1</v>
      </c>
      <c r="AD31" s="17" t="s">
        <v>479</v>
      </c>
      <c r="AE31" s="17"/>
      <c r="AF31" s="45" t="e">
        <f>VLOOKUP(AD31,'Actor and Actress Success'!$A$1:$B$72,2,FALSE)</f>
        <v>#N/A</v>
      </c>
      <c r="AG31" s="35">
        <v>1</v>
      </c>
      <c r="AH31" s="17" t="s">
        <v>480</v>
      </c>
      <c r="AI31" s="17"/>
      <c r="AK31" s="45" t="e">
        <f>VLOOKUP(AH31,'Actor and Actress Success'!$A$1:$B$72,2,FALSE)</f>
        <v>#N/A</v>
      </c>
    </row>
    <row r="32" spans="1:37">
      <c r="A32">
        <v>32</v>
      </c>
      <c r="B32" s="8" t="s">
        <v>107</v>
      </c>
      <c r="C32" s="10">
        <v>1999</v>
      </c>
      <c r="D32" s="12">
        <v>36182</v>
      </c>
      <c r="E32" s="12"/>
      <c r="F32" s="10" t="s">
        <v>176</v>
      </c>
      <c r="G32" s="10" t="s">
        <v>176</v>
      </c>
      <c r="H32" s="10" t="s">
        <v>6</v>
      </c>
      <c r="I32" s="10">
        <v>190</v>
      </c>
      <c r="J32" s="22">
        <v>75</v>
      </c>
      <c r="K32" s="10">
        <v>60</v>
      </c>
      <c r="L32" s="1">
        <v>62500000</v>
      </c>
      <c r="M32" s="1">
        <v>366500000</v>
      </c>
      <c r="N32" s="1">
        <v>1249165940</v>
      </c>
      <c r="O32" s="1"/>
      <c r="P32" s="17" t="s">
        <v>482</v>
      </c>
      <c r="Q32" s="17"/>
      <c r="R32" s="17" t="s">
        <v>430</v>
      </c>
      <c r="S32" s="17"/>
      <c r="U32" s="17" t="s">
        <v>859</v>
      </c>
      <c r="V32" s="17" t="s">
        <v>442</v>
      </c>
      <c r="W32" s="45">
        <f>VLOOKUP(V32,'Actor and Actress Success'!$A$1:$B$72,2,FALSE)</f>
        <v>34.042553191489361</v>
      </c>
      <c r="X32" s="35">
        <v>1</v>
      </c>
      <c r="Y32" s="35">
        <f>'Star Economic history'!J5</f>
        <v>47083333.333333336</v>
      </c>
      <c r="Z32" s="17" t="s">
        <v>59</v>
      </c>
      <c r="AA32" s="17"/>
      <c r="AB32" s="45">
        <f>VLOOKUP(Z32,'Actor and Actress Success'!$A$1:$B$72,2,FALSE)</f>
        <v>46.428571428571431</v>
      </c>
      <c r="AC32" s="35">
        <v>1</v>
      </c>
      <c r="AD32" s="17" t="s">
        <v>411</v>
      </c>
      <c r="AE32" s="17"/>
      <c r="AF32" s="45" t="e">
        <f>VLOOKUP(AD32,'Actor and Actress Success'!$A$1:$B$72,2,FALSE)</f>
        <v>#N/A</v>
      </c>
      <c r="AG32" s="35"/>
      <c r="AH32" s="17" t="s">
        <v>465</v>
      </c>
      <c r="AI32" s="17"/>
      <c r="AK32" s="45" t="e">
        <f>VLOOKUP(AH32,'Actor and Actress Success'!$A$1:$B$72,2,FALSE)</f>
        <v>#N/A</v>
      </c>
    </row>
    <row r="33" spans="1:37">
      <c r="A33">
        <v>33</v>
      </c>
      <c r="B33" s="8" t="s">
        <v>108</v>
      </c>
      <c r="C33" s="10">
        <v>1994</v>
      </c>
      <c r="D33" s="12">
        <v>34369</v>
      </c>
      <c r="E33" s="12"/>
      <c r="F33" s="10" t="s">
        <v>176</v>
      </c>
      <c r="G33" s="10" t="s">
        <v>176</v>
      </c>
      <c r="H33" s="10" t="s">
        <v>6</v>
      </c>
      <c r="I33" s="10">
        <v>120</v>
      </c>
      <c r="J33" s="22">
        <v>79</v>
      </c>
      <c r="K33" s="10">
        <v>0</v>
      </c>
      <c r="L33" s="1">
        <v>21000000</v>
      </c>
      <c r="M33" s="1">
        <v>119893750</v>
      </c>
      <c r="N33" s="1">
        <v>1187295780</v>
      </c>
      <c r="O33" s="1"/>
      <c r="P33" s="17" t="s">
        <v>484</v>
      </c>
      <c r="Q33" s="17"/>
      <c r="R33" s="17" t="s">
        <v>67</v>
      </c>
      <c r="S33" s="17"/>
      <c r="T33" s="17" t="s">
        <v>483</v>
      </c>
      <c r="U33" s="17" t="s">
        <v>860</v>
      </c>
      <c r="V33" s="37" t="s">
        <v>429</v>
      </c>
      <c r="W33" s="45">
        <f>VLOOKUP(V33,'Actor and Actress Success'!$A$1:$B$72,2,FALSE)</f>
        <v>39.285714285714285</v>
      </c>
      <c r="X33" s="35">
        <v>1</v>
      </c>
      <c r="Y33" s="35">
        <f>'Star Economic history'!E4</f>
        <v>21180000</v>
      </c>
      <c r="Z33" s="17" t="s">
        <v>79</v>
      </c>
      <c r="AA33" s="17"/>
      <c r="AB33" s="45">
        <f>VLOOKUP(Z33,'Actor and Actress Success'!$A$1:$B$72,2,FALSE)</f>
        <v>26.373626373626376</v>
      </c>
      <c r="AC33" s="35">
        <v>0</v>
      </c>
      <c r="AD33" s="37" t="s">
        <v>398</v>
      </c>
      <c r="AE33" s="37"/>
      <c r="AF33" s="45">
        <f>VLOOKUP(AD33,'Actor and Actress Success'!$A$1:$B$72,2,FALSE)</f>
        <v>21.052631578947366</v>
      </c>
      <c r="AG33" s="35">
        <v>1</v>
      </c>
      <c r="AH33" s="17" t="s">
        <v>453</v>
      </c>
      <c r="AI33" s="17"/>
      <c r="AJ33" s="34">
        <v>0</v>
      </c>
      <c r="AK33" t="e">
        <f>VLOOKUP(AH33,'Actor and Actress Success'!$A$1:$B$72,2,FALSE)</f>
        <v>#N/A</v>
      </c>
    </row>
    <row r="34" spans="1:37">
      <c r="A34">
        <v>34</v>
      </c>
      <c r="B34" s="8" t="s">
        <v>109</v>
      </c>
      <c r="C34" s="10">
        <v>1995</v>
      </c>
      <c r="D34" s="12">
        <v>34831</v>
      </c>
      <c r="E34" s="12"/>
      <c r="F34" s="10" t="s">
        <v>176</v>
      </c>
      <c r="G34" s="10" t="s">
        <v>176</v>
      </c>
      <c r="H34" s="10" t="s">
        <v>56</v>
      </c>
      <c r="I34" s="10">
        <v>65</v>
      </c>
      <c r="J34" s="22">
        <v>101</v>
      </c>
      <c r="K34" s="10">
        <v>0</v>
      </c>
      <c r="L34" s="1">
        <v>12500000</v>
      </c>
      <c r="M34" s="1">
        <v>84967000</v>
      </c>
      <c r="N34" s="1">
        <v>608883880</v>
      </c>
      <c r="O34" s="1"/>
      <c r="P34" s="17" t="s">
        <v>486</v>
      </c>
      <c r="Q34" s="17"/>
      <c r="R34" s="17" t="s">
        <v>490</v>
      </c>
      <c r="S34" s="17"/>
      <c r="T34" s="17" t="s">
        <v>485</v>
      </c>
      <c r="U34" s="17" t="s">
        <v>486</v>
      </c>
      <c r="V34" s="17" t="s">
        <v>487</v>
      </c>
      <c r="W34" s="45" t="e">
        <f>VLOOKUP(V34,'Actor and Actress Success'!$A$1:$B$72,2,FALSE)</f>
        <v>#N/A</v>
      </c>
      <c r="X34" s="35"/>
      <c r="Y34" s="35"/>
      <c r="Z34" s="17" t="s">
        <v>488</v>
      </c>
      <c r="AA34" s="17"/>
      <c r="AB34" s="45" t="e">
        <f>VLOOKUP(Z34,'Actor and Actress Success'!$A$1:$B$72,2,FALSE)</f>
        <v>#N/A</v>
      </c>
      <c r="AC34" s="35"/>
      <c r="AD34" s="17" t="s">
        <v>489</v>
      </c>
      <c r="AE34" s="17"/>
      <c r="AF34" s="45" t="e">
        <f>VLOOKUP(AD34,'Actor and Actress Success'!$A$1:$B$72,2,FALSE)</f>
        <v>#N/A</v>
      </c>
      <c r="AG34" s="35"/>
      <c r="AH34" s="17" t="s">
        <v>466</v>
      </c>
      <c r="AI34" s="17"/>
      <c r="AK34" s="45" t="e">
        <f>VLOOKUP(AH34,'Actor and Actress Success'!$A$1:$B$72,2,FALSE)</f>
        <v>#N/A</v>
      </c>
    </row>
    <row r="35" spans="1:37">
      <c r="A35">
        <v>35</v>
      </c>
      <c r="B35" s="8" t="s">
        <v>110</v>
      </c>
      <c r="C35" s="10">
        <v>1999</v>
      </c>
      <c r="D35" s="12">
        <v>36329</v>
      </c>
      <c r="E35" s="12"/>
      <c r="F35" s="10" t="s">
        <v>177</v>
      </c>
      <c r="G35" s="10" t="s">
        <v>177</v>
      </c>
      <c r="H35" s="10" t="s">
        <v>56</v>
      </c>
      <c r="I35" s="10">
        <v>250</v>
      </c>
      <c r="J35" s="22">
        <v>107</v>
      </c>
      <c r="K35" s="10">
        <v>73.209999999999994</v>
      </c>
      <c r="L35" s="1">
        <v>160000000</v>
      </c>
      <c r="M35" s="1">
        <v>513850000</v>
      </c>
      <c r="N35" s="1">
        <v>1653544860</v>
      </c>
      <c r="O35" s="1"/>
      <c r="P35" s="17" t="s">
        <v>491</v>
      </c>
      <c r="Q35" s="17"/>
      <c r="R35" s="17" t="s">
        <v>494</v>
      </c>
      <c r="S35" s="17"/>
      <c r="T35" t="s">
        <v>1845</v>
      </c>
      <c r="U35" s="17" t="s">
        <v>861</v>
      </c>
      <c r="V35" s="17" t="s">
        <v>16</v>
      </c>
      <c r="W35" s="45">
        <f>VLOOKUP(V35,'Actor and Actress Success'!$A$1:$B$72,2,FALSE)</f>
        <v>50.819672131147541</v>
      </c>
      <c r="X35" s="35">
        <v>1</v>
      </c>
      <c r="Y35" s="35"/>
      <c r="Z35" s="17" t="s">
        <v>429</v>
      </c>
      <c r="AA35" s="17"/>
      <c r="AB35" s="45">
        <f>VLOOKUP(Z35,'Actor and Actress Success'!$A$1:$B$72,2,FALSE)</f>
        <v>39.285714285714285</v>
      </c>
      <c r="AC35" s="35">
        <v>1</v>
      </c>
      <c r="AD35" s="17" t="s">
        <v>492</v>
      </c>
      <c r="AE35" s="17"/>
      <c r="AF35" s="45">
        <f>VLOOKUP(AD35,'Actor and Actress Success'!$A$1:$B$72,2,FALSE)</f>
        <v>36.666666666666664</v>
      </c>
      <c r="AG35" s="35">
        <v>1</v>
      </c>
      <c r="AH35" s="17" t="s">
        <v>493</v>
      </c>
      <c r="AI35" s="17"/>
      <c r="AK35" s="45" t="e">
        <f>VLOOKUP(AH35,'Actor and Actress Success'!$A$1:$B$72,2,FALSE)</f>
        <v>#N/A</v>
      </c>
    </row>
    <row r="36" spans="1:37">
      <c r="A36">
        <v>36</v>
      </c>
      <c r="B36" s="8" t="s">
        <v>111</v>
      </c>
      <c r="C36" s="10">
        <v>1997</v>
      </c>
      <c r="D36" s="12">
        <v>35615</v>
      </c>
      <c r="E36" s="12"/>
      <c r="F36" s="10" t="s">
        <v>177</v>
      </c>
      <c r="G36" s="10" t="s">
        <v>177</v>
      </c>
      <c r="H36" s="17" t="s">
        <v>408</v>
      </c>
      <c r="I36" s="10">
        <v>250</v>
      </c>
      <c r="J36" s="22">
        <v>108</v>
      </c>
      <c r="K36" s="10">
        <v>79</v>
      </c>
      <c r="L36" s="1">
        <v>95000000</v>
      </c>
      <c r="M36" s="1">
        <v>332393750</v>
      </c>
      <c r="N36" s="1">
        <v>1619553320</v>
      </c>
      <c r="O36" s="1"/>
      <c r="P36" s="17" t="s">
        <v>399</v>
      </c>
      <c r="Q36" s="17">
        <f>120125000</f>
        <v>120125000</v>
      </c>
      <c r="R36" s="17" t="s">
        <v>496</v>
      </c>
      <c r="S36" s="17">
        <f>120125000+52200000+77050000+24500000</f>
        <v>273875000</v>
      </c>
      <c r="T36" t="s">
        <v>1846</v>
      </c>
      <c r="U36" s="17" t="s">
        <v>399</v>
      </c>
      <c r="V36" s="17" t="s">
        <v>435</v>
      </c>
      <c r="W36" s="45">
        <f>VLOOKUP(V36,'Actor and Actress Success'!$A$1:$B$72,2,FALSE)</f>
        <v>24.324324324324326</v>
      </c>
      <c r="X36" s="35">
        <v>1</v>
      </c>
      <c r="Y36" s="35"/>
      <c r="Z36" s="17" t="s">
        <v>416</v>
      </c>
      <c r="AA36" s="17"/>
      <c r="AB36" s="45">
        <f>VLOOKUP(Z36,'Actor and Actress Success'!$A$1:$B$72,2,FALSE)</f>
        <v>14.035087719298245</v>
      </c>
      <c r="AC36" s="35">
        <v>1</v>
      </c>
      <c r="AD36" s="17" t="s">
        <v>59</v>
      </c>
      <c r="AE36" s="17"/>
      <c r="AF36" s="45">
        <f>VLOOKUP(AD36,'Actor and Actress Success'!$A$1:$B$72,2,FALSE)</f>
        <v>46.428571428571431</v>
      </c>
      <c r="AG36" s="35">
        <v>1</v>
      </c>
      <c r="AH36" s="17" t="s">
        <v>495</v>
      </c>
      <c r="AI36" s="17"/>
      <c r="AK36" s="45" t="e">
        <f>VLOOKUP(AH36,'Actor and Actress Success'!$A$1:$B$72,2,FALSE)</f>
        <v>#N/A</v>
      </c>
    </row>
    <row r="37" spans="1:37">
      <c r="A37">
        <v>37</v>
      </c>
      <c r="B37" s="8" t="s">
        <v>112</v>
      </c>
      <c r="C37" s="10">
        <v>1998</v>
      </c>
      <c r="D37" s="12">
        <v>36084</v>
      </c>
      <c r="E37" s="12"/>
      <c r="F37" s="10" t="s">
        <v>177</v>
      </c>
      <c r="G37" s="10" t="s">
        <v>177</v>
      </c>
      <c r="H37" s="10" t="s">
        <v>428</v>
      </c>
      <c r="I37" s="10">
        <v>320</v>
      </c>
      <c r="J37" s="22">
        <v>109</v>
      </c>
      <c r="K37" s="10">
        <v>58.75</v>
      </c>
      <c r="L37" s="1">
        <v>120000000</v>
      </c>
      <c r="M37" s="1">
        <v>352181250</v>
      </c>
      <c r="N37" s="1">
        <v>1511280540</v>
      </c>
      <c r="O37" s="1"/>
      <c r="P37" s="17" t="s">
        <v>441</v>
      </c>
      <c r="Q37" s="17">
        <f>Q21+93650000+135900000+55750000+80250000</f>
        <v>566525000</v>
      </c>
      <c r="R37" s="17" t="s">
        <v>496</v>
      </c>
      <c r="S37" s="17">
        <f>120125000+52200000+77050000+24500000+182300000+43600000+63100000+23000000</f>
        <v>585875000</v>
      </c>
      <c r="T37" s="17" t="s">
        <v>450</v>
      </c>
      <c r="U37" s="17" t="s">
        <v>450</v>
      </c>
      <c r="V37" s="17" t="s">
        <v>497</v>
      </c>
      <c r="W37" s="45">
        <f>VLOOKUP(V37,'Actor and Actress Success'!$A$1:$B$72,2,FALSE)</f>
        <v>33.333333333333329</v>
      </c>
      <c r="X37" s="35">
        <v>1</v>
      </c>
      <c r="Y37" s="35"/>
      <c r="Z37" s="17" t="s">
        <v>451</v>
      </c>
      <c r="AA37" s="17">
        <f>'Star Economic history'!I3</f>
        <v>84006250</v>
      </c>
      <c r="AB37" s="45">
        <f>VLOOKUP(Z37,'Actor and Actress Success'!$A$1:$B$72,2,FALSE)</f>
        <v>22.857142857142858</v>
      </c>
      <c r="AC37" s="35">
        <v>1</v>
      </c>
      <c r="AD37" s="17" t="s">
        <v>398</v>
      </c>
      <c r="AE37" s="17"/>
      <c r="AF37" s="45">
        <f>VLOOKUP(AD37,'Actor and Actress Success'!$A$1:$B$72,2,FALSE)</f>
        <v>21.052631578947366</v>
      </c>
      <c r="AG37" s="35">
        <v>1</v>
      </c>
      <c r="AH37" s="17" t="s">
        <v>498</v>
      </c>
      <c r="AI37" s="17"/>
      <c r="AJ37" s="34">
        <v>1</v>
      </c>
      <c r="AK37" s="45" t="e">
        <f>VLOOKUP(AH37,'Actor and Actress Success'!$A$1:$B$72,2,FALSE)</f>
        <v>#N/A</v>
      </c>
    </row>
    <row r="38" spans="1:37">
      <c r="A38">
        <v>38</v>
      </c>
      <c r="B38" s="8" t="s">
        <v>113</v>
      </c>
      <c r="C38" s="10">
        <v>1999</v>
      </c>
      <c r="D38" s="12">
        <v>36280</v>
      </c>
      <c r="E38" s="12"/>
      <c r="F38" s="10" t="s">
        <v>177</v>
      </c>
      <c r="G38" s="10" t="s">
        <v>177</v>
      </c>
      <c r="H38" s="10" t="s">
        <v>6</v>
      </c>
      <c r="I38" s="10">
        <v>220</v>
      </c>
      <c r="J38" s="22">
        <v>117</v>
      </c>
      <c r="K38" s="10">
        <v>56.18</v>
      </c>
      <c r="L38" s="1">
        <v>80000000</v>
      </c>
      <c r="M38" s="1">
        <v>334693750</v>
      </c>
      <c r="N38" s="1">
        <v>1265096580</v>
      </c>
      <c r="O38" s="1"/>
      <c r="P38" s="17" t="s">
        <v>499</v>
      </c>
      <c r="Q38" s="17"/>
      <c r="R38" s="17" t="s">
        <v>63</v>
      </c>
      <c r="S38" s="17"/>
      <c r="T38" s="17" t="s">
        <v>499</v>
      </c>
      <c r="U38" s="17" t="s">
        <v>499</v>
      </c>
      <c r="V38" s="17" t="s">
        <v>396</v>
      </c>
      <c r="W38" s="45" t="e">
        <f>VLOOKUP(V38,'Actor and Actress Success'!$A$1:$B$72,2,FALSE)</f>
        <v>#N/A</v>
      </c>
      <c r="X38" s="35"/>
      <c r="Y38" s="35"/>
      <c r="Z38" s="17" t="s">
        <v>73</v>
      </c>
      <c r="AA38" s="17">
        <f>202200000+70675000+431450000+249325000+133550000</f>
        <v>1087200000</v>
      </c>
      <c r="AB38" s="45">
        <f>VLOOKUP(Z38,'Actor and Actress Success'!$A$1:$B$72,2,FALSE)</f>
        <v>65.384615384615387</v>
      </c>
      <c r="AC38" s="35">
        <v>1</v>
      </c>
      <c r="AD38" s="17" t="s">
        <v>500</v>
      </c>
      <c r="AE38" s="17"/>
      <c r="AF38" s="45" t="e">
        <f>VLOOKUP(AD38,'Actor and Actress Success'!$A$1:$B$72,2,FALSE)</f>
        <v>#N/A</v>
      </c>
      <c r="AG38" s="35">
        <v>1</v>
      </c>
      <c r="AH38" s="17" t="s">
        <v>501</v>
      </c>
      <c r="AI38" s="17"/>
      <c r="AK38" s="45" t="e">
        <f>VLOOKUP(AH38,'Actor and Actress Success'!$A$1:$B$72,2,FALSE)</f>
        <v>#N/A</v>
      </c>
    </row>
    <row r="39" spans="1:37">
      <c r="A39">
        <v>39</v>
      </c>
      <c r="B39" s="8" t="s">
        <v>114</v>
      </c>
      <c r="C39" s="10">
        <v>1997</v>
      </c>
      <c r="D39" s="12">
        <v>35468</v>
      </c>
      <c r="E39" s="12"/>
      <c r="F39" s="10" t="s">
        <v>177</v>
      </c>
      <c r="G39" s="10" t="s">
        <v>177</v>
      </c>
      <c r="H39" s="10" t="s">
        <v>439</v>
      </c>
      <c r="I39" s="10">
        <v>220</v>
      </c>
      <c r="J39" s="22">
        <v>118</v>
      </c>
      <c r="K39" s="10">
        <v>61.54</v>
      </c>
      <c r="L39" s="1">
        <v>62500000</v>
      </c>
      <c r="M39" s="1">
        <v>242837500</v>
      </c>
      <c r="N39" s="1">
        <v>1262781080</v>
      </c>
      <c r="O39" s="1"/>
      <c r="P39" s="17" t="s">
        <v>441</v>
      </c>
      <c r="Q39" s="17">
        <f>Q22+69575000</f>
        <v>69575000</v>
      </c>
      <c r="R39" s="17" t="s">
        <v>430</v>
      </c>
      <c r="S39" s="17"/>
      <c r="T39" s="17" t="s">
        <v>450</v>
      </c>
      <c r="U39" s="17" t="s">
        <v>450</v>
      </c>
      <c r="V39" s="17" t="s">
        <v>16</v>
      </c>
      <c r="W39" s="45">
        <f>VLOOKUP(V39,'Actor and Actress Success'!$A$1:$B$72,2,FALSE)</f>
        <v>50.819672131147541</v>
      </c>
      <c r="X39" s="35">
        <v>1</v>
      </c>
      <c r="Y39" s="35"/>
      <c r="Z39" s="17" t="s">
        <v>69</v>
      </c>
      <c r="AA39" s="17"/>
      <c r="AB39" s="45">
        <f>VLOOKUP(Z39,'Actor and Actress Success'!$A$1:$B$72,2,FALSE)</f>
        <v>46.808510638297875</v>
      </c>
      <c r="AC39" s="35">
        <v>1</v>
      </c>
      <c r="AD39" s="17" t="s">
        <v>502</v>
      </c>
      <c r="AE39" s="17"/>
      <c r="AF39" s="45" t="e">
        <f>VLOOKUP(AD39,'Actor and Actress Success'!$A$1:$B$72,2,FALSE)</f>
        <v>#N/A</v>
      </c>
      <c r="AG39" s="35">
        <v>1</v>
      </c>
      <c r="AH39" s="17" t="s">
        <v>452</v>
      </c>
      <c r="AI39" s="17"/>
      <c r="AK39" s="45" t="e">
        <f>VLOOKUP(AH39,'Actor and Actress Success'!$A$1:$B$72,2,FALSE)</f>
        <v>#N/A</v>
      </c>
    </row>
    <row r="40" spans="1:37">
      <c r="A40">
        <v>40</v>
      </c>
      <c r="B40" s="8" t="s">
        <v>115</v>
      </c>
      <c r="C40" s="10">
        <v>1994</v>
      </c>
      <c r="D40" s="12">
        <v>34418</v>
      </c>
      <c r="E40" s="12"/>
      <c r="F40" s="10" t="s">
        <v>177</v>
      </c>
      <c r="G40" s="10" t="s">
        <v>177</v>
      </c>
      <c r="H40" s="10" t="s">
        <v>428</v>
      </c>
      <c r="I40" s="10">
        <v>170</v>
      </c>
      <c r="J40" s="22">
        <v>121</v>
      </c>
      <c r="K40" s="10">
        <v>0</v>
      </c>
      <c r="L40" s="1">
        <v>32500000</v>
      </c>
      <c r="M40" s="1">
        <v>139150000</v>
      </c>
      <c r="N40" s="1">
        <v>1215915360</v>
      </c>
      <c r="O40" s="1"/>
      <c r="P40" s="17" t="s">
        <v>454</v>
      </c>
      <c r="Q40" s="17"/>
      <c r="R40" s="17" t="s">
        <v>504</v>
      </c>
      <c r="S40" s="17">
        <f>S38+82350000+13100000+7750000+9975000+3100000</f>
        <v>116275000</v>
      </c>
      <c r="T40" s="17" t="s">
        <v>503</v>
      </c>
      <c r="U40" s="17" t="s">
        <v>455</v>
      </c>
      <c r="V40" s="37" t="s">
        <v>442</v>
      </c>
      <c r="W40" s="45">
        <f>VLOOKUP(V40,'Actor and Actress Success'!$A$1:$B$72,2,FALSE)</f>
        <v>34.042553191489361</v>
      </c>
      <c r="X40" s="35">
        <v>1</v>
      </c>
      <c r="Y40" s="35">
        <f>'Star Economic history'!E5</f>
        <v>0</v>
      </c>
      <c r="Z40" s="37" t="s">
        <v>474</v>
      </c>
      <c r="AA40" s="37"/>
      <c r="AB40" s="45">
        <f>VLOOKUP(Z40,'Actor and Actress Success'!$A$1:$B$72,2,FALSE)</f>
        <v>44.444444444444443</v>
      </c>
      <c r="AC40" s="35">
        <v>1</v>
      </c>
      <c r="AD40" s="17" t="s">
        <v>398</v>
      </c>
      <c r="AE40" s="17"/>
      <c r="AF40" s="45">
        <f>VLOOKUP(AD40,'Actor and Actress Success'!$A$1:$B$72,2,FALSE)</f>
        <v>21.052631578947366</v>
      </c>
      <c r="AG40" s="35">
        <v>0</v>
      </c>
      <c r="AH40" s="17" t="s">
        <v>384</v>
      </c>
      <c r="AI40" s="17"/>
      <c r="AJ40" s="34">
        <v>0</v>
      </c>
      <c r="AK40" t="e">
        <f>VLOOKUP(AH40,'Actor and Actress Success'!$A$1:$B$72,2,FALSE)</f>
        <v>#N/A</v>
      </c>
    </row>
    <row r="41" spans="1:37">
      <c r="A41">
        <v>41</v>
      </c>
      <c r="B41" s="8" t="s">
        <v>116</v>
      </c>
      <c r="C41" s="10">
        <v>1999</v>
      </c>
      <c r="D41" s="12">
        <v>36210</v>
      </c>
      <c r="E41" s="12"/>
      <c r="F41" s="10" t="s">
        <v>177</v>
      </c>
      <c r="G41" s="10" t="s">
        <v>177</v>
      </c>
      <c r="H41" s="10" t="s">
        <v>50</v>
      </c>
      <c r="I41" s="10">
        <v>290</v>
      </c>
      <c r="J41" s="22">
        <v>122</v>
      </c>
      <c r="K41" s="10">
        <v>91.25</v>
      </c>
      <c r="L41" s="1">
        <v>100000000</v>
      </c>
      <c r="M41" s="1">
        <v>288775000</v>
      </c>
      <c r="N41" s="1">
        <v>1212858900</v>
      </c>
      <c r="O41" s="1"/>
      <c r="P41" s="17" t="s">
        <v>506</v>
      </c>
      <c r="Q41" s="17"/>
      <c r="R41" s="17" t="s">
        <v>481</v>
      </c>
      <c r="S41" s="17"/>
      <c r="T41" s="17" t="s">
        <v>505</v>
      </c>
      <c r="U41" s="17" t="s">
        <v>505</v>
      </c>
      <c r="V41" s="17" t="s">
        <v>429</v>
      </c>
      <c r="W41" s="45">
        <f>VLOOKUP(V41,'Actor and Actress Success'!$A$1:$B$72,2,FALSE)</f>
        <v>39.285714285714285</v>
      </c>
      <c r="X41" s="35">
        <v>1</v>
      </c>
      <c r="Y41" s="35">
        <f>'Star Economic history'!J4</f>
        <v>129408333.33333333</v>
      </c>
      <c r="Z41" s="17" t="s">
        <v>393</v>
      </c>
      <c r="AA41" s="17"/>
      <c r="AB41" s="45">
        <f>VLOOKUP(Z41,'Actor and Actress Success'!$A$1:$B$72,2,FALSE)</f>
        <v>27.450980392156865</v>
      </c>
      <c r="AC41" s="35">
        <v>1</v>
      </c>
      <c r="AD41" s="17" t="s">
        <v>416</v>
      </c>
      <c r="AE41" s="17"/>
      <c r="AF41" s="45">
        <f>VLOOKUP(AD41,'Actor and Actress Success'!$A$1:$B$72,2,FALSE)</f>
        <v>14.035087719298245</v>
      </c>
      <c r="AG41" s="35">
        <v>1</v>
      </c>
      <c r="AH41" s="17" t="s">
        <v>507</v>
      </c>
      <c r="AI41" s="17"/>
      <c r="AJ41" s="34">
        <v>1</v>
      </c>
      <c r="AK41" s="45" t="e">
        <f>VLOOKUP(AH41,'Actor and Actress Success'!$A$1:$B$72,2,FALSE)</f>
        <v>#N/A</v>
      </c>
    </row>
    <row r="42" spans="1:37">
      <c r="A42">
        <v>42</v>
      </c>
      <c r="B42" s="8" t="s">
        <v>117</v>
      </c>
      <c r="C42" s="10">
        <v>1997</v>
      </c>
      <c r="D42" s="12">
        <v>35713</v>
      </c>
      <c r="E42" s="12"/>
      <c r="F42" s="10" t="s">
        <v>177</v>
      </c>
      <c r="G42" s="10" t="s">
        <v>177</v>
      </c>
      <c r="H42" s="10" t="s">
        <v>439</v>
      </c>
      <c r="I42" s="10">
        <v>230</v>
      </c>
      <c r="J42" s="22">
        <v>129</v>
      </c>
      <c r="K42" s="10">
        <v>86.67</v>
      </c>
      <c r="L42" s="1">
        <v>70000000</v>
      </c>
      <c r="M42" s="1">
        <v>243375000</v>
      </c>
      <c r="N42" s="1">
        <v>1119220080</v>
      </c>
      <c r="O42" s="1"/>
      <c r="P42" s="17" t="s">
        <v>441</v>
      </c>
      <c r="Q42" s="17">
        <f>Q38+170750000</f>
        <v>170750000</v>
      </c>
      <c r="R42" s="17" t="s">
        <v>508</v>
      </c>
      <c r="S42" s="17"/>
      <c r="T42" t="s">
        <v>1847</v>
      </c>
      <c r="U42" s="17" t="s">
        <v>503</v>
      </c>
      <c r="V42" s="17" t="s">
        <v>442</v>
      </c>
      <c r="W42" s="45">
        <f>VLOOKUP(V42,'Actor and Actress Success'!$A$1:$B$72,2,FALSE)</f>
        <v>34.042553191489361</v>
      </c>
      <c r="X42" s="35">
        <v>1</v>
      </c>
      <c r="Y42" s="35">
        <f>'Star Economic history'!H5</f>
        <v>52525000</v>
      </c>
      <c r="Z42" s="17" t="s">
        <v>451</v>
      </c>
      <c r="AA42" s="17">
        <f>'Star Economic history'!H3</f>
        <v>50056250</v>
      </c>
      <c r="AB42" s="45">
        <f>VLOOKUP(Z42,'Actor and Actress Success'!$A$1:$B$72,2,FALSE)</f>
        <v>22.857142857142858</v>
      </c>
      <c r="AC42" s="35">
        <v>1</v>
      </c>
      <c r="AD42" s="17" t="s">
        <v>410</v>
      </c>
      <c r="AE42" s="17"/>
      <c r="AF42" s="45">
        <f>VLOOKUP(AD42,'Actor and Actress Success'!$A$1:$B$72,2,FALSE)</f>
        <v>27.659574468085108</v>
      </c>
      <c r="AG42" s="35">
        <v>1</v>
      </c>
      <c r="AH42" s="17" t="s">
        <v>71</v>
      </c>
      <c r="AI42" s="17"/>
      <c r="AK42" s="45" t="e">
        <f>VLOOKUP(AH42,'Actor and Actress Success'!$A$1:$B$72,2,FALSE)</f>
        <v>#N/A</v>
      </c>
    </row>
    <row r="43" spans="1:37">
      <c r="A43">
        <v>43</v>
      </c>
      <c r="B43" s="8" t="s">
        <v>118</v>
      </c>
      <c r="C43" s="10">
        <v>1995</v>
      </c>
      <c r="D43" s="12">
        <v>34859</v>
      </c>
      <c r="E43" s="12"/>
      <c r="F43" s="10" t="s">
        <v>177</v>
      </c>
      <c r="G43" s="10" t="s">
        <v>177</v>
      </c>
      <c r="H43" s="10" t="s">
        <v>50</v>
      </c>
      <c r="I43" s="10">
        <v>200</v>
      </c>
      <c r="J43" s="22">
        <v>131</v>
      </c>
      <c r="K43" s="10">
        <v>81.25</v>
      </c>
      <c r="L43" s="1">
        <v>40000000</v>
      </c>
      <c r="M43" s="1">
        <v>160562500</v>
      </c>
      <c r="N43" s="1">
        <v>1101900140</v>
      </c>
      <c r="O43" s="1"/>
      <c r="P43" s="17" t="s">
        <v>458</v>
      </c>
      <c r="Q43" s="17"/>
      <c r="R43" s="17" t="s">
        <v>387</v>
      </c>
      <c r="S43" s="17"/>
      <c r="T43" s="17" t="s">
        <v>509</v>
      </c>
      <c r="U43" s="17" t="s">
        <v>862</v>
      </c>
      <c r="V43" s="17" t="s">
        <v>397</v>
      </c>
      <c r="W43" s="45">
        <f>VLOOKUP(V43,'Actor and Actress Success'!$A$1:$B$72,2,FALSE)</f>
        <v>44.117647058823529</v>
      </c>
      <c r="X43" s="35">
        <v>1</v>
      </c>
      <c r="Y43" s="35">
        <f>'Star Economic history'!F6</f>
        <v>46038636.363636367</v>
      </c>
      <c r="Z43" s="17" t="s">
        <v>426</v>
      </c>
      <c r="AA43" s="17"/>
      <c r="AB43" s="45" t="e">
        <f>VLOOKUP(Z43,'Actor and Actress Success'!$A$1:$B$72,2,FALSE)</f>
        <v>#N/A</v>
      </c>
      <c r="AC43" s="35">
        <v>1</v>
      </c>
      <c r="AD43" s="17" t="s">
        <v>17</v>
      </c>
      <c r="AE43" s="17"/>
      <c r="AF43" s="45" t="e">
        <f>VLOOKUP(AD43,'Actor and Actress Success'!$A$1:$B$72,2,FALSE)</f>
        <v>#N/A</v>
      </c>
      <c r="AG43" s="35"/>
      <c r="AH43" s="17" t="s">
        <v>420</v>
      </c>
      <c r="AI43" s="17"/>
      <c r="AK43" s="45" t="e">
        <f>VLOOKUP(AH43,'Actor and Actress Success'!$A$1:$B$72,2,FALSE)</f>
        <v>#N/A</v>
      </c>
    </row>
    <row r="44" spans="1:37">
      <c r="A44">
        <v>44</v>
      </c>
      <c r="B44" s="8" t="s">
        <v>119</v>
      </c>
      <c r="C44" s="10">
        <v>1998</v>
      </c>
      <c r="D44" s="12">
        <v>35986</v>
      </c>
      <c r="E44" s="12"/>
      <c r="F44" s="10" t="s">
        <v>177</v>
      </c>
      <c r="G44" s="10" t="s">
        <v>177</v>
      </c>
      <c r="H44" s="10" t="s">
        <v>439</v>
      </c>
      <c r="I44" s="10">
        <v>165</v>
      </c>
      <c r="J44" s="22">
        <v>133</v>
      </c>
      <c r="K44" s="10">
        <v>91.67</v>
      </c>
      <c r="L44" s="1">
        <v>50000000</v>
      </c>
      <c r="M44" s="1">
        <v>224906250</v>
      </c>
      <c r="N44" s="1">
        <v>1097824860</v>
      </c>
      <c r="O44" s="1"/>
      <c r="P44" s="17" t="s">
        <v>510</v>
      </c>
      <c r="Q44" s="17"/>
      <c r="R44" s="17" t="s">
        <v>427</v>
      </c>
      <c r="S44" s="17">
        <f>S30+49500000+31750000+55750000+25425000+35825000+53400000</f>
        <v>251650000</v>
      </c>
      <c r="T44" t="s">
        <v>1848</v>
      </c>
      <c r="U44" s="17" t="s">
        <v>863</v>
      </c>
      <c r="V44" s="37" t="s">
        <v>451</v>
      </c>
      <c r="W44" s="45">
        <f>VLOOKUP(V44,'Actor and Actress Success'!$A$1:$B$72,2,FALSE)</f>
        <v>22.857142857142858</v>
      </c>
      <c r="X44" s="35">
        <v>1</v>
      </c>
      <c r="Y44" s="35">
        <f>'Star Economic history'!I3</f>
        <v>84006250</v>
      </c>
      <c r="Z44" s="37" t="s">
        <v>398</v>
      </c>
      <c r="AA44" s="37"/>
      <c r="AB44" s="45">
        <f>VLOOKUP(Z44,'Actor and Actress Success'!$A$1:$B$72,2,FALSE)</f>
        <v>21.052631578947366</v>
      </c>
      <c r="AC44" s="35">
        <v>1</v>
      </c>
      <c r="AD44" s="17" t="s">
        <v>452</v>
      </c>
      <c r="AE44" s="17"/>
      <c r="AF44" s="45" t="e">
        <f>VLOOKUP(AD44,'Actor and Actress Success'!$A$1:$B$72,2,FALSE)</f>
        <v>#N/A</v>
      </c>
      <c r="AG44" s="35"/>
      <c r="AH44" s="17" t="s">
        <v>495</v>
      </c>
      <c r="AI44" s="17"/>
      <c r="AK44" s="45" t="e">
        <f>VLOOKUP(AH44,'Actor and Actress Success'!$A$1:$B$72,2,FALSE)</f>
        <v>#N/A</v>
      </c>
    </row>
    <row r="45" spans="1:37">
      <c r="A45">
        <v>45</v>
      </c>
      <c r="B45" s="8" t="s">
        <v>120</v>
      </c>
      <c r="C45" s="10">
        <v>1999</v>
      </c>
      <c r="D45" s="12">
        <v>36336</v>
      </c>
      <c r="E45" s="12"/>
      <c r="F45" s="10" t="s">
        <v>177</v>
      </c>
      <c r="G45" s="10" t="s">
        <v>177</v>
      </c>
      <c r="H45" s="10" t="s">
        <v>439</v>
      </c>
      <c r="I45" s="10">
        <v>230</v>
      </c>
      <c r="J45" s="22">
        <v>138</v>
      </c>
      <c r="K45" s="10">
        <v>80</v>
      </c>
      <c r="L45" s="1">
        <v>90000000</v>
      </c>
      <c r="M45" s="1">
        <v>271637500</v>
      </c>
      <c r="N45" s="1">
        <v>1051885340</v>
      </c>
      <c r="O45" s="1"/>
      <c r="P45" s="17" t="s">
        <v>441</v>
      </c>
      <c r="Q45" s="17">
        <f>Q40+255800000</f>
        <v>255800000</v>
      </c>
      <c r="R45" s="17" t="s">
        <v>430</v>
      </c>
      <c r="S45" s="17"/>
      <c r="T45" t="s">
        <v>1849</v>
      </c>
      <c r="U45" s="17" t="s">
        <v>864</v>
      </c>
      <c r="V45" s="17" t="s">
        <v>511</v>
      </c>
      <c r="W45" s="45">
        <f>VLOOKUP(V45,'Actor and Actress Success'!$A$1:$B$72,2,FALSE)</f>
        <v>27.397260273972602</v>
      </c>
      <c r="X45" s="35">
        <v>1</v>
      </c>
      <c r="Y45" s="35"/>
      <c r="Z45" s="37" t="s">
        <v>451</v>
      </c>
      <c r="AA45" s="37">
        <f>'Star Economic history'!J3</f>
        <v>75031250</v>
      </c>
      <c r="AB45" s="45">
        <f>VLOOKUP(Z45,'Actor and Actress Success'!$A$1:$B$72,2,FALSE)</f>
        <v>22.857142857142858</v>
      </c>
      <c r="AC45" s="35">
        <v>1</v>
      </c>
      <c r="AD45" s="37" t="s">
        <v>69</v>
      </c>
      <c r="AE45" s="37"/>
      <c r="AF45" s="45">
        <f>VLOOKUP(AD45,'Actor and Actress Success'!$A$1:$B$72,2,FALSE)</f>
        <v>46.808510638297875</v>
      </c>
      <c r="AG45" s="35">
        <v>1</v>
      </c>
      <c r="AH45" s="17" t="s">
        <v>512</v>
      </c>
      <c r="AI45" s="17"/>
      <c r="AJ45" s="34">
        <v>1</v>
      </c>
      <c r="AK45" s="45" t="e">
        <f>VLOOKUP(AH45,'Actor and Actress Success'!$A$1:$B$72,2,FALSE)</f>
        <v>#N/A</v>
      </c>
    </row>
    <row r="46" spans="1:37">
      <c r="A46">
        <v>46</v>
      </c>
      <c r="B46" s="8" t="s">
        <v>121</v>
      </c>
      <c r="C46" s="10">
        <v>1996</v>
      </c>
      <c r="D46" s="12">
        <v>35202</v>
      </c>
      <c r="E46" s="12"/>
      <c r="F46" s="10" t="s">
        <v>177</v>
      </c>
      <c r="G46" s="10" t="s">
        <v>177</v>
      </c>
      <c r="H46" s="10" t="s">
        <v>50</v>
      </c>
      <c r="I46" s="10">
        <v>205</v>
      </c>
      <c r="J46" s="22">
        <v>139</v>
      </c>
      <c r="K46" s="10">
        <v>92.5</v>
      </c>
      <c r="L46" s="1">
        <v>47500000</v>
      </c>
      <c r="M46" s="1">
        <v>172000000</v>
      </c>
      <c r="N46" s="1">
        <v>1039844740</v>
      </c>
      <c r="O46" s="1"/>
      <c r="P46" s="17" t="s">
        <v>454</v>
      </c>
      <c r="Q46" s="17"/>
      <c r="R46" s="17" t="s">
        <v>427</v>
      </c>
      <c r="S46" s="17">
        <f>S32+46925000+56450000+450000+48175000+26575000+41125000+30900000+25325000+18375000+1800000</f>
        <v>296100000</v>
      </c>
      <c r="T46" s="17" t="s">
        <v>413</v>
      </c>
      <c r="U46" s="17" t="s">
        <v>454</v>
      </c>
      <c r="V46" s="17" t="s">
        <v>429</v>
      </c>
      <c r="W46" s="45">
        <f>VLOOKUP(V46,'Actor and Actress Success'!$A$1:$B$72,2,FALSE)</f>
        <v>39.285714285714285</v>
      </c>
      <c r="X46" s="35">
        <v>1</v>
      </c>
      <c r="Y46" s="35">
        <f>'Star Economic history'!G4</f>
        <v>57450000</v>
      </c>
      <c r="Z46" s="17" t="s">
        <v>436</v>
      </c>
      <c r="AA46" s="17"/>
      <c r="AB46" s="45" t="e">
        <f>VLOOKUP(Z46,'Actor and Actress Success'!$A$1:$B$72,2,FALSE)</f>
        <v>#N/A</v>
      </c>
      <c r="AC46" s="35">
        <v>1</v>
      </c>
      <c r="AD46" s="17" t="s">
        <v>60</v>
      </c>
      <c r="AE46" s="17"/>
      <c r="AF46" s="45" t="e">
        <f>VLOOKUP(AD46,'Actor and Actress Success'!$A$1:$B$72,2,FALSE)</f>
        <v>#N/A</v>
      </c>
      <c r="AG46" s="35"/>
      <c r="AH46" s="17" t="s">
        <v>513</v>
      </c>
      <c r="AI46" s="17"/>
      <c r="AK46" s="45" t="e">
        <f>VLOOKUP(AH46,'Actor and Actress Success'!$A$1:$B$72,2,FALSE)</f>
        <v>#N/A</v>
      </c>
    </row>
    <row r="47" spans="1:37">
      <c r="A47">
        <v>47</v>
      </c>
      <c r="B47" s="8" t="s">
        <v>122</v>
      </c>
      <c r="C47" s="10">
        <v>1998</v>
      </c>
      <c r="D47" s="12">
        <v>35979</v>
      </c>
      <c r="E47" s="12"/>
      <c r="F47" s="10" t="s">
        <v>177</v>
      </c>
      <c r="G47" s="10" t="s">
        <v>177</v>
      </c>
      <c r="H47" s="10" t="s">
        <v>6</v>
      </c>
      <c r="I47" s="10">
        <v>85</v>
      </c>
      <c r="J47" s="22">
        <v>140</v>
      </c>
      <c r="K47" s="10">
        <v>80</v>
      </c>
      <c r="L47" s="1">
        <v>25000000</v>
      </c>
      <c r="M47" s="1">
        <v>185975000</v>
      </c>
      <c r="N47" s="1">
        <v>1038918540</v>
      </c>
      <c r="O47" s="1"/>
      <c r="P47" s="17" t="s">
        <v>421</v>
      </c>
      <c r="Q47" s="17"/>
      <c r="R47" s="17" t="s">
        <v>515</v>
      </c>
      <c r="S47" s="17"/>
      <c r="T47" t="s">
        <v>1884</v>
      </c>
      <c r="U47" s="17" t="s">
        <v>865</v>
      </c>
      <c r="V47" s="17" t="s">
        <v>514</v>
      </c>
      <c r="W47" s="45" t="e">
        <f>VLOOKUP(V47,'Actor and Actress Success'!$A$1:$B$72,2,FALSE)</f>
        <v>#N/A</v>
      </c>
      <c r="X47" s="35">
        <v>1</v>
      </c>
      <c r="Y47" s="35"/>
      <c r="Z47" s="17" t="s">
        <v>419</v>
      </c>
      <c r="AA47" s="17"/>
      <c r="AB47" s="45">
        <f>VLOOKUP(Z47,'Actor and Actress Success'!$A$1:$B$72,2,FALSE)</f>
        <v>21.212121212121211</v>
      </c>
      <c r="AC47" s="35">
        <v>1</v>
      </c>
      <c r="AD47" s="17" t="s">
        <v>453</v>
      </c>
      <c r="AE47" s="17"/>
      <c r="AF47" s="45" t="e">
        <f>VLOOKUP(AD47,'Actor and Actress Success'!$A$1:$B$72,2,FALSE)</f>
        <v>#N/A</v>
      </c>
      <c r="AG47" s="35"/>
      <c r="AH47" s="17" t="s">
        <v>479</v>
      </c>
      <c r="AI47" s="17"/>
      <c r="AJ47" s="34">
        <v>1</v>
      </c>
      <c r="AK47" s="45" t="e">
        <f>VLOOKUP(AH47,'Actor and Actress Success'!$A$1:$B$72,2,FALSE)</f>
        <v>#N/A</v>
      </c>
    </row>
    <row r="48" spans="1:37">
      <c r="A48">
        <v>48</v>
      </c>
      <c r="B48" s="8" t="s">
        <v>123</v>
      </c>
      <c r="C48" s="10">
        <v>1994</v>
      </c>
      <c r="D48" s="12">
        <v>34600</v>
      </c>
      <c r="E48" s="12"/>
      <c r="F48" s="10" t="s">
        <v>177</v>
      </c>
      <c r="G48" s="10" t="s">
        <v>177</v>
      </c>
      <c r="H48" s="10" t="s">
        <v>428</v>
      </c>
      <c r="I48" s="10">
        <v>210</v>
      </c>
      <c r="J48" s="22">
        <v>141</v>
      </c>
      <c r="K48" s="10">
        <v>87.5</v>
      </c>
      <c r="L48" s="1">
        <v>32500000</v>
      </c>
      <c r="M48" s="1">
        <v>138422500</v>
      </c>
      <c r="N48" s="1">
        <v>1027341040</v>
      </c>
      <c r="O48" s="1"/>
      <c r="P48" s="17" t="s">
        <v>517</v>
      </c>
      <c r="Q48" s="17"/>
      <c r="R48" s="17" t="s">
        <v>430</v>
      </c>
      <c r="S48" s="17"/>
      <c r="T48" s="17" t="s">
        <v>485</v>
      </c>
      <c r="U48" s="17" t="s">
        <v>485</v>
      </c>
      <c r="V48" s="38" t="s">
        <v>397</v>
      </c>
      <c r="W48" s="45">
        <f>VLOOKUP(V48,'Actor and Actress Success'!$A$1:$B$72,2,FALSE)</f>
        <v>44.117647058823529</v>
      </c>
      <c r="X48" s="35">
        <v>1</v>
      </c>
      <c r="Y48" s="35">
        <f>'Star Economic history'!E6</f>
        <v>14525000</v>
      </c>
      <c r="Z48" s="38" t="s">
        <v>393</v>
      </c>
      <c r="AA48" s="38"/>
      <c r="AB48" s="45">
        <f>VLOOKUP(Z48,'Actor and Actress Success'!$A$1:$B$72,2,FALSE)</f>
        <v>27.450980392156865</v>
      </c>
      <c r="AC48" s="35">
        <v>1</v>
      </c>
      <c r="AD48" s="17" t="s">
        <v>518</v>
      </c>
      <c r="AE48" s="17"/>
      <c r="AF48" s="45">
        <f>VLOOKUP(AD48,'Actor and Actress Success'!$A$1:$B$72,2,FALSE)</f>
        <v>21.212121212121211</v>
      </c>
      <c r="AG48" s="35">
        <v>1</v>
      </c>
      <c r="AH48" s="17" t="s">
        <v>519</v>
      </c>
      <c r="AI48" s="17"/>
      <c r="AJ48" s="34">
        <v>1</v>
      </c>
      <c r="AK48" t="e">
        <f>VLOOKUP(AH48,'Actor and Actress Success'!$A$1:$B$72,2,FALSE)</f>
        <v>#N/A</v>
      </c>
    </row>
    <row r="49" spans="1:37">
      <c r="A49">
        <v>49</v>
      </c>
      <c r="B49" s="8" t="s">
        <v>124</v>
      </c>
      <c r="C49" s="10">
        <v>1998</v>
      </c>
      <c r="D49" s="12">
        <v>35965</v>
      </c>
      <c r="E49" s="12"/>
      <c r="F49" s="10" t="s">
        <v>177</v>
      </c>
      <c r="G49" s="10" t="s">
        <v>177</v>
      </c>
      <c r="H49" s="10" t="s">
        <v>6</v>
      </c>
      <c r="I49" s="10">
        <v>185</v>
      </c>
      <c r="J49" s="22">
        <v>142</v>
      </c>
      <c r="K49" s="10">
        <v>50.67</v>
      </c>
      <c r="L49" s="1">
        <v>72500000</v>
      </c>
      <c r="M49" s="1">
        <v>242075000</v>
      </c>
      <c r="N49" s="1">
        <v>1015485680</v>
      </c>
      <c r="O49" s="1"/>
      <c r="P49" s="17" t="s">
        <v>520</v>
      </c>
      <c r="Q49" s="17"/>
      <c r="R49" s="17" t="s">
        <v>63</v>
      </c>
      <c r="S49" s="17"/>
      <c r="T49" s="17" t="s">
        <v>505</v>
      </c>
      <c r="U49" s="17" t="s">
        <v>505</v>
      </c>
      <c r="V49" s="17" t="s">
        <v>73</v>
      </c>
      <c r="W49" s="45">
        <f>VLOOKUP(V49,'Actor and Actress Success'!$A$1:$B$72,2,FALSE)</f>
        <v>65.384615384615387</v>
      </c>
      <c r="X49" s="35">
        <v>1</v>
      </c>
      <c r="Y49" s="35"/>
      <c r="Z49" s="17" t="s">
        <v>383</v>
      </c>
      <c r="AA49" s="17"/>
      <c r="AB49" s="45">
        <f>VLOOKUP(Z49,'Actor and Actress Success'!$A$1:$B$72,2,FALSE)</f>
        <v>47.5</v>
      </c>
      <c r="AC49" s="35">
        <v>1</v>
      </c>
      <c r="AD49" s="17" t="s">
        <v>521</v>
      </c>
      <c r="AE49" s="17"/>
      <c r="AF49" s="45" t="e">
        <f>VLOOKUP(AD49,'Actor and Actress Success'!$A$1:$B$72,2,FALSE)</f>
        <v>#N/A</v>
      </c>
      <c r="AG49" s="35"/>
      <c r="AH49" s="17" t="s">
        <v>522</v>
      </c>
      <c r="AI49" s="17"/>
      <c r="AK49" s="45" t="e">
        <f>VLOOKUP(AH49,'Actor and Actress Success'!$A$1:$B$72,2,FALSE)</f>
        <v>#N/A</v>
      </c>
    </row>
    <row r="50" spans="1:37">
      <c r="A50">
        <v>50</v>
      </c>
      <c r="B50" s="8" t="s">
        <v>125</v>
      </c>
      <c r="C50" s="10">
        <v>1998</v>
      </c>
      <c r="D50" s="12">
        <v>36070</v>
      </c>
      <c r="E50" s="12"/>
      <c r="F50" s="10" t="s">
        <v>177</v>
      </c>
      <c r="G50" s="10" t="s">
        <v>177</v>
      </c>
      <c r="H50" s="10" t="s">
        <v>6</v>
      </c>
      <c r="I50" s="10">
        <v>200</v>
      </c>
      <c r="J50" s="22">
        <v>144</v>
      </c>
      <c r="K50" s="10">
        <v>58</v>
      </c>
      <c r="L50" s="1">
        <v>57500000</v>
      </c>
      <c r="M50" s="1">
        <v>214593750</v>
      </c>
      <c r="N50" s="1">
        <v>996961680</v>
      </c>
      <c r="O50" s="1"/>
      <c r="P50" s="17" t="s">
        <v>523</v>
      </c>
      <c r="Q50" s="17"/>
      <c r="R50" t="s">
        <v>525</v>
      </c>
      <c r="V50" s="17" t="s">
        <v>78</v>
      </c>
      <c r="W50" s="45">
        <f>VLOOKUP(V50,'Actor and Actress Success'!$A$1:$B$72,2,FALSE)</f>
        <v>15.238095238095239</v>
      </c>
      <c r="X50" s="35"/>
      <c r="Y50" s="35"/>
      <c r="Z50" s="17" t="s">
        <v>16</v>
      </c>
      <c r="AA50" s="17">
        <f>AA45+180650000+117100000</f>
        <v>372781250</v>
      </c>
      <c r="AB50" s="45">
        <f>VLOOKUP(Z50,'Actor and Actress Success'!$A$1:$B$72,2,FALSE)</f>
        <v>50.819672131147541</v>
      </c>
      <c r="AC50" s="35">
        <v>1</v>
      </c>
      <c r="AD50" s="17" t="s">
        <v>502</v>
      </c>
      <c r="AE50" s="17"/>
      <c r="AF50" s="45" t="e">
        <f>VLOOKUP(AD50,'Actor and Actress Success'!$A$1:$B$72,2,FALSE)</f>
        <v>#N/A</v>
      </c>
      <c r="AG50" s="35">
        <v>1</v>
      </c>
      <c r="AH50" s="17" t="s">
        <v>524</v>
      </c>
      <c r="AI50" s="17"/>
      <c r="AK50" s="45" t="e">
        <f>VLOOKUP(AH50,'Actor and Actress Success'!$A$1:$B$72,2,FALSE)</f>
        <v>#N/A</v>
      </c>
    </row>
    <row r="51" spans="1:37">
      <c r="A51">
        <v>51</v>
      </c>
      <c r="B51" s="8" t="s">
        <v>126</v>
      </c>
      <c r="C51" s="10">
        <v>1997</v>
      </c>
      <c r="D51" s="12">
        <v>35580</v>
      </c>
      <c r="E51" s="12"/>
      <c r="F51" s="10" t="s">
        <v>177</v>
      </c>
      <c r="G51" s="10" t="s">
        <v>177</v>
      </c>
      <c r="H51" s="10" t="s">
        <v>6</v>
      </c>
      <c r="I51" s="10">
        <v>175</v>
      </c>
      <c r="J51" s="22">
        <v>147</v>
      </c>
      <c r="K51" s="10">
        <v>76.67</v>
      </c>
      <c r="L51" s="1">
        <v>45000000</v>
      </c>
      <c r="M51" s="1">
        <v>203712500</v>
      </c>
      <c r="N51" s="1">
        <v>976122180</v>
      </c>
      <c r="O51" s="1"/>
      <c r="P51" t="s">
        <v>526</v>
      </c>
      <c r="R51" t="s">
        <v>430</v>
      </c>
      <c r="T51" t="s">
        <v>527</v>
      </c>
      <c r="U51" s="17" t="s">
        <v>440</v>
      </c>
      <c r="V51" t="s">
        <v>442</v>
      </c>
      <c r="W51" s="45">
        <f>VLOOKUP(V51,'Actor and Actress Success'!$A$1:$B$72,2,FALSE)</f>
        <v>34.042553191489361</v>
      </c>
      <c r="X51" s="34">
        <v>1</v>
      </c>
      <c r="Y51" s="34">
        <f>'Star Economic history'!H5</f>
        <v>52525000</v>
      </c>
      <c r="Z51" t="s">
        <v>394</v>
      </c>
      <c r="AB51" s="45" t="e">
        <f>VLOOKUP(Z51,'Actor and Actress Success'!$A$1:$B$72,2,FALSE)</f>
        <v>#N/A</v>
      </c>
      <c r="AC51" s="34">
        <v>1</v>
      </c>
      <c r="AD51" t="s">
        <v>512</v>
      </c>
      <c r="AF51" s="45" t="e">
        <f>VLOOKUP(AD51,'Actor and Actress Success'!$A$1:$B$72,2,FALSE)</f>
        <v>#N/A</v>
      </c>
      <c r="AG51" s="34">
        <v>1</v>
      </c>
      <c r="AH51" t="s">
        <v>60</v>
      </c>
      <c r="AK51" s="45" t="e">
        <f>VLOOKUP(AH51,'Actor and Actress Success'!$A$1:$B$72,2,FALSE)</f>
        <v>#N/A</v>
      </c>
    </row>
    <row r="52" spans="1:37">
      <c r="A52">
        <v>52</v>
      </c>
      <c r="B52" s="8" t="s">
        <v>127</v>
      </c>
      <c r="C52" s="10">
        <v>1995</v>
      </c>
      <c r="D52" s="12">
        <v>35034</v>
      </c>
      <c r="E52" s="12"/>
      <c r="F52" s="10" t="s">
        <v>177</v>
      </c>
      <c r="G52" s="10" t="s">
        <v>177</v>
      </c>
      <c r="H52" s="10" t="s">
        <v>50</v>
      </c>
      <c r="I52" s="10">
        <v>175</v>
      </c>
      <c r="J52" s="22">
        <v>151</v>
      </c>
      <c r="K52" s="10">
        <v>40.51</v>
      </c>
      <c r="L52" s="1">
        <v>37500000</v>
      </c>
      <c r="M52" s="1">
        <v>151950000</v>
      </c>
      <c r="N52" s="1">
        <v>939815140</v>
      </c>
      <c r="O52" s="1"/>
      <c r="P52" t="s">
        <v>528</v>
      </c>
      <c r="R52" t="s">
        <v>430</v>
      </c>
      <c r="T52" t="s">
        <v>529</v>
      </c>
      <c r="U52" s="17" t="s">
        <v>866</v>
      </c>
      <c r="V52" s="37" t="s">
        <v>58</v>
      </c>
      <c r="W52" s="45">
        <f>VLOOKUP(V52,'Actor and Actress Success'!$A$1:$B$72,2,FALSE)</f>
        <v>66.666666666666657</v>
      </c>
      <c r="X52" s="34">
        <v>1</v>
      </c>
      <c r="Z52" s="37" t="s">
        <v>410</v>
      </c>
      <c r="AA52" s="37"/>
      <c r="AB52" s="45">
        <f>VLOOKUP(Z52,'Actor and Actress Success'!$A$1:$B$72,2,FALSE)</f>
        <v>27.659574468085108</v>
      </c>
      <c r="AC52" s="34">
        <v>1</v>
      </c>
      <c r="AD52" t="s">
        <v>513</v>
      </c>
      <c r="AF52" s="45" t="e">
        <f>VLOOKUP(AD52,'Actor and Actress Success'!$A$1:$B$72,2,FALSE)</f>
        <v>#N/A</v>
      </c>
      <c r="AH52" t="s">
        <v>530</v>
      </c>
      <c r="AK52" s="45" t="e">
        <f>VLOOKUP(AH52,'Actor and Actress Success'!$A$1:$B$72,2,FALSE)</f>
        <v>#N/A</v>
      </c>
    </row>
    <row r="53" spans="1:37">
      <c r="A53">
        <v>53</v>
      </c>
      <c r="B53" s="8" t="s">
        <v>128</v>
      </c>
      <c r="C53" s="10">
        <v>1994</v>
      </c>
      <c r="D53" s="12">
        <v>34551</v>
      </c>
      <c r="E53" s="12"/>
      <c r="F53" s="10" t="s">
        <v>177</v>
      </c>
      <c r="G53" s="10" t="s">
        <v>177</v>
      </c>
      <c r="H53" s="10" t="s">
        <v>50</v>
      </c>
      <c r="I53" s="10">
        <v>205</v>
      </c>
      <c r="J53" s="22">
        <v>153</v>
      </c>
      <c r="K53" s="10">
        <v>0</v>
      </c>
      <c r="L53" s="1">
        <v>27500000</v>
      </c>
      <c r="M53" s="1">
        <v>115360000</v>
      </c>
      <c r="N53" s="1">
        <v>936943920</v>
      </c>
      <c r="O53" s="1"/>
      <c r="P53" t="s">
        <v>531</v>
      </c>
      <c r="R53" t="s">
        <v>430</v>
      </c>
      <c r="T53" t="s">
        <v>532</v>
      </c>
      <c r="U53" s="17" t="s">
        <v>867</v>
      </c>
      <c r="V53" s="37" t="s">
        <v>429</v>
      </c>
      <c r="W53" s="45">
        <f>VLOOKUP(V53,'Actor and Actress Success'!$A$1:$B$72,2,FALSE)</f>
        <v>39.285714285714285</v>
      </c>
      <c r="X53" s="34">
        <v>1</v>
      </c>
      <c r="Y53" s="34">
        <f>'Star Economic history'!E4</f>
        <v>21180000</v>
      </c>
      <c r="Z53" s="37" t="s">
        <v>394</v>
      </c>
      <c r="AA53" s="37"/>
      <c r="AB53" s="45" t="e">
        <f>VLOOKUP(Z53,'Actor and Actress Success'!$A$1:$B$72,2,FALSE)</f>
        <v>#N/A</v>
      </c>
      <c r="AC53" s="34">
        <v>1</v>
      </c>
      <c r="AD53" t="s">
        <v>70</v>
      </c>
      <c r="AF53" s="45" t="e">
        <f>VLOOKUP(AD53,'Actor and Actress Success'!$A$1:$B$72,2,FALSE)</f>
        <v>#N/A</v>
      </c>
      <c r="AG53" s="34">
        <v>0</v>
      </c>
      <c r="AH53" t="s">
        <v>420</v>
      </c>
      <c r="AJ53" s="34">
        <v>0</v>
      </c>
      <c r="AK53" t="e">
        <f>VLOOKUP(AH53,'Actor and Actress Success'!$A$1:$B$72,2,FALSE)</f>
        <v>#N/A</v>
      </c>
    </row>
    <row r="54" spans="1:37">
      <c r="A54">
        <v>54</v>
      </c>
      <c r="B54" s="8" t="s">
        <v>129</v>
      </c>
      <c r="C54" s="10">
        <v>1997</v>
      </c>
      <c r="D54" s="12">
        <v>35629</v>
      </c>
      <c r="E54" s="12"/>
      <c r="F54" s="10" t="s">
        <v>177</v>
      </c>
      <c r="G54" s="10" t="s">
        <v>177</v>
      </c>
      <c r="H54" s="10" t="s">
        <v>6</v>
      </c>
      <c r="I54" s="10">
        <v>180</v>
      </c>
      <c r="J54" s="22">
        <v>155</v>
      </c>
      <c r="K54" s="10">
        <v>54.35</v>
      </c>
      <c r="L54" s="1">
        <v>50000000</v>
      </c>
      <c r="M54" s="1">
        <v>229656250</v>
      </c>
      <c r="N54" s="1">
        <v>923514020</v>
      </c>
      <c r="O54" s="1"/>
      <c r="P54" t="s">
        <v>533</v>
      </c>
      <c r="R54" t="s">
        <v>63</v>
      </c>
      <c r="T54" t="s">
        <v>1883</v>
      </c>
      <c r="U54" s="17" t="s">
        <v>533</v>
      </c>
      <c r="V54" t="s">
        <v>534</v>
      </c>
      <c r="W54" s="45" t="e">
        <f>VLOOKUP(V54,'Actor and Actress Success'!$A$1:$B$72,2,FALSE)</f>
        <v>#N/A</v>
      </c>
      <c r="Z54" s="37" t="s">
        <v>58</v>
      </c>
      <c r="AA54" s="37"/>
      <c r="AB54" s="45">
        <f>VLOOKUP(Z54,'Actor and Actress Success'!$A$1:$B$72,2,FALSE)</f>
        <v>66.666666666666657</v>
      </c>
      <c r="AC54" s="34">
        <v>1</v>
      </c>
      <c r="AD54" s="37" t="s">
        <v>410</v>
      </c>
      <c r="AE54" s="37"/>
      <c r="AF54" s="45">
        <f>VLOOKUP(AD54,'Actor and Actress Success'!$A$1:$B$72,2,FALSE)</f>
        <v>27.659574468085108</v>
      </c>
      <c r="AG54" s="34">
        <v>1</v>
      </c>
      <c r="AH54" t="s">
        <v>420</v>
      </c>
      <c r="AK54" s="45" t="e">
        <f>VLOOKUP(AH54,'Actor and Actress Success'!$A$1:$B$72,2,FALSE)</f>
        <v>#N/A</v>
      </c>
    </row>
    <row r="55" spans="1:37">
      <c r="A55">
        <v>55</v>
      </c>
      <c r="B55" s="8" t="s">
        <v>130</v>
      </c>
      <c r="C55" s="10">
        <v>1994</v>
      </c>
      <c r="D55" s="12">
        <v>34642</v>
      </c>
      <c r="E55" s="12"/>
      <c r="F55" s="10" t="s">
        <v>177</v>
      </c>
      <c r="G55" s="10" t="s">
        <v>177</v>
      </c>
      <c r="H55" s="10" t="s">
        <v>428</v>
      </c>
      <c r="I55" s="10">
        <v>200</v>
      </c>
      <c r="J55" s="22">
        <v>157</v>
      </c>
      <c r="K55" s="10">
        <v>61.67</v>
      </c>
      <c r="L55" s="1">
        <v>30000000</v>
      </c>
      <c r="M55" s="1">
        <v>121447500</v>
      </c>
      <c r="N55" s="1">
        <v>901285220</v>
      </c>
      <c r="O55" s="1"/>
      <c r="P55" t="s">
        <v>535</v>
      </c>
      <c r="R55" t="s">
        <v>427</v>
      </c>
      <c r="S55">
        <f>71575000+29650000+15750000+49850000+17550000+24475000+39275000+93525000+39300000</f>
        <v>380950000</v>
      </c>
      <c r="T55" t="s">
        <v>536</v>
      </c>
      <c r="U55" s="17" t="s">
        <v>868</v>
      </c>
      <c r="V55" s="38" t="s">
        <v>429</v>
      </c>
      <c r="W55" s="45">
        <f>VLOOKUP(V55,'Actor and Actress Success'!$A$1:$B$72,2,FALSE)</f>
        <v>39.285714285714285</v>
      </c>
      <c r="X55" s="34">
        <v>1</v>
      </c>
      <c r="Y55" s="34">
        <f>'Star Economic history'!E4</f>
        <v>21180000</v>
      </c>
      <c r="Z55" s="38" t="s">
        <v>397</v>
      </c>
      <c r="AA55" s="38">
        <f>'Star Economic history'!E6</f>
        <v>14525000</v>
      </c>
      <c r="AB55" s="45">
        <f>VLOOKUP(Z55,'Actor and Actress Success'!$A$1:$B$72,2,FALSE)</f>
        <v>44.117647058823529</v>
      </c>
      <c r="AC55" s="34">
        <v>1</v>
      </c>
      <c r="AD55" s="38" t="s">
        <v>69</v>
      </c>
      <c r="AE55" s="38"/>
      <c r="AF55" s="45">
        <f>VLOOKUP(AD55,'Actor and Actress Success'!$A$1:$B$72,2,FALSE)</f>
        <v>46.808510638297875</v>
      </c>
      <c r="AG55" s="34">
        <v>1</v>
      </c>
      <c r="AH55" s="38" t="s">
        <v>537</v>
      </c>
      <c r="AI55" s="38"/>
      <c r="AJ55" s="34">
        <v>1</v>
      </c>
      <c r="AK55" t="e">
        <f>VLOOKUP(AH55,'Actor and Actress Success'!$A$1:$B$72,2,FALSE)</f>
        <v>#N/A</v>
      </c>
    </row>
    <row r="56" spans="1:37">
      <c r="A56">
        <v>56</v>
      </c>
      <c r="B56" s="8" t="s">
        <v>131</v>
      </c>
      <c r="C56" s="10">
        <v>1999</v>
      </c>
      <c r="D56" s="12">
        <v>36210</v>
      </c>
      <c r="E56" s="12"/>
      <c r="F56" s="10" t="s">
        <v>177</v>
      </c>
      <c r="G56" s="10" t="s">
        <v>177</v>
      </c>
      <c r="H56" s="10" t="s">
        <v>50</v>
      </c>
      <c r="I56" s="10">
        <v>210</v>
      </c>
      <c r="J56" s="22">
        <v>158</v>
      </c>
      <c r="K56" s="10">
        <v>75</v>
      </c>
      <c r="L56" s="1">
        <v>67500000</v>
      </c>
      <c r="M56" s="1">
        <v>202850000</v>
      </c>
      <c r="N56" s="1">
        <v>886743880</v>
      </c>
      <c r="O56" s="1"/>
      <c r="P56" t="s">
        <v>454</v>
      </c>
      <c r="R56" t="s">
        <v>387</v>
      </c>
      <c r="T56" t="s">
        <v>1882</v>
      </c>
      <c r="U56" s="17" t="s">
        <v>454</v>
      </c>
      <c r="V56" t="s">
        <v>511</v>
      </c>
      <c r="W56" s="45">
        <f>VLOOKUP(V56,'Actor and Actress Success'!$A$1:$B$72,2,FALSE)</f>
        <v>27.397260273972602</v>
      </c>
      <c r="X56" s="34">
        <v>1</v>
      </c>
      <c r="Z56" t="s">
        <v>538</v>
      </c>
      <c r="AB56" s="45" t="e">
        <f>VLOOKUP(Z56,'Actor and Actress Success'!$A$1:$B$72,2,FALSE)</f>
        <v>#N/A</v>
      </c>
      <c r="AC56" s="34">
        <v>1</v>
      </c>
      <c r="AD56" t="s">
        <v>432</v>
      </c>
      <c r="AF56" s="45" t="e">
        <f>VLOOKUP(AD56,'Actor and Actress Success'!$A$1:$B$72,2,FALSE)</f>
        <v>#N/A</v>
      </c>
      <c r="AG56" s="34">
        <v>1</v>
      </c>
      <c r="AH56" t="s">
        <v>437</v>
      </c>
      <c r="AK56" s="45" t="e">
        <f>VLOOKUP(AH56,'Actor and Actress Success'!$A$1:$B$72,2,FALSE)</f>
        <v>#N/A</v>
      </c>
    </row>
    <row r="57" spans="1:37">
      <c r="A57">
        <v>57</v>
      </c>
      <c r="B57" s="8" t="s">
        <v>132</v>
      </c>
      <c r="C57" s="10">
        <v>1994</v>
      </c>
      <c r="D57" s="12">
        <v>34355</v>
      </c>
      <c r="E57" s="12"/>
      <c r="F57" s="10" t="s">
        <v>177</v>
      </c>
      <c r="G57" s="10" t="s">
        <v>177</v>
      </c>
      <c r="H57" s="10" t="s">
        <v>50</v>
      </c>
      <c r="I57" s="10">
        <v>140</v>
      </c>
      <c r="J57" s="22">
        <v>159</v>
      </c>
      <c r="K57" s="10">
        <v>100</v>
      </c>
      <c r="L57" s="1">
        <v>18500000</v>
      </c>
      <c r="M57" s="1">
        <v>86637500</v>
      </c>
      <c r="N57" s="1">
        <v>845342740</v>
      </c>
      <c r="O57" s="1"/>
      <c r="P57" t="s">
        <v>539</v>
      </c>
      <c r="R57" t="s">
        <v>540</v>
      </c>
      <c r="T57" t="s">
        <v>541</v>
      </c>
      <c r="U57" s="17" t="s">
        <v>541</v>
      </c>
      <c r="V57" t="s">
        <v>397</v>
      </c>
      <c r="W57" s="45">
        <f>VLOOKUP(V57,'Actor and Actress Success'!$A$1:$B$72,2,FALSE)</f>
        <v>44.117647058823529</v>
      </c>
      <c r="X57" s="34">
        <v>1</v>
      </c>
      <c r="Y57" s="34">
        <f>'Star Economic history'!E6</f>
        <v>14525000</v>
      </c>
      <c r="Z57" t="s">
        <v>60</v>
      </c>
      <c r="AB57" s="45" t="e">
        <f>VLOOKUP(Z57,'Actor and Actress Success'!$A$1:$B$72,2,FALSE)</f>
        <v>#N/A</v>
      </c>
      <c r="AD57" t="s">
        <v>542</v>
      </c>
      <c r="AF57" s="45" t="e">
        <f>VLOOKUP(AD57,'Actor and Actress Success'!$A$1:$B$72,2,FALSE)</f>
        <v>#N/A</v>
      </c>
      <c r="AG57" s="34">
        <v>1</v>
      </c>
      <c r="AH57" t="s">
        <v>384</v>
      </c>
      <c r="AK57" t="e">
        <f>VLOOKUP(AH57,'Actor and Actress Success'!$A$1:$B$72,2,FALSE)</f>
        <v>#N/A</v>
      </c>
    </row>
    <row r="58" spans="1:37">
      <c r="A58">
        <v>58</v>
      </c>
      <c r="B58" s="8" t="s">
        <v>133</v>
      </c>
      <c r="C58" s="10">
        <v>1994</v>
      </c>
      <c r="D58" s="12">
        <v>34460</v>
      </c>
      <c r="E58" s="12"/>
      <c r="F58" s="10" t="s">
        <v>177</v>
      </c>
      <c r="G58" s="10" t="s">
        <v>177</v>
      </c>
      <c r="H58" s="10" t="s">
        <v>56</v>
      </c>
      <c r="I58" s="10">
        <v>130</v>
      </c>
      <c r="J58" s="22">
        <v>163</v>
      </c>
      <c r="K58" s="10">
        <v>100</v>
      </c>
      <c r="L58" s="1">
        <v>20000000</v>
      </c>
      <c r="M58" s="1">
        <v>107718750</v>
      </c>
      <c r="N58" s="1">
        <v>801070380</v>
      </c>
      <c r="O58" s="1"/>
      <c r="P58" t="s">
        <v>543</v>
      </c>
      <c r="R58" t="s">
        <v>446</v>
      </c>
      <c r="T58" t="s">
        <v>485</v>
      </c>
      <c r="U58" s="17" t="s">
        <v>386</v>
      </c>
      <c r="V58" t="s">
        <v>397</v>
      </c>
      <c r="W58" s="45">
        <f>VLOOKUP(V58,'Actor and Actress Success'!$A$1:$B$72,2,FALSE)</f>
        <v>44.117647058823529</v>
      </c>
      <c r="X58" s="34">
        <v>1</v>
      </c>
      <c r="Y58" s="34">
        <f>'Star Economic history'!E6</f>
        <v>14525000</v>
      </c>
      <c r="Z58" t="s">
        <v>59</v>
      </c>
      <c r="AB58" s="45">
        <f>VLOOKUP(Z58,'Actor and Actress Success'!$A$1:$B$72,2,FALSE)</f>
        <v>46.428571428571431</v>
      </c>
      <c r="AC58" s="34">
        <v>1</v>
      </c>
      <c r="AD58" t="s">
        <v>393</v>
      </c>
      <c r="AF58" s="45">
        <f>VLOOKUP(AD58,'Actor and Actress Success'!$A$1:$B$72,2,FALSE)</f>
        <v>27.450980392156865</v>
      </c>
      <c r="AG58" s="34">
        <v>1</v>
      </c>
      <c r="AH58" t="s">
        <v>544</v>
      </c>
      <c r="AK58" t="e">
        <f>VLOOKUP(AH58,'Actor and Actress Success'!$A$1:$B$72,2,FALSE)</f>
        <v>#N/A</v>
      </c>
    </row>
    <row r="59" spans="1:37">
      <c r="A59">
        <v>59</v>
      </c>
      <c r="B59" s="8" t="s">
        <v>134</v>
      </c>
      <c r="C59" s="10">
        <v>1997</v>
      </c>
      <c r="D59" s="12">
        <v>35783</v>
      </c>
      <c r="E59" s="12"/>
      <c r="F59" s="10" t="s">
        <v>177</v>
      </c>
      <c r="G59" s="10" t="s">
        <v>177</v>
      </c>
      <c r="H59" s="10" t="s">
        <v>439</v>
      </c>
      <c r="I59" s="10">
        <v>100</v>
      </c>
      <c r="J59" s="22">
        <v>166</v>
      </c>
      <c r="K59" s="10">
        <v>63.33</v>
      </c>
      <c r="L59" s="1">
        <v>45000000</v>
      </c>
      <c r="M59" s="1">
        <v>200706250</v>
      </c>
      <c r="N59" s="1">
        <v>762818320</v>
      </c>
      <c r="O59" s="1"/>
      <c r="P59" t="s">
        <v>440</v>
      </c>
      <c r="R59" t="s">
        <v>515</v>
      </c>
      <c r="T59" t="s">
        <v>440</v>
      </c>
      <c r="U59" s="17" t="s">
        <v>545</v>
      </c>
      <c r="V59" t="s">
        <v>545</v>
      </c>
      <c r="W59" s="45" t="e">
        <f>VLOOKUP(V59,'Actor and Actress Success'!$A$1:$B$72,2,FALSE)</f>
        <v>#N/A</v>
      </c>
      <c r="X59" s="34">
        <v>1</v>
      </c>
      <c r="Z59" t="s">
        <v>60</v>
      </c>
      <c r="AB59" s="45" t="e">
        <f>VLOOKUP(Z59,'Actor and Actress Success'!$A$1:$B$72,2,FALSE)</f>
        <v>#N/A</v>
      </c>
      <c r="AD59" t="s">
        <v>546</v>
      </c>
      <c r="AF59" s="45" t="e">
        <f>VLOOKUP(AD59,'Actor and Actress Success'!$A$1:$B$72,2,FALSE)</f>
        <v>#N/A</v>
      </c>
      <c r="AH59" t="s">
        <v>394</v>
      </c>
      <c r="AJ59" s="34">
        <v>1</v>
      </c>
      <c r="AK59" s="45" t="e">
        <f>VLOOKUP(AH59,'Actor and Actress Success'!$A$1:$B$72,2,FALSE)</f>
        <v>#N/A</v>
      </c>
    </row>
    <row r="60" spans="1:37">
      <c r="A60">
        <v>60</v>
      </c>
      <c r="B60" s="8" t="s">
        <v>135</v>
      </c>
      <c r="C60" s="10">
        <v>1996</v>
      </c>
      <c r="D60" s="12">
        <v>35405</v>
      </c>
      <c r="E60" s="12"/>
      <c r="F60" s="10" t="s">
        <v>177</v>
      </c>
      <c r="G60" s="10" t="s">
        <v>177</v>
      </c>
      <c r="H60" s="10" t="s">
        <v>547</v>
      </c>
      <c r="I60" s="10">
        <v>105</v>
      </c>
      <c r="J60" s="22">
        <v>180</v>
      </c>
      <c r="K60" s="10">
        <v>75</v>
      </c>
      <c r="L60" s="1">
        <v>30000000</v>
      </c>
      <c r="M60" s="1">
        <v>131720000</v>
      </c>
      <c r="N60" s="1">
        <v>640189440</v>
      </c>
      <c r="O60" s="1"/>
      <c r="P60" t="s">
        <v>548</v>
      </c>
      <c r="R60" t="s">
        <v>496</v>
      </c>
      <c r="S60">
        <f>120125000+52200000</f>
        <v>172325000</v>
      </c>
      <c r="T60" t="s">
        <v>549</v>
      </c>
      <c r="U60" s="17" t="s">
        <v>869</v>
      </c>
      <c r="V60" t="s">
        <v>538</v>
      </c>
      <c r="W60" s="45" t="e">
        <f>VLOOKUP(V60,'Actor and Actress Success'!$A$1:$B$72,2,FALSE)</f>
        <v>#N/A</v>
      </c>
      <c r="X60" s="34">
        <v>1</v>
      </c>
      <c r="Z60" t="s">
        <v>550</v>
      </c>
      <c r="AB60" s="45" t="e">
        <f>VLOOKUP(Z60,'Actor and Actress Success'!$A$1:$B$72,2,FALSE)</f>
        <v>#N/A</v>
      </c>
      <c r="AC60" s="34">
        <v>1</v>
      </c>
      <c r="AD60" t="s">
        <v>551</v>
      </c>
      <c r="AF60" s="45" t="e">
        <f>VLOOKUP(AD60,'Actor and Actress Success'!$A$1:$B$72,2,FALSE)</f>
        <v>#N/A</v>
      </c>
      <c r="AG60" s="34">
        <v>1</v>
      </c>
      <c r="AH60" t="s">
        <v>552</v>
      </c>
      <c r="AJ60" s="34">
        <v>1</v>
      </c>
      <c r="AK60" s="45" t="e">
        <f>VLOOKUP(AH60,'Actor and Actress Success'!$A$1:$B$72,2,FALSE)</f>
        <v>#N/A</v>
      </c>
    </row>
    <row r="61" spans="1:37">
      <c r="A61">
        <v>61</v>
      </c>
      <c r="B61" s="8" t="s">
        <v>136</v>
      </c>
      <c r="C61" s="10">
        <v>1995</v>
      </c>
      <c r="D61" s="12">
        <v>34873</v>
      </c>
      <c r="E61" s="12"/>
      <c r="F61" s="10" t="s">
        <v>177</v>
      </c>
      <c r="G61" s="10" t="s">
        <v>177</v>
      </c>
      <c r="H61" s="10" t="s">
        <v>50</v>
      </c>
      <c r="I61" s="10">
        <v>150</v>
      </c>
      <c r="J61" s="22">
        <v>182</v>
      </c>
      <c r="K61" s="10">
        <v>100</v>
      </c>
      <c r="L61" s="1">
        <v>25000000</v>
      </c>
      <c r="M61" s="1">
        <v>88172500</v>
      </c>
      <c r="N61" s="1">
        <v>630927440</v>
      </c>
      <c r="O61" s="1"/>
      <c r="P61" t="s">
        <v>553</v>
      </c>
      <c r="R61" t="s">
        <v>496</v>
      </c>
      <c r="S61">
        <f>120125000</f>
        <v>120125000</v>
      </c>
      <c r="T61" t="s">
        <v>554</v>
      </c>
      <c r="U61" s="17" t="s">
        <v>870</v>
      </c>
      <c r="V61" t="s">
        <v>555</v>
      </c>
      <c r="W61" s="45">
        <f>VLOOKUP(V61,'Actor and Actress Success'!$A$1:$B$72,2,FALSE)</f>
        <v>11.607142857142858</v>
      </c>
      <c r="X61" s="34">
        <v>1</v>
      </c>
      <c r="Y61" s="34">
        <f>'Star Economic history'!F9</f>
        <v>25175000</v>
      </c>
      <c r="Z61" t="s">
        <v>542</v>
      </c>
      <c r="AB61" s="45" t="e">
        <f>VLOOKUP(Z61,'Actor and Actress Success'!$A$1:$B$72,2,FALSE)</f>
        <v>#N/A</v>
      </c>
      <c r="AC61" s="34">
        <v>1</v>
      </c>
      <c r="AD61" t="s">
        <v>534</v>
      </c>
      <c r="AF61" s="45" t="e">
        <f>VLOOKUP(AD61,'Actor and Actress Success'!$A$1:$B$72,2,FALSE)</f>
        <v>#N/A</v>
      </c>
      <c r="AH61" t="s">
        <v>471</v>
      </c>
      <c r="AK61" s="45" t="e">
        <f>VLOOKUP(AH61,'Actor and Actress Success'!$A$1:$B$72,2,FALSE)</f>
        <v>#N/A</v>
      </c>
    </row>
    <row r="62" spans="1:37">
      <c r="A62">
        <v>62</v>
      </c>
      <c r="B62" s="8" t="s">
        <v>137</v>
      </c>
      <c r="C62" s="10">
        <v>1996</v>
      </c>
      <c r="D62" s="12">
        <v>35209</v>
      </c>
      <c r="E62" s="12"/>
      <c r="F62" s="10" t="s">
        <v>177</v>
      </c>
      <c r="G62" s="10" t="s">
        <v>177</v>
      </c>
      <c r="H62" s="10" t="s">
        <v>6</v>
      </c>
      <c r="I62" s="10">
        <v>115</v>
      </c>
      <c r="J62" s="22">
        <v>195</v>
      </c>
      <c r="K62" s="10">
        <v>0</v>
      </c>
      <c r="L62" s="1">
        <v>17500000</v>
      </c>
      <c r="M62" s="1">
        <v>89420000</v>
      </c>
      <c r="N62" s="1">
        <v>530342120</v>
      </c>
      <c r="O62" s="1"/>
      <c r="P62" t="s">
        <v>556</v>
      </c>
      <c r="R62" t="s">
        <v>557</v>
      </c>
      <c r="T62" t="s">
        <v>558</v>
      </c>
      <c r="U62" s="17" t="s">
        <v>556</v>
      </c>
      <c r="V62" t="s">
        <v>460</v>
      </c>
      <c r="W62" s="45" t="e">
        <f>VLOOKUP(V62,'Actor and Actress Success'!$A$1:$B$72,2,FALSE)</f>
        <v>#N/A</v>
      </c>
      <c r="X62" s="34">
        <v>1</v>
      </c>
      <c r="Z62" t="s">
        <v>559</v>
      </c>
      <c r="AB62" s="45" t="e">
        <f>VLOOKUP(Z62,'Actor and Actress Success'!$A$1:$B$72,2,FALSE)</f>
        <v>#N/A</v>
      </c>
      <c r="AC62" s="34">
        <v>1</v>
      </c>
      <c r="AD62" t="s">
        <v>560</v>
      </c>
      <c r="AF62" s="45" t="e">
        <f>VLOOKUP(AD62,'Actor and Actress Success'!$A$1:$B$72,2,FALSE)</f>
        <v>#N/A</v>
      </c>
      <c r="AH62" t="s">
        <v>561</v>
      </c>
      <c r="AK62" s="45" t="e">
        <f>VLOOKUP(AH62,'Actor and Actress Success'!$A$1:$B$72,2,FALSE)</f>
        <v>#N/A</v>
      </c>
    </row>
    <row r="63" spans="1:37">
      <c r="A63">
        <v>63</v>
      </c>
      <c r="B63" s="8" t="s">
        <v>138</v>
      </c>
      <c r="C63" s="10">
        <v>1996</v>
      </c>
      <c r="D63" s="12">
        <v>35244</v>
      </c>
      <c r="E63" s="12"/>
      <c r="F63" s="10" t="s">
        <v>177</v>
      </c>
      <c r="G63" s="10" t="s">
        <v>177</v>
      </c>
      <c r="H63" s="10" t="s">
        <v>408</v>
      </c>
      <c r="I63" s="10">
        <v>80</v>
      </c>
      <c r="J63" s="22">
        <v>206</v>
      </c>
      <c r="K63" s="10">
        <v>0</v>
      </c>
      <c r="L63" s="1">
        <v>12500000</v>
      </c>
      <c r="M63" s="1">
        <v>62493500</v>
      </c>
      <c r="N63" s="1">
        <v>363811360</v>
      </c>
      <c r="O63" s="1"/>
      <c r="P63" t="s">
        <v>562</v>
      </c>
      <c r="R63" t="s">
        <v>63</v>
      </c>
      <c r="T63" t="s">
        <v>563</v>
      </c>
      <c r="U63" s="17" t="s">
        <v>563</v>
      </c>
      <c r="V63" t="s">
        <v>564</v>
      </c>
      <c r="W63" s="45" t="e">
        <f>VLOOKUP(V63,'Actor and Actress Success'!$A$1:$B$72,2,FALSE)</f>
        <v>#N/A</v>
      </c>
      <c r="X63" s="34">
        <v>1</v>
      </c>
      <c r="Z63" t="s">
        <v>565</v>
      </c>
      <c r="AB63" s="45" t="e">
        <f>VLOOKUP(Z63,'Actor and Actress Success'!$A$1:$B$72,2,FALSE)</f>
        <v>#N/A</v>
      </c>
      <c r="AC63" s="34">
        <v>1</v>
      </c>
      <c r="AD63" t="s">
        <v>566</v>
      </c>
      <c r="AF63" s="45" t="e">
        <f>VLOOKUP(AD63,'Actor and Actress Success'!$A$1:$B$72,2,FALSE)</f>
        <v>#N/A</v>
      </c>
      <c r="AH63" t="s">
        <v>567</v>
      </c>
      <c r="AK63" s="45" t="e">
        <f>VLOOKUP(AH63,'Actor and Actress Success'!$A$1:$B$72,2,FALSE)</f>
        <v>#N/A</v>
      </c>
    </row>
    <row r="64" spans="1:37">
      <c r="A64">
        <v>64</v>
      </c>
      <c r="B64" s="8" t="s">
        <v>139</v>
      </c>
      <c r="C64" s="10">
        <v>1999</v>
      </c>
      <c r="D64" s="12">
        <v>36385</v>
      </c>
      <c r="E64" s="12"/>
      <c r="F64" s="10" t="s">
        <v>178</v>
      </c>
      <c r="G64" s="10" t="s">
        <v>178</v>
      </c>
      <c r="H64" s="10" t="s">
        <v>56</v>
      </c>
      <c r="I64" s="10">
        <v>215</v>
      </c>
      <c r="J64" s="22">
        <v>215</v>
      </c>
      <c r="K64" s="10">
        <v>83.33</v>
      </c>
      <c r="L64" s="1">
        <v>150000000</v>
      </c>
      <c r="M64" s="1">
        <v>511595000</v>
      </c>
      <c r="N64" s="1">
        <v>1338451620</v>
      </c>
      <c r="O64" s="1"/>
      <c r="P64" t="s">
        <v>431</v>
      </c>
      <c r="R64" t="s">
        <v>568</v>
      </c>
      <c r="T64" t="s">
        <v>1881</v>
      </c>
      <c r="U64" s="17" t="s">
        <v>431</v>
      </c>
      <c r="V64" t="s">
        <v>442</v>
      </c>
      <c r="W64" s="45">
        <f>VLOOKUP(V64,'Actor and Actress Success'!$A$1:$B$72,2,FALSE)</f>
        <v>34.042553191489361</v>
      </c>
      <c r="X64" s="34">
        <v>1</v>
      </c>
      <c r="Y64" s="34">
        <f>'Star Economic history'!J5</f>
        <v>47083333.333333336</v>
      </c>
      <c r="Z64" t="s">
        <v>569</v>
      </c>
      <c r="AB64" s="45" t="e">
        <f>VLOOKUP(Z64,'Actor and Actress Success'!$A$1:$B$72,2,FALSE)</f>
        <v>#N/A</v>
      </c>
      <c r="AC64" s="34">
        <v>1</v>
      </c>
      <c r="AD64" t="s">
        <v>492</v>
      </c>
      <c r="AF64" s="45">
        <f>VLOOKUP(AD64,'Actor and Actress Success'!$A$1:$B$72,2,FALSE)</f>
        <v>36.666666666666664</v>
      </c>
      <c r="AG64" s="34">
        <v>1</v>
      </c>
      <c r="AH64" t="s">
        <v>570</v>
      </c>
      <c r="AK64" s="45" t="e">
        <f>VLOOKUP(AH64,'Actor and Actress Success'!$A$1:$B$72,2,FALSE)</f>
        <v>#N/A</v>
      </c>
    </row>
    <row r="65" spans="1:37">
      <c r="A65">
        <v>65</v>
      </c>
      <c r="B65" s="8" t="s">
        <v>140</v>
      </c>
      <c r="C65" s="10">
        <v>1998</v>
      </c>
      <c r="D65" s="12">
        <v>35972</v>
      </c>
      <c r="E65" s="12"/>
      <c r="F65" s="10" t="s">
        <v>178</v>
      </c>
      <c r="G65" s="10" t="s">
        <v>178</v>
      </c>
      <c r="H65" s="10" t="s">
        <v>50</v>
      </c>
      <c r="I65" s="10">
        <v>240</v>
      </c>
      <c r="J65" s="22">
        <v>219</v>
      </c>
      <c r="K65" s="10">
        <v>50</v>
      </c>
      <c r="L65" s="1">
        <v>87500000</v>
      </c>
      <c r="M65" s="1">
        <v>232197500</v>
      </c>
      <c r="N65" s="1">
        <v>1053274640</v>
      </c>
      <c r="O65" s="1"/>
      <c r="P65" t="s">
        <v>571</v>
      </c>
      <c r="R65" t="s">
        <v>572</v>
      </c>
      <c r="T65" t="s">
        <v>1880</v>
      </c>
      <c r="U65" s="17" t="s">
        <v>68</v>
      </c>
      <c r="V65" t="s">
        <v>497</v>
      </c>
      <c r="W65" s="45">
        <f>VLOOKUP(V65,'Actor and Actress Success'!$A$1:$B$72,2,FALSE)</f>
        <v>33.333333333333329</v>
      </c>
      <c r="X65" s="34">
        <v>1</v>
      </c>
      <c r="Z65" t="s">
        <v>429</v>
      </c>
      <c r="AB65" s="45">
        <f>VLOOKUP(Z65,'Actor and Actress Success'!$A$1:$B$72,2,FALSE)</f>
        <v>39.285714285714285</v>
      </c>
      <c r="AC65" s="34">
        <v>1</v>
      </c>
      <c r="AD65" t="s">
        <v>500</v>
      </c>
      <c r="AF65" s="45" t="e">
        <f>VLOOKUP(AD65,'Actor and Actress Success'!$A$1:$B$72,2,FALSE)</f>
        <v>#N/A</v>
      </c>
      <c r="AG65" s="34">
        <v>1</v>
      </c>
      <c r="AH65" t="s">
        <v>573</v>
      </c>
      <c r="AK65" s="45" t="e">
        <f>VLOOKUP(AH65,'Actor and Actress Success'!$A$1:$B$72,2,FALSE)</f>
        <v>#N/A</v>
      </c>
    </row>
    <row r="66" spans="1:37">
      <c r="A66">
        <v>66</v>
      </c>
      <c r="B66" s="8" t="s">
        <v>141</v>
      </c>
      <c r="C66" s="10">
        <v>1997</v>
      </c>
      <c r="D66" s="12">
        <v>35468</v>
      </c>
      <c r="E66" s="12"/>
      <c r="F66" s="10" t="s">
        <v>178</v>
      </c>
      <c r="G66" s="10" t="s">
        <v>178</v>
      </c>
      <c r="H66" s="10" t="s">
        <v>6</v>
      </c>
      <c r="I66" s="10">
        <v>215</v>
      </c>
      <c r="J66" s="22">
        <v>220</v>
      </c>
      <c r="K66" s="10">
        <v>0</v>
      </c>
      <c r="L66" s="1">
        <v>57500000</v>
      </c>
      <c r="M66" s="1">
        <v>191023750</v>
      </c>
      <c r="N66" s="1">
        <v>1031694180</v>
      </c>
      <c r="O66" s="1"/>
      <c r="P66" t="s">
        <v>575</v>
      </c>
      <c r="R66" t="s">
        <v>427</v>
      </c>
      <c r="S66">
        <f>S46+91800000</f>
        <v>387900000</v>
      </c>
      <c r="T66" t="s">
        <v>576</v>
      </c>
      <c r="U66" s="17" t="s">
        <v>871</v>
      </c>
      <c r="V66" t="s">
        <v>415</v>
      </c>
      <c r="W66" s="45" t="e">
        <f>VLOOKUP(V66,'Actor and Actress Success'!$A$1:$B$72,2,FALSE)</f>
        <v>#N/A</v>
      </c>
      <c r="X66" s="34">
        <v>1</v>
      </c>
      <c r="Z66" t="s">
        <v>542</v>
      </c>
      <c r="AB66" s="45" t="e">
        <f>VLOOKUP(Z66,'Actor and Actress Success'!$A$1:$B$72,2,FALSE)</f>
        <v>#N/A</v>
      </c>
      <c r="AC66" s="34">
        <v>1</v>
      </c>
      <c r="AD66" t="s">
        <v>425</v>
      </c>
      <c r="AF66" s="45" t="e">
        <f>VLOOKUP(AD66,'Actor and Actress Success'!$A$1:$B$72,2,FALSE)</f>
        <v>#N/A</v>
      </c>
      <c r="AH66" t="s">
        <v>561</v>
      </c>
      <c r="AK66" s="45" t="e">
        <f>VLOOKUP(AH66,'Actor and Actress Success'!$A$1:$B$72,2,FALSE)</f>
        <v>#N/A</v>
      </c>
    </row>
    <row r="67" spans="1:37">
      <c r="A67">
        <v>67</v>
      </c>
      <c r="B67" s="8" t="s">
        <v>142</v>
      </c>
      <c r="C67" s="10">
        <v>1996</v>
      </c>
      <c r="D67" s="12">
        <v>35335</v>
      </c>
      <c r="E67" s="12"/>
      <c r="F67" s="10" t="s">
        <v>178</v>
      </c>
      <c r="G67" s="10" t="s">
        <v>178</v>
      </c>
      <c r="H67" s="10" t="s">
        <v>50</v>
      </c>
      <c r="I67" s="10">
        <v>225</v>
      </c>
      <c r="J67" s="22">
        <v>226</v>
      </c>
      <c r="K67" s="10">
        <v>89</v>
      </c>
      <c r="L67" s="1">
        <v>55000000</v>
      </c>
      <c r="M67" s="1">
        <v>158532500</v>
      </c>
      <c r="N67" s="1">
        <v>909157920</v>
      </c>
      <c r="O67" s="1"/>
      <c r="P67" t="s">
        <v>484</v>
      </c>
      <c r="R67" t="s">
        <v>430</v>
      </c>
      <c r="T67" t="s">
        <v>483</v>
      </c>
      <c r="U67" s="17" t="s">
        <v>860</v>
      </c>
      <c r="V67" t="s">
        <v>429</v>
      </c>
      <c r="W67" s="45">
        <f>VLOOKUP(V67,'Actor and Actress Success'!$A$1:$B$72,2,FALSE)</f>
        <v>39.285714285714285</v>
      </c>
      <c r="X67" s="34">
        <v>1</v>
      </c>
      <c r="Y67" s="34">
        <f>'Star Economic history'!G4</f>
        <v>57450000</v>
      </c>
      <c r="Z67" t="s">
        <v>542</v>
      </c>
      <c r="AB67" s="45" t="e">
        <f>VLOOKUP(Z67,'Actor and Actress Success'!$A$1:$B$72,2,FALSE)</f>
        <v>#N/A</v>
      </c>
      <c r="AC67" s="34">
        <v>1</v>
      </c>
      <c r="AD67" t="s">
        <v>500</v>
      </c>
      <c r="AF67" s="45" t="e">
        <f>VLOOKUP(AD67,'Actor and Actress Success'!$A$1:$B$72,2,FALSE)</f>
        <v>#N/A</v>
      </c>
      <c r="AG67" s="34">
        <v>1</v>
      </c>
      <c r="AH67" t="s">
        <v>577</v>
      </c>
      <c r="AK67" s="45" t="e">
        <f>VLOOKUP(AH67,'Actor and Actress Success'!$A$1:$B$72,2,FALSE)</f>
        <v>#N/A</v>
      </c>
    </row>
    <row r="68" spans="1:37">
      <c r="A68">
        <v>68</v>
      </c>
      <c r="B68" s="8" t="s">
        <v>143</v>
      </c>
      <c r="C68" s="10">
        <v>1998</v>
      </c>
      <c r="D68" s="12">
        <v>35937</v>
      </c>
      <c r="E68" s="12"/>
      <c r="F68" s="10" t="s">
        <v>178</v>
      </c>
      <c r="G68" s="10" t="s">
        <v>178</v>
      </c>
      <c r="H68" s="10" t="s">
        <v>56</v>
      </c>
      <c r="I68" s="10">
        <v>175</v>
      </c>
      <c r="J68" s="22">
        <v>227</v>
      </c>
      <c r="K68" s="10">
        <v>66.67</v>
      </c>
      <c r="L68" s="1">
        <v>65000000</v>
      </c>
      <c r="M68" s="1">
        <v>219593750</v>
      </c>
      <c r="N68" s="1">
        <v>905916220</v>
      </c>
      <c r="O68" s="1"/>
      <c r="P68" s="17" t="s">
        <v>708</v>
      </c>
      <c r="Q68" s="17"/>
      <c r="R68" s="17" t="s">
        <v>63</v>
      </c>
      <c r="S68" s="17"/>
      <c r="T68" s="17" t="s">
        <v>409</v>
      </c>
      <c r="U68" s="17" t="s">
        <v>409</v>
      </c>
      <c r="V68" s="17" t="s">
        <v>16</v>
      </c>
      <c r="W68" s="45">
        <f>VLOOKUP(V68,'Actor and Actress Success'!$A$1:$B$72,2,FALSE)</f>
        <v>50.819672131147541</v>
      </c>
      <c r="X68" s="35">
        <v>1</v>
      </c>
      <c r="Y68" s="35"/>
      <c r="Z68" s="17" t="s">
        <v>436</v>
      </c>
      <c r="AA68" s="17"/>
      <c r="AB68" s="45" t="e">
        <f>VLOOKUP(Z68,'Actor and Actress Success'!$A$1:$B$72,2,FALSE)</f>
        <v>#N/A</v>
      </c>
      <c r="AC68" s="35">
        <v>1</v>
      </c>
      <c r="AD68" s="17" t="s">
        <v>71</v>
      </c>
      <c r="AE68" s="17"/>
      <c r="AF68" s="45" t="e">
        <f>VLOOKUP(AD68,'Actor and Actress Success'!$A$1:$B$72,2,FALSE)</f>
        <v>#N/A</v>
      </c>
      <c r="AG68" s="35"/>
      <c r="AH68" s="17" t="s">
        <v>411</v>
      </c>
      <c r="AI68" s="17"/>
      <c r="AK68" s="45" t="e">
        <f>VLOOKUP(AH68,'Actor and Actress Success'!$A$1:$B$72,2,FALSE)</f>
        <v>#N/A</v>
      </c>
    </row>
    <row r="69" spans="1:37">
      <c r="A69">
        <v>69</v>
      </c>
      <c r="B69" s="8" t="s">
        <v>144</v>
      </c>
      <c r="C69" s="10">
        <v>1999</v>
      </c>
      <c r="D69" s="12">
        <v>36448</v>
      </c>
      <c r="E69" s="12"/>
      <c r="F69" s="10" t="s">
        <v>178</v>
      </c>
      <c r="G69" s="10" t="s">
        <v>178</v>
      </c>
      <c r="H69" s="10" t="s">
        <v>50</v>
      </c>
      <c r="I69" s="10">
        <v>235</v>
      </c>
      <c r="J69" s="22">
        <v>230</v>
      </c>
      <c r="K69" s="10">
        <v>87.14</v>
      </c>
      <c r="L69" s="1">
        <v>75000000</v>
      </c>
      <c r="M69" s="1">
        <v>205050000</v>
      </c>
      <c r="N69" s="1">
        <v>851918760</v>
      </c>
      <c r="O69" s="1"/>
      <c r="P69" s="17" t="s">
        <v>709</v>
      </c>
      <c r="Q69" s="17"/>
      <c r="R69" s="17" t="s">
        <v>63</v>
      </c>
      <c r="S69" s="17"/>
      <c r="T69" s="17" t="s">
        <v>709</v>
      </c>
      <c r="U69" s="17" t="s">
        <v>872</v>
      </c>
      <c r="V69" s="17" t="s">
        <v>511</v>
      </c>
      <c r="W69" s="45">
        <f>VLOOKUP(V69,'Actor and Actress Success'!$A$1:$B$72,2,FALSE)</f>
        <v>27.397260273972602</v>
      </c>
      <c r="X69" s="35">
        <v>1</v>
      </c>
      <c r="Y69" s="35"/>
      <c r="Z69" s="17" t="s">
        <v>507</v>
      </c>
      <c r="AA69" s="17"/>
      <c r="AB69" s="45" t="e">
        <f>VLOOKUP(Z69,'Actor and Actress Success'!$A$1:$B$72,2,FALSE)</f>
        <v>#N/A</v>
      </c>
      <c r="AC69" s="35">
        <v>1</v>
      </c>
      <c r="AD69" s="17" t="s">
        <v>17</v>
      </c>
      <c r="AE69" s="17"/>
      <c r="AF69" s="45" t="e">
        <f>VLOOKUP(AD69,'Actor and Actress Success'!$A$1:$B$72,2,FALSE)</f>
        <v>#N/A</v>
      </c>
      <c r="AG69" s="35"/>
      <c r="AH69" s="17" t="s">
        <v>710</v>
      </c>
      <c r="AI69" s="17"/>
      <c r="AK69" s="45" t="e">
        <f>VLOOKUP(AH69,'Actor and Actress Success'!$A$1:$B$72,2,FALSE)</f>
        <v>#N/A</v>
      </c>
    </row>
    <row r="70" spans="1:37">
      <c r="A70">
        <v>70</v>
      </c>
      <c r="B70" s="8" t="s">
        <v>145</v>
      </c>
      <c r="C70" s="10">
        <v>1999</v>
      </c>
      <c r="D70" s="12">
        <v>36518</v>
      </c>
      <c r="E70" s="12"/>
      <c r="F70" s="10" t="s">
        <v>178</v>
      </c>
      <c r="G70" s="10" t="s">
        <v>178</v>
      </c>
      <c r="H70" s="10" t="s">
        <v>50</v>
      </c>
      <c r="I70" s="10">
        <v>220</v>
      </c>
      <c r="J70" s="22">
        <v>232</v>
      </c>
      <c r="K70" s="10">
        <v>75</v>
      </c>
      <c r="L70" s="1">
        <v>62500000</v>
      </c>
      <c r="M70" s="1">
        <v>189860000</v>
      </c>
      <c r="N70" s="1">
        <v>834876680</v>
      </c>
      <c r="O70" s="1"/>
      <c r="P70" s="17" t="s">
        <v>711</v>
      </c>
      <c r="Q70" s="17"/>
      <c r="R70" s="17" t="s">
        <v>427</v>
      </c>
      <c r="S70" s="17">
        <f>S57+53400000+127450000+28400000+5750000+48500000+18050000+40450000+26150000+10250000+100650000+43525000+17775000+14150000+32950000+105050000</f>
        <v>672500000</v>
      </c>
      <c r="T70" s="17" t="s">
        <v>68</v>
      </c>
      <c r="U70" s="17"/>
      <c r="V70" s="17" t="s">
        <v>397</v>
      </c>
      <c r="W70" s="45">
        <f>VLOOKUP(V70,'Actor and Actress Success'!$A$1:$B$72,2,FALSE)</f>
        <v>44.117647058823529</v>
      </c>
      <c r="X70" s="35">
        <v>1</v>
      </c>
      <c r="Y70" s="35">
        <f>'Star Economic history'!J6</f>
        <v>42866666.666666664</v>
      </c>
      <c r="Z70" s="17" t="s">
        <v>69</v>
      </c>
      <c r="AA70" s="17"/>
      <c r="AB70" s="45">
        <f>VLOOKUP(Z70,'Actor and Actress Success'!$A$1:$B$72,2,FALSE)</f>
        <v>46.808510638297875</v>
      </c>
      <c r="AC70" s="35">
        <v>1</v>
      </c>
      <c r="AD70" s="17" t="s">
        <v>518</v>
      </c>
      <c r="AE70" s="17"/>
      <c r="AF70" s="45">
        <f>VLOOKUP(AD70,'Actor and Actress Success'!$A$1:$B$72,2,FALSE)</f>
        <v>21.212121212121211</v>
      </c>
      <c r="AG70" s="35">
        <v>1</v>
      </c>
      <c r="AH70" s="17" t="s">
        <v>17</v>
      </c>
      <c r="AI70" s="17"/>
      <c r="AK70" s="45" t="e">
        <f>VLOOKUP(AH70,'Actor and Actress Success'!$A$1:$B$72,2,FALSE)</f>
        <v>#N/A</v>
      </c>
    </row>
    <row r="71" spans="1:37">
      <c r="A71">
        <v>71</v>
      </c>
      <c r="B71" s="8" t="s">
        <v>146</v>
      </c>
      <c r="C71" s="10">
        <v>1994</v>
      </c>
      <c r="D71" s="12">
        <v>34418</v>
      </c>
      <c r="E71" s="12"/>
      <c r="F71" s="10" t="s">
        <v>178</v>
      </c>
      <c r="G71" s="10" t="s">
        <v>178</v>
      </c>
      <c r="H71" s="10" t="s">
        <v>50</v>
      </c>
      <c r="I71" s="10">
        <v>160</v>
      </c>
      <c r="J71" s="22">
        <v>233</v>
      </c>
      <c r="K71" s="10">
        <v>0</v>
      </c>
      <c r="L71" s="1">
        <v>19500000</v>
      </c>
      <c r="M71" s="1">
        <v>84437500</v>
      </c>
      <c r="N71" s="1">
        <v>834043100</v>
      </c>
      <c r="O71" s="1"/>
      <c r="P71" s="17" t="s">
        <v>712</v>
      </c>
      <c r="Q71" s="17"/>
      <c r="R71" s="17" t="s">
        <v>430</v>
      </c>
      <c r="S71" s="17"/>
      <c r="T71" s="17" t="s">
        <v>712</v>
      </c>
      <c r="U71" s="17" t="s">
        <v>712</v>
      </c>
      <c r="V71" s="37" t="s">
        <v>451</v>
      </c>
      <c r="W71" s="45">
        <f>VLOOKUP(V71,'Actor and Actress Success'!$A$1:$B$72,2,FALSE)</f>
        <v>22.857142857142858</v>
      </c>
      <c r="X71" s="35">
        <v>1</v>
      </c>
      <c r="Y71" s="35">
        <f>'Star Economic history'!E3</f>
        <v>12387500</v>
      </c>
      <c r="Z71" s="37" t="s">
        <v>69</v>
      </c>
      <c r="AA71" s="37"/>
      <c r="AB71" s="45">
        <f>VLOOKUP(Z71,'Actor and Actress Success'!$A$1:$B$72,2,FALSE)</f>
        <v>46.808510638297875</v>
      </c>
      <c r="AC71" s="35">
        <v>1</v>
      </c>
      <c r="AD71" s="17" t="s">
        <v>465</v>
      </c>
      <c r="AE71" s="17"/>
      <c r="AF71" s="45" t="e">
        <f>VLOOKUP(AD71,'Actor and Actress Success'!$A$1:$B$72,2,FALSE)</f>
        <v>#N/A</v>
      </c>
      <c r="AG71" s="35"/>
      <c r="AH71" s="17" t="s">
        <v>452</v>
      </c>
      <c r="AI71" s="17"/>
      <c r="AK71" s="45" t="e">
        <f>VLOOKUP(AH71,'Actor and Actress Success'!$A$1:$B$72,2,FALSE)</f>
        <v>#N/A</v>
      </c>
    </row>
    <row r="72" spans="1:37">
      <c r="A72">
        <v>72</v>
      </c>
      <c r="B72" s="8" t="s">
        <v>147</v>
      </c>
      <c r="C72" s="10">
        <v>1997</v>
      </c>
      <c r="D72" s="12">
        <v>35713</v>
      </c>
      <c r="E72" s="12"/>
      <c r="F72" s="10" t="s">
        <v>178</v>
      </c>
      <c r="G72" s="10" t="s">
        <v>178</v>
      </c>
      <c r="H72" s="10" t="s">
        <v>439</v>
      </c>
      <c r="I72" s="10">
        <v>190</v>
      </c>
      <c r="J72" s="22">
        <v>237</v>
      </c>
      <c r="K72" s="10">
        <v>77.5</v>
      </c>
      <c r="L72" s="1">
        <v>57500000</v>
      </c>
      <c r="M72" s="1">
        <v>167543750</v>
      </c>
      <c r="N72" s="1">
        <v>788659300</v>
      </c>
      <c r="O72" s="1"/>
      <c r="P72" s="17" t="s">
        <v>441</v>
      </c>
      <c r="Q72" s="17">
        <f>Q67</f>
        <v>0</v>
      </c>
      <c r="R72" s="17" t="s">
        <v>430</v>
      </c>
      <c r="S72" s="17"/>
      <c r="T72" s="17" t="s">
        <v>450</v>
      </c>
      <c r="U72" s="17" t="s">
        <v>450</v>
      </c>
      <c r="V72" s="17" t="s">
        <v>397</v>
      </c>
      <c r="W72" s="45">
        <f>VLOOKUP(V72,'Actor and Actress Success'!$A$1:$B$72,2,FALSE)</f>
        <v>44.117647058823529</v>
      </c>
      <c r="X72" s="35">
        <v>1</v>
      </c>
      <c r="Y72" s="35">
        <f>'Star Economic history'!H6</f>
        <v>90625000</v>
      </c>
      <c r="Z72" s="17" t="s">
        <v>410</v>
      </c>
      <c r="AA72" s="17"/>
      <c r="AB72" s="45">
        <f>VLOOKUP(Z72,'Actor and Actress Success'!$A$1:$B$72,2,FALSE)</f>
        <v>27.659574468085108</v>
      </c>
      <c r="AC72" s="35">
        <v>1</v>
      </c>
      <c r="AD72" s="17" t="s">
        <v>452</v>
      </c>
      <c r="AE72" s="17"/>
      <c r="AF72" s="45" t="e">
        <f>VLOOKUP(AD72,'Actor and Actress Success'!$A$1:$B$72,2,FALSE)</f>
        <v>#N/A</v>
      </c>
      <c r="AG72" s="35"/>
      <c r="AH72" s="17" t="s">
        <v>453</v>
      </c>
      <c r="AI72" s="17"/>
      <c r="AK72" s="45" t="e">
        <f>VLOOKUP(AH72,'Actor and Actress Success'!$A$1:$B$72,2,FALSE)</f>
        <v>#N/A</v>
      </c>
    </row>
    <row r="73" spans="1:37">
      <c r="A73">
        <v>73</v>
      </c>
      <c r="B73" s="8" t="s">
        <v>148</v>
      </c>
      <c r="C73" s="10">
        <v>1999</v>
      </c>
      <c r="D73" s="12">
        <v>36287</v>
      </c>
      <c r="E73" s="12"/>
      <c r="F73" s="10" t="s">
        <v>178</v>
      </c>
      <c r="G73" s="10" t="s">
        <v>178</v>
      </c>
      <c r="H73" s="10" t="s">
        <v>428</v>
      </c>
      <c r="I73" s="10">
        <v>195</v>
      </c>
      <c r="J73" s="22">
        <v>238</v>
      </c>
      <c r="K73" s="10">
        <v>70</v>
      </c>
      <c r="L73" s="1">
        <v>60000000</v>
      </c>
      <c r="M73" s="20">
        <v>176206250</v>
      </c>
      <c r="N73" s="20">
        <v>784954500</v>
      </c>
      <c r="O73" s="20"/>
      <c r="P73" s="17" t="s">
        <v>713</v>
      </c>
      <c r="Q73" s="17"/>
      <c r="R73" s="17" t="s">
        <v>427</v>
      </c>
      <c r="S73" s="17">
        <f>S47+28400000+48500000+5750000+18050000+40450000+26150000+10250000</f>
        <v>177550000</v>
      </c>
      <c r="T73" s="17" t="s">
        <v>714</v>
      </c>
      <c r="U73" s="17" t="s">
        <v>873</v>
      </c>
      <c r="V73" s="17" t="s">
        <v>429</v>
      </c>
      <c r="W73" s="45">
        <f>VLOOKUP(V73,'Actor and Actress Success'!$A$1:$B$72,2,FALSE)</f>
        <v>39.285714285714285</v>
      </c>
      <c r="X73" s="35">
        <v>1</v>
      </c>
      <c r="Y73" s="35">
        <f>'Star Economic history'!J4</f>
        <v>129408333.33333333</v>
      </c>
      <c r="Z73" s="17" t="s">
        <v>550</v>
      </c>
      <c r="AA73" s="17"/>
      <c r="AB73" s="45" t="e">
        <f>VLOOKUP(Z73,'Actor and Actress Success'!$A$1:$B$72,2,FALSE)</f>
        <v>#N/A</v>
      </c>
      <c r="AC73" s="35">
        <v>1</v>
      </c>
      <c r="AD73" s="17" t="s">
        <v>715</v>
      </c>
      <c r="AE73" s="17"/>
      <c r="AF73" s="45" t="e">
        <f>VLOOKUP(AD73,'Actor and Actress Success'!$A$1:$B$72,2,FALSE)</f>
        <v>#N/A</v>
      </c>
      <c r="AG73" s="35">
        <v>1</v>
      </c>
      <c r="AH73" s="17" t="s">
        <v>716</v>
      </c>
      <c r="AI73" s="17"/>
      <c r="AK73" s="45" t="e">
        <f>VLOOKUP(AH73,'Actor and Actress Success'!$A$1:$B$72,2,FALSE)</f>
        <v>#N/A</v>
      </c>
    </row>
    <row r="74" spans="1:37">
      <c r="A74">
        <v>74</v>
      </c>
      <c r="B74" s="8" t="s">
        <v>149</v>
      </c>
      <c r="C74" s="10">
        <v>1997</v>
      </c>
      <c r="D74" s="12">
        <v>35734</v>
      </c>
      <c r="E74" s="12"/>
      <c r="F74" s="10" t="s">
        <v>178</v>
      </c>
      <c r="G74" s="10" t="s">
        <v>178</v>
      </c>
      <c r="H74" s="10" t="s">
        <v>6</v>
      </c>
      <c r="I74" s="10">
        <v>235</v>
      </c>
      <c r="J74" s="22">
        <v>240</v>
      </c>
      <c r="K74" s="10">
        <v>45</v>
      </c>
      <c r="L74" s="1">
        <v>55000000</v>
      </c>
      <c r="M74" s="20">
        <v>145427500</v>
      </c>
      <c r="N74" s="20">
        <v>738551880</v>
      </c>
      <c r="O74" s="20"/>
      <c r="P74" s="17" t="s">
        <v>717</v>
      </c>
      <c r="Q74" s="17"/>
      <c r="R74" s="17" t="s">
        <v>387</v>
      </c>
      <c r="S74" s="17"/>
      <c r="T74" s="17" t="s">
        <v>1879</v>
      </c>
      <c r="U74" s="17" t="s">
        <v>874</v>
      </c>
      <c r="V74" s="17" t="s">
        <v>415</v>
      </c>
      <c r="W74" s="45" t="e">
        <f>VLOOKUP(V74,'Actor and Actress Success'!$A$1:$B$72,2,FALSE)</f>
        <v>#N/A</v>
      </c>
      <c r="X74" s="35">
        <v>1</v>
      </c>
      <c r="Y74" s="35"/>
      <c r="Z74" s="17" t="s">
        <v>398</v>
      </c>
      <c r="AA74" s="17"/>
      <c r="AB74" s="45">
        <f>VLOOKUP(Z74,'Actor and Actress Success'!$A$1:$B$72,2,FALSE)</f>
        <v>21.052631578947366</v>
      </c>
      <c r="AC74" s="35">
        <v>1</v>
      </c>
      <c r="AD74" s="17" t="s">
        <v>453</v>
      </c>
      <c r="AE74" s="17"/>
      <c r="AF74" s="45" t="e">
        <f>VLOOKUP(AD74,'Actor and Actress Success'!$A$1:$B$72,2,FALSE)</f>
        <v>#N/A</v>
      </c>
      <c r="AG74" s="35"/>
      <c r="AH74" s="17" t="s">
        <v>466</v>
      </c>
      <c r="AI74" s="17"/>
      <c r="AK74" s="45" t="e">
        <f>VLOOKUP(AH74,'Actor and Actress Success'!$A$1:$B$72,2,FALSE)</f>
        <v>#N/A</v>
      </c>
    </row>
    <row r="75" spans="1:37">
      <c r="A75">
        <v>75</v>
      </c>
      <c r="B75" s="8" t="s">
        <v>150</v>
      </c>
      <c r="C75" s="10">
        <v>1996</v>
      </c>
      <c r="D75" s="12">
        <v>35223</v>
      </c>
      <c r="E75" s="12"/>
      <c r="F75" s="10" t="s">
        <v>178</v>
      </c>
      <c r="G75" s="10" t="s">
        <v>178</v>
      </c>
      <c r="H75" s="10" t="s">
        <v>428</v>
      </c>
      <c r="I75" s="10">
        <v>180</v>
      </c>
      <c r="J75" s="22">
        <v>242</v>
      </c>
      <c r="K75" s="10">
        <v>70</v>
      </c>
      <c r="L75" s="20">
        <v>40000000</v>
      </c>
      <c r="M75" s="20">
        <v>121800000</v>
      </c>
      <c r="N75" s="20">
        <v>732994680</v>
      </c>
      <c r="O75" s="20"/>
      <c r="P75" s="17" t="s">
        <v>441</v>
      </c>
      <c r="Q75" s="17">
        <f>Q68+138200000</f>
        <v>138200000</v>
      </c>
      <c r="R75" s="17" t="s">
        <v>427</v>
      </c>
      <c r="S75" s="17">
        <f>S70+99125000+31975000</f>
        <v>803600000</v>
      </c>
      <c r="T75" s="17" t="s">
        <v>713</v>
      </c>
      <c r="U75" s="17" t="s">
        <v>713</v>
      </c>
      <c r="V75" s="37" t="s">
        <v>442</v>
      </c>
      <c r="W75" s="45">
        <f>VLOOKUP(V75,'Actor and Actress Success'!$A$1:$B$72,2,FALSE)</f>
        <v>34.042553191489361</v>
      </c>
      <c r="X75" s="35">
        <v>1</v>
      </c>
      <c r="Y75" s="35">
        <f>'Star Economic history'!G5</f>
        <v>85750000</v>
      </c>
      <c r="Z75" s="37" t="s">
        <v>410</v>
      </c>
      <c r="AA75" s="37"/>
      <c r="AB75" s="45">
        <f>VLOOKUP(Z75,'Actor and Actress Success'!$A$1:$B$72,2,FALSE)</f>
        <v>27.659574468085108</v>
      </c>
      <c r="AC75" s="35">
        <v>1</v>
      </c>
      <c r="AD75" s="17" t="s">
        <v>420</v>
      </c>
      <c r="AE75" s="17"/>
      <c r="AF75" s="45" t="e">
        <f>VLOOKUP(AD75,'Actor and Actress Success'!$A$1:$B$72,2,FALSE)</f>
        <v>#N/A</v>
      </c>
      <c r="AG75" s="35"/>
      <c r="AH75" s="17" t="s">
        <v>465</v>
      </c>
      <c r="AI75" s="17"/>
      <c r="AK75" s="45" t="e">
        <f>VLOOKUP(AH75,'Actor and Actress Success'!$A$1:$B$72,2,FALSE)</f>
        <v>#N/A</v>
      </c>
    </row>
    <row r="76" spans="1:37">
      <c r="A76">
        <v>76</v>
      </c>
      <c r="B76" s="8" t="s">
        <v>151</v>
      </c>
      <c r="C76" s="10">
        <v>1999</v>
      </c>
      <c r="D76" s="12">
        <v>36259</v>
      </c>
      <c r="E76" s="12"/>
      <c r="F76" s="10" t="s">
        <v>178</v>
      </c>
      <c r="G76" s="10" t="s">
        <v>178</v>
      </c>
      <c r="H76" s="10" t="s">
        <v>439</v>
      </c>
      <c r="I76" s="10">
        <v>210</v>
      </c>
      <c r="J76" s="22">
        <v>243</v>
      </c>
      <c r="K76" s="10">
        <v>0</v>
      </c>
      <c r="L76" s="20">
        <v>67500000</v>
      </c>
      <c r="M76" s="20">
        <v>179116250</v>
      </c>
      <c r="N76" s="20">
        <v>732809440</v>
      </c>
      <c r="O76" s="20"/>
      <c r="P76" s="17" t="s">
        <v>718</v>
      </c>
      <c r="Q76" s="17"/>
      <c r="R76" s="17" t="s">
        <v>719</v>
      </c>
      <c r="S76" s="17"/>
      <c r="T76" s="17" t="s">
        <v>718</v>
      </c>
      <c r="U76" s="17" t="s">
        <v>718</v>
      </c>
      <c r="V76" s="37" t="s">
        <v>451</v>
      </c>
      <c r="W76" s="45">
        <f>VLOOKUP(V76,'Actor and Actress Success'!$A$1:$B$72,2,FALSE)</f>
        <v>22.857142857142858</v>
      </c>
      <c r="X76" s="35">
        <v>1</v>
      </c>
      <c r="Y76" s="35">
        <f>'Star Economic history'!J3</f>
        <v>75031250</v>
      </c>
      <c r="Z76" s="37" t="s">
        <v>398</v>
      </c>
      <c r="AA76" s="37"/>
      <c r="AB76" s="45">
        <f>VLOOKUP(Z76,'Actor and Actress Success'!$A$1:$B$72,2,FALSE)</f>
        <v>21.052631578947366</v>
      </c>
      <c r="AC76" s="35">
        <v>1</v>
      </c>
      <c r="AD76" s="17" t="s">
        <v>552</v>
      </c>
      <c r="AE76" s="17"/>
      <c r="AF76" s="45" t="e">
        <f>VLOOKUP(AD76,'Actor and Actress Success'!$A$1:$B$72,2,FALSE)</f>
        <v>#N/A</v>
      </c>
      <c r="AG76" s="35">
        <v>1</v>
      </c>
      <c r="AH76" s="17" t="s">
        <v>466</v>
      </c>
      <c r="AI76" s="17"/>
      <c r="AK76" s="45" t="e">
        <f>VLOOKUP(AH76,'Actor and Actress Success'!$A$1:$B$72,2,FALSE)</f>
        <v>#N/A</v>
      </c>
    </row>
    <row r="77" spans="1:37">
      <c r="A77">
        <v>77</v>
      </c>
      <c r="B77" s="8" t="s">
        <v>152</v>
      </c>
      <c r="C77" s="10">
        <v>1997</v>
      </c>
      <c r="D77" s="12">
        <v>35734</v>
      </c>
      <c r="E77" s="12"/>
      <c r="F77" s="10" t="s">
        <v>178</v>
      </c>
      <c r="G77" s="10" t="s">
        <v>178</v>
      </c>
      <c r="H77" s="10" t="s">
        <v>50</v>
      </c>
      <c r="I77" s="10">
        <v>225</v>
      </c>
      <c r="J77" s="22">
        <v>244</v>
      </c>
      <c r="K77" s="10">
        <v>60</v>
      </c>
      <c r="L77" s="20">
        <v>47500000</v>
      </c>
      <c r="M77" s="20">
        <v>149145000</v>
      </c>
      <c r="N77" s="20">
        <v>726789140</v>
      </c>
      <c r="O77" s="20"/>
      <c r="P77" s="17" t="s">
        <v>720</v>
      </c>
      <c r="Q77" s="17"/>
      <c r="R77" s="17" t="s">
        <v>427</v>
      </c>
      <c r="S77" s="17">
        <f>S66+170750000+51550000+86950000+17300000+16325000+37125000+25100000+26000000+29175000</f>
        <v>848175000</v>
      </c>
      <c r="T77" s="17" t="s">
        <v>721</v>
      </c>
      <c r="U77" s="17" t="s">
        <v>452</v>
      </c>
      <c r="V77" s="17" t="s">
        <v>79</v>
      </c>
      <c r="W77" s="45">
        <f>VLOOKUP(V77,'Actor and Actress Success'!$A$1:$B$72,2,FALSE)</f>
        <v>26.373626373626376</v>
      </c>
      <c r="X77" s="35">
        <v>1</v>
      </c>
      <c r="Y77" s="35">
        <f>'Star Economic history'!H8</f>
        <v>53012500</v>
      </c>
      <c r="Z77" s="17" t="s">
        <v>500</v>
      </c>
      <c r="AA77" s="17"/>
      <c r="AB77" s="45" t="e">
        <f>VLOOKUP(Z77,'Actor and Actress Success'!$A$1:$B$72,2,FALSE)</f>
        <v>#N/A</v>
      </c>
      <c r="AC77" s="35">
        <v>1</v>
      </c>
      <c r="AD77" s="17" t="s">
        <v>512</v>
      </c>
      <c r="AE77" s="17"/>
      <c r="AF77" s="45" t="e">
        <f>VLOOKUP(AD77,'Actor and Actress Success'!$A$1:$B$72,2,FALSE)</f>
        <v>#N/A</v>
      </c>
      <c r="AG77" s="35">
        <v>1</v>
      </c>
      <c r="AH77" s="17" t="s">
        <v>465</v>
      </c>
      <c r="AI77" s="17"/>
      <c r="AK77" s="45" t="e">
        <f>VLOOKUP(AH77,'Actor and Actress Success'!$A$1:$B$72,2,FALSE)</f>
        <v>#N/A</v>
      </c>
    </row>
    <row r="78" spans="1:37">
      <c r="A78">
        <v>78</v>
      </c>
      <c r="B78" s="8" t="s">
        <v>153</v>
      </c>
      <c r="C78" s="10">
        <v>1994</v>
      </c>
      <c r="D78" s="12">
        <v>34453</v>
      </c>
      <c r="E78" s="12"/>
      <c r="F78" s="10" t="s">
        <v>178</v>
      </c>
      <c r="G78" s="10" t="s">
        <v>178</v>
      </c>
      <c r="H78" s="10" t="s">
        <v>6</v>
      </c>
      <c r="I78" s="10">
        <v>125</v>
      </c>
      <c r="J78" s="22">
        <v>247</v>
      </c>
      <c r="K78" s="10">
        <v>0</v>
      </c>
      <c r="L78" s="20">
        <v>17500000</v>
      </c>
      <c r="M78" s="20">
        <v>72243750</v>
      </c>
      <c r="N78" s="20">
        <v>706320120</v>
      </c>
      <c r="O78" s="20"/>
      <c r="P78" s="17" t="s">
        <v>722</v>
      </c>
      <c r="Q78" s="17"/>
      <c r="R78" s="17" t="s">
        <v>67</v>
      </c>
      <c r="S78" s="17"/>
      <c r="T78" s="17" t="s">
        <v>723</v>
      </c>
      <c r="U78" s="17" t="s">
        <v>875</v>
      </c>
      <c r="V78" s="17" t="s">
        <v>724</v>
      </c>
      <c r="W78" s="45">
        <f>VLOOKUP(V78,'Actor and Actress Success'!$A$1:$B$72,2,FALSE)</f>
        <v>26.086956521739129</v>
      </c>
      <c r="X78" s="35">
        <v>1</v>
      </c>
      <c r="Y78" s="35"/>
      <c r="Z78" s="17" t="s">
        <v>410</v>
      </c>
      <c r="AA78" s="17"/>
      <c r="AB78" s="45">
        <f>VLOOKUP(Z78,'Actor and Actress Success'!$A$1:$B$72,2,FALSE)</f>
        <v>27.659574468085108</v>
      </c>
      <c r="AC78" s="35">
        <v>1</v>
      </c>
      <c r="AD78" s="17" t="s">
        <v>725</v>
      </c>
      <c r="AE78" s="17"/>
      <c r="AF78" s="45" t="e">
        <f>VLOOKUP(AD78,'Actor and Actress Success'!$A$1:$B$72,2,FALSE)</f>
        <v>#N/A</v>
      </c>
      <c r="AG78" s="35"/>
      <c r="AH78" s="17" t="s">
        <v>726</v>
      </c>
      <c r="AI78" s="17"/>
      <c r="AK78" s="45" t="e">
        <f>VLOOKUP(AH78,'Actor and Actress Success'!$A$1:$B$72,2,FALSE)</f>
        <v>#N/A</v>
      </c>
    </row>
    <row r="79" spans="1:37">
      <c r="A79">
        <v>79</v>
      </c>
      <c r="B79" s="8" t="s">
        <v>154</v>
      </c>
      <c r="C79" s="10">
        <v>1994</v>
      </c>
      <c r="D79" s="12">
        <v>34495</v>
      </c>
      <c r="E79" s="12"/>
      <c r="F79" s="10" t="s">
        <v>178</v>
      </c>
      <c r="G79" s="10" t="s">
        <v>178</v>
      </c>
      <c r="H79" s="10" t="s">
        <v>50</v>
      </c>
      <c r="I79" s="10">
        <v>130</v>
      </c>
      <c r="J79" s="22">
        <v>250</v>
      </c>
      <c r="K79" s="10">
        <v>0</v>
      </c>
      <c r="L79" s="20">
        <v>16500000</v>
      </c>
      <c r="M79" s="20">
        <v>71700000</v>
      </c>
      <c r="N79" s="20">
        <v>681127480</v>
      </c>
      <c r="O79" s="20"/>
      <c r="P79" s="17" t="s">
        <v>727</v>
      </c>
      <c r="Q79" s="17"/>
      <c r="R79" s="17" t="s">
        <v>427</v>
      </c>
      <c r="S79">
        <f>21935000+11190000+1687500+13875000+20000000+30900000+40625000+82350000+13100000+7750000+9975000+3100000+71575000+29650000+15750000+49850000+17550000+24475000</f>
        <v>465337500</v>
      </c>
      <c r="T79" s="17" t="s">
        <v>541</v>
      </c>
      <c r="U79" s="17" t="s">
        <v>876</v>
      </c>
      <c r="V79" s="17" t="s">
        <v>79</v>
      </c>
      <c r="W79" s="45">
        <f>VLOOKUP(V79,'Actor and Actress Success'!$A$1:$B$72,2,FALSE)</f>
        <v>26.373626373626376</v>
      </c>
      <c r="X79" s="35">
        <v>1</v>
      </c>
      <c r="Y79" s="35">
        <f>'Star Economic history'!E8</f>
        <v>0</v>
      </c>
      <c r="Z79" s="17" t="s">
        <v>728</v>
      </c>
      <c r="AA79" s="17"/>
      <c r="AB79" s="45" t="e">
        <f>VLOOKUP(Z79,'Actor and Actress Success'!$A$1:$B$72,2,FALSE)</f>
        <v>#N/A</v>
      </c>
      <c r="AC79" s="35">
        <v>1</v>
      </c>
      <c r="AD79" s="17" t="s">
        <v>453</v>
      </c>
      <c r="AE79" s="17"/>
      <c r="AF79" s="45" t="e">
        <f>VLOOKUP(AD79,'Actor and Actress Success'!$A$1:$B$72,2,FALSE)</f>
        <v>#N/A</v>
      </c>
      <c r="AG79" s="35"/>
      <c r="AH79" s="17" t="s">
        <v>561</v>
      </c>
      <c r="AI79" s="17"/>
      <c r="AK79" s="45" t="e">
        <f>VLOOKUP(AH79,'Actor and Actress Success'!$A$1:$B$72,2,FALSE)</f>
        <v>#N/A</v>
      </c>
    </row>
    <row r="80" spans="1:37">
      <c r="A80">
        <v>80</v>
      </c>
      <c r="B80" s="8" t="s">
        <v>155</v>
      </c>
      <c r="C80" s="10">
        <v>1994</v>
      </c>
      <c r="D80" s="12">
        <v>34509</v>
      </c>
      <c r="E80" s="12"/>
      <c r="F80" s="10" t="s">
        <v>178</v>
      </c>
      <c r="G80" s="10" t="s">
        <v>178</v>
      </c>
      <c r="H80" s="10" t="s">
        <v>50</v>
      </c>
      <c r="I80" s="10">
        <v>130</v>
      </c>
      <c r="J80" s="22">
        <v>251</v>
      </c>
      <c r="K80" s="10">
        <v>0</v>
      </c>
      <c r="L80" s="20">
        <v>18500000</v>
      </c>
      <c r="M80" s="1">
        <v>67430000</v>
      </c>
      <c r="N80" s="20">
        <v>669457360</v>
      </c>
      <c r="O80" s="20"/>
      <c r="P80" s="17" t="s">
        <v>510</v>
      </c>
      <c r="Q80" s="17"/>
      <c r="R80" s="17" t="s">
        <v>63</v>
      </c>
      <c r="S80" s="17"/>
      <c r="T80" s="17" t="s">
        <v>389</v>
      </c>
      <c r="U80" s="17" t="s">
        <v>389</v>
      </c>
      <c r="V80" s="17" t="s">
        <v>555</v>
      </c>
      <c r="W80" s="45">
        <f>VLOOKUP(V80,'Actor and Actress Success'!$A$1:$B$72,2,FALSE)</f>
        <v>11.607142857142858</v>
      </c>
      <c r="X80" s="35">
        <v>1</v>
      </c>
      <c r="Y80" s="35">
        <f>'Star Economic history'!E9</f>
        <v>26962500</v>
      </c>
      <c r="Z80" s="17" t="s">
        <v>524</v>
      </c>
      <c r="AA80" s="17"/>
      <c r="AB80" s="45" t="e">
        <f>VLOOKUP(Z80,'Actor and Actress Success'!$A$1:$B$72,2,FALSE)</f>
        <v>#N/A</v>
      </c>
      <c r="AC80" s="35">
        <v>1</v>
      </c>
      <c r="AD80" s="17" t="s">
        <v>729</v>
      </c>
      <c r="AE80" s="17"/>
      <c r="AF80" s="45" t="e">
        <f>VLOOKUP(AD80,'Actor and Actress Success'!$A$1:$B$72,2,FALSE)</f>
        <v>#N/A</v>
      </c>
      <c r="AG80" s="35"/>
      <c r="AH80" s="17" t="s">
        <v>420</v>
      </c>
      <c r="AI80" s="17"/>
      <c r="AK80" s="45" t="e">
        <f>VLOOKUP(AH80,'Actor and Actress Success'!$A$1:$B$72,2,FALSE)</f>
        <v>#N/A</v>
      </c>
    </row>
    <row r="81" spans="1:37">
      <c r="A81">
        <v>81</v>
      </c>
      <c r="B81" s="8" t="s">
        <v>156</v>
      </c>
      <c r="C81" s="10">
        <v>1994</v>
      </c>
      <c r="D81" s="12">
        <v>34670</v>
      </c>
      <c r="E81" s="12"/>
      <c r="F81" s="10" t="s">
        <v>178</v>
      </c>
      <c r="G81" s="10" t="s">
        <v>178</v>
      </c>
      <c r="H81" s="10" t="s">
        <v>428</v>
      </c>
      <c r="I81" s="10">
        <v>165</v>
      </c>
      <c r="J81" s="22">
        <v>253</v>
      </c>
      <c r="K81" s="10">
        <v>0</v>
      </c>
      <c r="L81" s="20">
        <v>21500000</v>
      </c>
      <c r="M81" s="1">
        <v>80000000</v>
      </c>
      <c r="N81" s="20">
        <v>636484640</v>
      </c>
      <c r="O81" s="20"/>
      <c r="P81" s="17" t="s">
        <v>730</v>
      </c>
      <c r="Q81" s="17"/>
      <c r="R81" s="17" t="s">
        <v>427</v>
      </c>
      <c r="S81" s="17">
        <f>S74+10550000+70900000+1175000</f>
        <v>82625000</v>
      </c>
      <c r="T81" s="17" t="s">
        <v>503</v>
      </c>
      <c r="U81" s="17" t="s">
        <v>455</v>
      </c>
      <c r="V81" s="17" t="s">
        <v>79</v>
      </c>
      <c r="W81" s="45">
        <f>VLOOKUP(V81,'Actor and Actress Success'!$A$1:$B$72,2,FALSE)</f>
        <v>26.373626373626376</v>
      </c>
      <c r="X81" s="35">
        <v>1</v>
      </c>
      <c r="Y81" s="35">
        <f>'Star Economic history'!E8</f>
        <v>0</v>
      </c>
      <c r="Z81" s="17" t="s">
        <v>488</v>
      </c>
      <c r="AA81" s="17"/>
      <c r="AB81" s="45" t="e">
        <f>VLOOKUP(Z81,'Actor and Actress Success'!$A$1:$B$72,2,FALSE)</f>
        <v>#N/A</v>
      </c>
      <c r="AC81" s="35">
        <v>1</v>
      </c>
      <c r="AD81" s="17" t="s">
        <v>69</v>
      </c>
      <c r="AE81" s="17"/>
      <c r="AF81" s="45">
        <f>VLOOKUP(AD81,'Actor and Actress Success'!$A$1:$B$72,2,FALSE)</f>
        <v>46.808510638297875</v>
      </c>
      <c r="AG81" s="35">
        <v>1</v>
      </c>
      <c r="AH81" s="17" t="s">
        <v>466</v>
      </c>
      <c r="AI81" s="17"/>
      <c r="AK81" s="45" t="e">
        <f>VLOOKUP(AH81,'Actor and Actress Success'!$A$1:$B$72,2,FALSE)</f>
        <v>#N/A</v>
      </c>
    </row>
    <row r="82" spans="1:37">
      <c r="A82">
        <v>82</v>
      </c>
      <c r="B82" s="8" t="s">
        <v>157</v>
      </c>
      <c r="C82" s="10">
        <v>1995</v>
      </c>
      <c r="D82" s="12">
        <v>34957</v>
      </c>
      <c r="E82" s="12"/>
      <c r="F82" s="10" t="s">
        <v>178</v>
      </c>
      <c r="G82" s="10" t="s">
        <v>178</v>
      </c>
      <c r="H82" s="10" t="s">
        <v>50</v>
      </c>
      <c r="I82" s="10">
        <v>175</v>
      </c>
      <c r="J82" s="22">
        <v>258</v>
      </c>
      <c r="K82" s="10">
        <v>52.5</v>
      </c>
      <c r="L82" s="1">
        <v>27500000</v>
      </c>
      <c r="M82" s="1">
        <v>80312500</v>
      </c>
      <c r="N82" s="20">
        <v>571650640</v>
      </c>
      <c r="O82" s="20"/>
      <c r="P82" s="17" t="s">
        <v>731</v>
      </c>
      <c r="Q82" s="17"/>
      <c r="R82" s="17" t="s">
        <v>427</v>
      </c>
      <c r="S82" s="17">
        <f>S77+125575000+60625000</f>
        <v>1034375000</v>
      </c>
      <c r="T82" s="17" t="s">
        <v>731</v>
      </c>
      <c r="U82" s="17" t="s">
        <v>877</v>
      </c>
      <c r="V82" s="17" t="s">
        <v>555</v>
      </c>
      <c r="W82" s="45">
        <f>VLOOKUP(V82,'Actor and Actress Success'!$A$1:$B$72,2,FALSE)</f>
        <v>11.607142857142858</v>
      </c>
      <c r="X82" s="35">
        <v>1</v>
      </c>
      <c r="Y82" s="35">
        <f>'Star Economic history'!F9</f>
        <v>25175000</v>
      </c>
      <c r="Z82" s="17" t="s">
        <v>542</v>
      </c>
      <c r="AA82" s="17"/>
      <c r="AB82" s="45" t="e">
        <f>VLOOKUP(Z82,'Actor and Actress Success'!$A$1:$B$72,2,FALSE)</f>
        <v>#N/A</v>
      </c>
      <c r="AC82" s="35">
        <v>1</v>
      </c>
      <c r="AD82" s="17" t="s">
        <v>502</v>
      </c>
      <c r="AE82" s="17"/>
      <c r="AF82" s="45" t="e">
        <f>VLOOKUP(AD82,'Actor and Actress Success'!$A$1:$B$72,2,FALSE)</f>
        <v>#N/A</v>
      </c>
      <c r="AG82" s="35">
        <v>1</v>
      </c>
      <c r="AH82" s="17" t="s">
        <v>732</v>
      </c>
      <c r="AI82" s="17"/>
      <c r="AK82" s="45" t="e">
        <f>VLOOKUP(AH82,'Actor and Actress Success'!$A$1:$B$72,2,FALSE)</f>
        <v>#N/A</v>
      </c>
    </row>
    <row r="83" spans="1:37">
      <c r="A83">
        <v>83</v>
      </c>
      <c r="B83" s="8" t="s">
        <v>158</v>
      </c>
      <c r="C83" s="10">
        <v>1994</v>
      </c>
      <c r="D83" s="12">
        <v>34390</v>
      </c>
      <c r="E83" s="12"/>
      <c r="F83" s="10" t="s">
        <v>178</v>
      </c>
      <c r="G83" s="10" t="s">
        <v>178</v>
      </c>
      <c r="H83" s="10" t="s">
        <v>547</v>
      </c>
      <c r="I83" s="10">
        <v>100</v>
      </c>
      <c r="J83" s="22">
        <v>260</v>
      </c>
      <c r="K83" s="10">
        <v>96.67</v>
      </c>
      <c r="L83" s="1">
        <v>14000000</v>
      </c>
      <c r="M83" s="1">
        <v>54712500</v>
      </c>
      <c r="N83" s="20">
        <v>568872040</v>
      </c>
      <c r="O83" s="20"/>
      <c r="P83" s="17" t="s">
        <v>733</v>
      </c>
      <c r="Q83" s="17"/>
      <c r="R83" s="17" t="s">
        <v>63</v>
      </c>
      <c r="S83" s="17"/>
      <c r="T83" s="17" t="s">
        <v>733</v>
      </c>
      <c r="U83" s="17" t="s">
        <v>878</v>
      </c>
      <c r="V83" s="17" t="s">
        <v>58</v>
      </c>
      <c r="W83" s="45">
        <f>VLOOKUP(V83,'Actor and Actress Success'!$A$1:$B$72,2,FALSE)</f>
        <v>66.666666666666657</v>
      </c>
      <c r="X83" s="35">
        <v>1</v>
      </c>
      <c r="Y83" s="35"/>
      <c r="Z83" s="17" t="s">
        <v>725</v>
      </c>
      <c r="AA83" s="17"/>
      <c r="AB83" s="45" t="e">
        <f>VLOOKUP(Z83,'Actor and Actress Success'!$A$1:$B$72,2,FALSE)</f>
        <v>#N/A</v>
      </c>
      <c r="AC83" s="35"/>
      <c r="AD83" s="17" t="s">
        <v>734</v>
      </c>
      <c r="AE83" s="17"/>
      <c r="AF83" s="45" t="e">
        <f>VLOOKUP(AD83,'Actor and Actress Success'!$A$1:$B$72,2,FALSE)</f>
        <v>#N/A</v>
      </c>
      <c r="AG83" s="35">
        <v>1</v>
      </c>
      <c r="AH83" s="17" t="s">
        <v>396</v>
      </c>
      <c r="AI83" s="17"/>
      <c r="AK83" s="45" t="e">
        <f>VLOOKUP(AH83,'Actor and Actress Success'!$A$1:$B$72,2,FALSE)</f>
        <v>#N/A</v>
      </c>
    </row>
    <row r="84" spans="1:37">
      <c r="A84">
        <v>84</v>
      </c>
      <c r="B84" s="8" t="s">
        <v>159</v>
      </c>
      <c r="C84" s="10">
        <v>1994</v>
      </c>
      <c r="D84" s="12">
        <v>34411</v>
      </c>
      <c r="E84" s="12"/>
      <c r="F84" s="10" t="s">
        <v>178</v>
      </c>
      <c r="G84" s="10" t="s">
        <v>178</v>
      </c>
      <c r="H84" s="10" t="s">
        <v>56</v>
      </c>
      <c r="I84" s="10">
        <v>65</v>
      </c>
      <c r="J84" s="22">
        <v>262</v>
      </c>
      <c r="K84" s="10">
        <v>0</v>
      </c>
      <c r="L84" s="1">
        <v>11000000</v>
      </c>
      <c r="M84" s="1">
        <v>43950000</v>
      </c>
      <c r="N84" s="20">
        <v>497832500</v>
      </c>
      <c r="O84" s="20"/>
      <c r="P84" s="17" t="s">
        <v>735</v>
      </c>
      <c r="Q84" s="17"/>
      <c r="R84" s="17" t="s">
        <v>67</v>
      </c>
      <c r="S84" s="17"/>
      <c r="T84" s="17" t="s">
        <v>735</v>
      </c>
      <c r="U84" s="17" t="s">
        <v>735</v>
      </c>
      <c r="V84" s="17" t="s">
        <v>736</v>
      </c>
      <c r="W84" s="45" t="e">
        <f>VLOOKUP(V84,'Actor and Actress Success'!$A$1:$B$72,2,FALSE)</f>
        <v>#N/A</v>
      </c>
      <c r="X84" s="35">
        <v>1</v>
      </c>
      <c r="Y84" s="35"/>
      <c r="Z84" s="17" t="s">
        <v>737</v>
      </c>
      <c r="AA84" s="17"/>
      <c r="AB84" s="45" t="e">
        <f>VLOOKUP(Z84,'Actor and Actress Success'!$A$1:$B$72,2,FALSE)</f>
        <v>#N/A</v>
      </c>
      <c r="AC84" s="35"/>
      <c r="AD84" s="17" t="s">
        <v>738</v>
      </c>
      <c r="AE84" s="17"/>
      <c r="AF84" s="45" t="e">
        <f>VLOOKUP(AD84,'Actor and Actress Success'!$A$1:$B$72,2,FALSE)</f>
        <v>#N/A</v>
      </c>
      <c r="AG84" s="35"/>
      <c r="AH84" s="17" t="s">
        <v>739</v>
      </c>
      <c r="AI84" s="17"/>
      <c r="AK84" s="45" t="e">
        <f>VLOOKUP(AH84,'Actor and Actress Success'!$A$1:$B$72,2,FALSE)</f>
        <v>#N/A</v>
      </c>
    </row>
    <row r="85" spans="1:37">
      <c r="A85">
        <v>85</v>
      </c>
      <c r="B85" s="8" t="s">
        <v>160</v>
      </c>
      <c r="C85" s="10">
        <v>1997</v>
      </c>
      <c r="D85" s="12">
        <v>35776</v>
      </c>
      <c r="E85" s="12"/>
      <c r="F85" s="10" t="s">
        <v>178</v>
      </c>
      <c r="G85" s="10" t="s">
        <v>178</v>
      </c>
      <c r="H85" s="10" t="s">
        <v>50</v>
      </c>
      <c r="I85" s="10">
        <v>165</v>
      </c>
      <c r="J85" s="22">
        <v>266</v>
      </c>
      <c r="K85" s="10">
        <v>95</v>
      </c>
      <c r="L85" s="1">
        <v>27500000</v>
      </c>
      <c r="M85" s="1">
        <v>86500000</v>
      </c>
      <c r="N85" s="20">
        <v>458561620</v>
      </c>
      <c r="O85" s="20"/>
      <c r="P85" s="17" t="s">
        <v>740</v>
      </c>
      <c r="Q85" s="17"/>
      <c r="R85" s="17" t="s">
        <v>427</v>
      </c>
      <c r="S85" s="17">
        <f>S84+84000000+61000000</f>
        <v>145000000</v>
      </c>
      <c r="T85" s="17" t="s">
        <v>741</v>
      </c>
      <c r="U85" s="17" t="s">
        <v>879</v>
      </c>
      <c r="V85" s="17" t="s">
        <v>555</v>
      </c>
      <c r="W85" s="45">
        <f>VLOOKUP(V85,'Actor and Actress Success'!$A$1:$B$72,2,FALSE)</f>
        <v>11.607142857142858</v>
      </c>
      <c r="X85" s="35">
        <v>1</v>
      </c>
      <c r="Y85" s="35">
        <f>'Star Economic history'!H9</f>
        <v>34229166.666666664</v>
      </c>
      <c r="Z85" s="17" t="s">
        <v>78</v>
      </c>
      <c r="AA85" s="17"/>
      <c r="AB85" s="45">
        <f>VLOOKUP(Z85,'Actor and Actress Success'!$A$1:$B$72,2,FALSE)</f>
        <v>15.238095238095239</v>
      </c>
      <c r="AC85" s="35">
        <v>1</v>
      </c>
      <c r="AD85" s="17" t="s">
        <v>498</v>
      </c>
      <c r="AE85" s="17"/>
      <c r="AF85" s="45" t="e">
        <f>VLOOKUP(AD85,'Actor and Actress Success'!$A$1:$B$72,2,FALSE)</f>
        <v>#N/A</v>
      </c>
      <c r="AG85" s="35">
        <v>1</v>
      </c>
      <c r="AH85" s="17" t="s">
        <v>742</v>
      </c>
      <c r="AI85" s="17"/>
      <c r="AK85" s="45" t="e">
        <f>VLOOKUP(AH85,'Actor and Actress Success'!$A$1:$B$72,2,FALSE)</f>
        <v>#N/A</v>
      </c>
    </row>
    <row r="86" spans="1:37">
      <c r="A86">
        <v>86</v>
      </c>
      <c r="B86" s="8" t="s">
        <v>161</v>
      </c>
      <c r="C86" s="10">
        <v>1999</v>
      </c>
      <c r="D86" s="12">
        <v>36315</v>
      </c>
      <c r="E86" s="12"/>
      <c r="F86" s="10" t="s">
        <v>178</v>
      </c>
      <c r="G86" s="10" t="s">
        <v>178</v>
      </c>
      <c r="H86" s="10" t="s">
        <v>56</v>
      </c>
      <c r="I86" s="10">
        <v>80</v>
      </c>
      <c r="J86" s="22">
        <v>277</v>
      </c>
      <c r="K86" s="10">
        <v>100</v>
      </c>
      <c r="L86" s="1">
        <v>30000000</v>
      </c>
      <c r="M86" s="1">
        <v>103505000</v>
      </c>
      <c r="N86" s="20">
        <v>377426500</v>
      </c>
      <c r="O86" s="20"/>
      <c r="P86" s="17" t="s">
        <v>743</v>
      </c>
      <c r="Q86" s="17"/>
      <c r="R86" s="17" t="s">
        <v>67</v>
      </c>
      <c r="S86" s="17"/>
      <c r="T86" s="17" t="s">
        <v>743</v>
      </c>
      <c r="U86" s="17" t="s">
        <v>880</v>
      </c>
      <c r="V86" s="17" t="s">
        <v>405</v>
      </c>
      <c r="W86" s="45" t="e">
        <f>VLOOKUP(V86,'Actor and Actress Success'!$A$1:$B$72,2,FALSE)</f>
        <v>#N/A</v>
      </c>
      <c r="X86" s="35">
        <v>1</v>
      </c>
      <c r="Y86" s="35"/>
      <c r="Z86" s="17" t="s">
        <v>551</v>
      </c>
      <c r="AA86" s="17"/>
      <c r="AB86" s="45" t="e">
        <f>VLOOKUP(Z86,'Actor and Actress Success'!$A$1:$B$72,2,FALSE)</f>
        <v>#N/A</v>
      </c>
      <c r="AC86" s="35">
        <v>1</v>
      </c>
      <c r="AD86" s="17" t="s">
        <v>17</v>
      </c>
      <c r="AE86" s="17"/>
      <c r="AF86" s="45" t="e">
        <f>VLOOKUP(AD86,'Actor and Actress Success'!$A$1:$B$72,2,FALSE)</f>
        <v>#N/A</v>
      </c>
      <c r="AG86" s="35"/>
      <c r="AH86" s="17" t="s">
        <v>71</v>
      </c>
      <c r="AI86" s="17"/>
      <c r="AK86" s="45" t="e">
        <f>VLOOKUP(AH86,'Actor and Actress Success'!$A$1:$B$72,2,FALSE)</f>
        <v>#N/A</v>
      </c>
    </row>
    <row r="87" spans="1:37">
      <c r="A87">
        <v>87</v>
      </c>
      <c r="B87" s="8" t="s">
        <v>162</v>
      </c>
      <c r="C87" s="10">
        <v>1998</v>
      </c>
      <c r="D87" s="12">
        <v>35867</v>
      </c>
      <c r="E87" s="12"/>
      <c r="F87" s="10" t="s">
        <v>178</v>
      </c>
      <c r="G87" s="10" t="s">
        <v>178</v>
      </c>
      <c r="H87" s="10" t="s">
        <v>50</v>
      </c>
      <c r="I87" s="10">
        <v>150</v>
      </c>
      <c r="J87" s="22">
        <v>282</v>
      </c>
      <c r="K87" s="10">
        <v>90</v>
      </c>
      <c r="L87" s="1">
        <v>20000000</v>
      </c>
      <c r="M87" s="20">
        <v>62910250</v>
      </c>
      <c r="N87" s="20">
        <v>337970380</v>
      </c>
      <c r="O87" s="20"/>
      <c r="P87" s="17" t="s">
        <v>731</v>
      </c>
      <c r="Q87" s="17"/>
      <c r="R87" s="17" t="s">
        <v>744</v>
      </c>
      <c r="S87" s="17">
        <f>S67+49500000+31750000+55750000+25425000</f>
        <v>162425000</v>
      </c>
      <c r="V87" s="17" t="s">
        <v>555</v>
      </c>
      <c r="W87" s="45">
        <f>VLOOKUP(V87,'Actor and Actress Success'!$A$1:$B$72,2,FALSE)</f>
        <v>11.607142857142858</v>
      </c>
      <c r="X87" s="35">
        <v>1</v>
      </c>
      <c r="Y87" s="35">
        <f>'Star Economic history'!I9</f>
        <v>26328571.428571429</v>
      </c>
      <c r="Z87" s="17" t="s">
        <v>745</v>
      </c>
      <c r="AA87" s="17"/>
      <c r="AB87" s="45" t="e">
        <f>VLOOKUP(Z87,'Actor and Actress Success'!$A$1:$B$72,2,FALSE)</f>
        <v>#N/A</v>
      </c>
      <c r="AC87" s="35">
        <v>1</v>
      </c>
      <c r="AD87" s="17" t="s">
        <v>746</v>
      </c>
      <c r="AE87" s="17"/>
      <c r="AF87" s="45" t="e">
        <f>VLOOKUP(AD87,'Actor and Actress Success'!$A$1:$B$72,2,FALSE)</f>
        <v>#N/A</v>
      </c>
      <c r="AG87" s="35"/>
      <c r="AH87" s="17" t="s">
        <v>747</v>
      </c>
      <c r="AI87" s="17"/>
      <c r="AK87" s="45" t="e">
        <f>VLOOKUP(AH87,'Actor and Actress Success'!$A$1:$B$72,2,FALSE)</f>
        <v>#N/A</v>
      </c>
    </row>
    <row r="88" spans="1:37">
      <c r="A88">
        <v>88</v>
      </c>
      <c r="B88" s="8" t="s">
        <v>163</v>
      </c>
      <c r="C88" s="10">
        <v>1997</v>
      </c>
      <c r="D88" s="12">
        <v>35460</v>
      </c>
      <c r="E88" s="12"/>
      <c r="F88" s="10" t="s">
        <v>178</v>
      </c>
      <c r="G88" s="10" t="s">
        <v>178</v>
      </c>
      <c r="H88" s="10" t="s">
        <v>6</v>
      </c>
      <c r="I88" s="10">
        <v>25</v>
      </c>
      <c r="J88" s="22">
        <v>295</v>
      </c>
      <c r="K88" s="10">
        <v>0</v>
      </c>
      <c r="L88" s="1">
        <v>15000000</v>
      </c>
      <c r="M88" s="20">
        <v>57007250</v>
      </c>
      <c r="N88" s="20">
        <v>252945220</v>
      </c>
      <c r="O88" s="20"/>
      <c r="P88" s="17" t="s">
        <v>748</v>
      </c>
      <c r="Q88" s="17"/>
      <c r="R88" s="17" t="s">
        <v>749</v>
      </c>
      <c r="S88" s="17"/>
      <c r="T88" s="17" t="s">
        <v>1878</v>
      </c>
      <c r="U88" s="17" t="s">
        <v>748</v>
      </c>
      <c r="V88" s="17" t="s">
        <v>459</v>
      </c>
      <c r="W88" s="45">
        <f>VLOOKUP(V88,'Actor and Actress Success'!$A$1:$B$72,2,FALSE)</f>
        <v>21.739130434782609</v>
      </c>
      <c r="X88" s="35">
        <v>1</v>
      </c>
      <c r="Y88" s="35"/>
      <c r="Z88" s="17" t="s">
        <v>546</v>
      </c>
      <c r="AA88" s="17"/>
      <c r="AB88" s="45" t="e">
        <f>VLOOKUP(Z88,'Actor and Actress Success'!$A$1:$B$72,2,FALSE)</f>
        <v>#N/A</v>
      </c>
      <c r="AC88" s="35">
        <v>1</v>
      </c>
      <c r="AD88" s="17" t="s">
        <v>750</v>
      </c>
      <c r="AE88" s="17"/>
      <c r="AF88" s="45" t="e">
        <f>VLOOKUP(AD88,'Actor and Actress Success'!$A$1:$B$72,2,FALSE)</f>
        <v>#N/A</v>
      </c>
      <c r="AG88" s="35"/>
      <c r="AH88" s="17" t="s">
        <v>751</v>
      </c>
      <c r="AI88" s="17"/>
      <c r="AK88" s="45" t="e">
        <f>VLOOKUP(AH88,'Actor and Actress Success'!$A$1:$B$72,2,FALSE)</f>
        <v>#N/A</v>
      </c>
    </row>
    <row r="89" spans="1:37">
      <c r="A89">
        <v>89</v>
      </c>
      <c r="B89" s="8" t="s">
        <v>164</v>
      </c>
      <c r="C89" s="10">
        <v>1999</v>
      </c>
      <c r="D89" s="12">
        <v>36371</v>
      </c>
      <c r="E89" s="12"/>
      <c r="F89" s="10" t="s">
        <v>178</v>
      </c>
      <c r="G89" s="10" t="s">
        <v>178</v>
      </c>
      <c r="H89" s="10" t="s">
        <v>50</v>
      </c>
      <c r="I89" s="10">
        <v>50</v>
      </c>
      <c r="J89" s="22">
        <v>303</v>
      </c>
      <c r="K89" s="10">
        <v>75</v>
      </c>
      <c r="L89" s="20">
        <v>4000000</v>
      </c>
      <c r="M89" s="20">
        <v>22773000</v>
      </c>
      <c r="N89" s="20">
        <v>125222240</v>
      </c>
      <c r="O89" s="20"/>
      <c r="P89" s="17" t="s">
        <v>752</v>
      </c>
      <c r="Q89" s="17"/>
      <c r="R89" s="17" t="s">
        <v>753</v>
      </c>
      <c r="S89" s="17"/>
      <c r="T89" s="17" t="s">
        <v>754</v>
      </c>
      <c r="U89" s="17" t="s">
        <v>881</v>
      </c>
      <c r="V89" s="17" t="s">
        <v>468</v>
      </c>
      <c r="W89" s="45">
        <f>VLOOKUP(V89,'Actor and Actress Success'!$A$1:$B$72,2,FALSE)</f>
        <v>14.285714285714285</v>
      </c>
      <c r="X89" s="35">
        <v>1</v>
      </c>
      <c r="Y89" s="35"/>
      <c r="Z89" s="17" t="s">
        <v>755</v>
      </c>
      <c r="AA89" s="17"/>
      <c r="AB89" s="45" t="e">
        <f>VLOOKUP(Z89,'Actor and Actress Success'!$A$1:$B$72,2,FALSE)</f>
        <v>#N/A</v>
      </c>
      <c r="AC89" s="35">
        <v>1</v>
      </c>
      <c r="AD89" s="17" t="s">
        <v>756</v>
      </c>
      <c r="AE89" s="17"/>
      <c r="AF89" s="45" t="e">
        <f>VLOOKUP(AD89,'Actor and Actress Success'!$A$1:$B$72,2,FALSE)</f>
        <v>#N/A</v>
      </c>
      <c r="AG89" s="35"/>
      <c r="AH89" s="17" t="s">
        <v>561</v>
      </c>
      <c r="AI89" s="17"/>
      <c r="AK89" s="45" t="e">
        <f>VLOOKUP(AH89,'Actor and Actress Success'!$A$1:$B$72,2,FALSE)</f>
        <v>#N/A</v>
      </c>
    </row>
    <row r="90" spans="1:37">
      <c r="A90">
        <v>90</v>
      </c>
      <c r="B90" s="8" t="s">
        <v>165</v>
      </c>
      <c r="C90" s="10">
        <v>1998</v>
      </c>
      <c r="D90" s="12">
        <v>36021</v>
      </c>
      <c r="E90" s="12"/>
      <c r="F90" s="10" t="s">
        <v>178</v>
      </c>
      <c r="G90" s="10" t="s">
        <v>178</v>
      </c>
      <c r="H90" s="10" t="s">
        <v>757</v>
      </c>
      <c r="I90" s="10">
        <v>15</v>
      </c>
      <c r="J90" s="22">
        <v>306</v>
      </c>
      <c r="K90" s="10">
        <v>0</v>
      </c>
      <c r="L90" s="20">
        <v>11200000</v>
      </c>
      <c r="M90" s="20">
        <v>11242500</v>
      </c>
      <c r="N90" s="20">
        <v>64093040</v>
      </c>
      <c r="O90" s="20"/>
      <c r="P90" s="17" t="s">
        <v>758</v>
      </c>
      <c r="Q90" s="17"/>
      <c r="R90" s="17" t="s">
        <v>759</v>
      </c>
      <c r="S90" s="17"/>
      <c r="T90" s="17" t="s">
        <v>758</v>
      </c>
      <c r="U90" s="17" t="s">
        <v>882</v>
      </c>
      <c r="V90" s="17" t="s">
        <v>760</v>
      </c>
      <c r="W90" s="45" t="e">
        <f>VLOOKUP(V90,'Actor and Actress Success'!$A$1:$B$72,2,FALSE)</f>
        <v>#N/A</v>
      </c>
      <c r="X90" s="35">
        <v>1</v>
      </c>
      <c r="Y90" s="35"/>
      <c r="Z90" s="17" t="s">
        <v>761</v>
      </c>
      <c r="AA90" s="17"/>
      <c r="AB90" s="45" t="e">
        <f>VLOOKUP(Z90,'Actor and Actress Success'!$A$1:$B$72,2,FALSE)</f>
        <v>#N/A</v>
      </c>
      <c r="AC90" s="35"/>
      <c r="AD90" s="17" t="s">
        <v>755</v>
      </c>
      <c r="AE90" s="17"/>
      <c r="AF90" s="45" t="e">
        <f>VLOOKUP(AD90,'Actor and Actress Success'!$A$1:$B$72,2,FALSE)</f>
        <v>#N/A</v>
      </c>
      <c r="AG90" s="35"/>
      <c r="AH90" s="17" t="s">
        <v>762</v>
      </c>
      <c r="AI90" s="17"/>
      <c r="AK90" s="45" t="e">
        <f>VLOOKUP(AH90,'Actor and Actress Success'!$A$1:$B$72,2,FALSE)</f>
        <v>#N/A</v>
      </c>
    </row>
    <row r="91" spans="1:37">
      <c r="A91">
        <v>91</v>
      </c>
      <c r="B91" s="8" t="s">
        <v>166</v>
      </c>
      <c r="C91" s="10">
        <v>1997</v>
      </c>
      <c r="D91" s="12">
        <v>35538</v>
      </c>
      <c r="E91" s="12"/>
      <c r="F91" s="10" t="s">
        <v>179</v>
      </c>
      <c r="G91" s="10" t="s">
        <v>178</v>
      </c>
      <c r="H91" s="10" t="s">
        <v>50</v>
      </c>
      <c r="I91" s="10">
        <v>275</v>
      </c>
      <c r="J91" s="22">
        <v>308</v>
      </c>
      <c r="K91" s="10">
        <v>43.45</v>
      </c>
      <c r="L91" s="20">
        <v>120000000</v>
      </c>
      <c r="M91" s="20">
        <v>280550000</v>
      </c>
      <c r="N91" s="20">
        <v>1353919160</v>
      </c>
      <c r="O91" s="20"/>
      <c r="P91" s="17" t="s">
        <v>385</v>
      </c>
      <c r="Q91" s="17"/>
      <c r="R91" s="17" t="s">
        <v>387</v>
      </c>
      <c r="S91" s="17"/>
      <c r="T91" s="17" t="s">
        <v>1877</v>
      </c>
      <c r="U91" s="17" t="s">
        <v>385</v>
      </c>
      <c r="V91" s="37" t="s">
        <v>58</v>
      </c>
      <c r="W91" s="45">
        <f>VLOOKUP(V91,'Actor and Actress Success'!$A$1:$B$72,2,FALSE)</f>
        <v>66.666666666666657</v>
      </c>
      <c r="X91" s="35">
        <v>1</v>
      </c>
      <c r="Y91" s="35"/>
      <c r="Z91" s="37" t="s">
        <v>14</v>
      </c>
      <c r="AA91" s="37">
        <f>'Star Economic history'!H2</f>
        <v>67125000</v>
      </c>
      <c r="AB91" s="45">
        <f>VLOOKUP(Z91,'Actor and Actress Success'!$A$1:$B$72,2,FALSE)</f>
        <v>29.166666666666668</v>
      </c>
      <c r="AC91" s="35">
        <v>1</v>
      </c>
      <c r="AD91" s="17" t="s">
        <v>60</v>
      </c>
      <c r="AE91" s="17"/>
      <c r="AF91" s="45" t="e">
        <f>VLOOKUP(AD91,'Actor and Actress Success'!$A$1:$B$72,2,FALSE)</f>
        <v>#N/A</v>
      </c>
      <c r="AG91" s="35"/>
      <c r="AH91" s="17" t="s">
        <v>763</v>
      </c>
      <c r="AI91" s="17"/>
      <c r="AK91" s="45" t="e">
        <f>VLOOKUP(AH91,'Actor and Actress Success'!$A$1:$B$72,2,FALSE)</f>
        <v>#N/A</v>
      </c>
    </row>
    <row r="92" spans="1:37">
      <c r="A92">
        <v>92</v>
      </c>
      <c r="B92" s="8" t="s">
        <v>167</v>
      </c>
      <c r="C92" s="10">
        <v>1999</v>
      </c>
      <c r="D92" s="12">
        <v>36350</v>
      </c>
      <c r="E92" s="12"/>
      <c r="F92" s="10" t="s">
        <v>179</v>
      </c>
      <c r="G92" s="10" t="s">
        <v>178</v>
      </c>
      <c r="H92" s="10" t="s">
        <v>56</v>
      </c>
      <c r="I92" s="10">
        <v>260</v>
      </c>
      <c r="J92" s="22">
        <v>310</v>
      </c>
      <c r="K92" s="10">
        <v>52.35</v>
      </c>
      <c r="L92" s="20">
        <v>140000000</v>
      </c>
      <c r="M92" s="20">
        <v>354562500</v>
      </c>
      <c r="N92" s="20">
        <v>1109865460</v>
      </c>
      <c r="O92" s="20"/>
      <c r="P92" s="17" t="s">
        <v>764</v>
      </c>
      <c r="Q92" s="17"/>
      <c r="R92" s="17" t="s">
        <v>765</v>
      </c>
      <c r="S92" s="17"/>
      <c r="T92" s="17" t="s">
        <v>766</v>
      </c>
      <c r="U92" s="17" t="s">
        <v>846</v>
      </c>
      <c r="V92" s="17" t="s">
        <v>73</v>
      </c>
      <c r="W92" s="45">
        <f>VLOOKUP(V92,'Actor and Actress Success'!$A$1:$B$72,2,FALSE)</f>
        <v>65.384615384615387</v>
      </c>
      <c r="X92" s="35">
        <v>1</v>
      </c>
      <c r="Y92" s="35"/>
      <c r="Z92" s="17" t="s">
        <v>416</v>
      </c>
      <c r="AA92" s="17"/>
      <c r="AB92" s="45">
        <f>VLOOKUP(Z92,'Actor and Actress Success'!$A$1:$B$72,2,FALSE)</f>
        <v>14.035087719298245</v>
      </c>
      <c r="AC92" s="35">
        <v>1</v>
      </c>
      <c r="AD92" s="17" t="s">
        <v>767</v>
      </c>
      <c r="AE92" s="17"/>
      <c r="AF92" s="45" t="e">
        <f>VLOOKUP(AD92,'Actor and Actress Success'!$A$1:$B$72,2,FALSE)</f>
        <v>#N/A</v>
      </c>
      <c r="AG92" s="35"/>
      <c r="AH92" s="17" t="s">
        <v>768</v>
      </c>
      <c r="AI92" s="17"/>
      <c r="AK92" s="45" t="e">
        <f>VLOOKUP(AH92,'Actor and Actress Success'!$A$1:$B$72,2,FALSE)</f>
        <v>#N/A</v>
      </c>
    </row>
    <row r="93" spans="1:37">
      <c r="A93">
        <v>93</v>
      </c>
      <c r="B93" s="8" t="s">
        <v>168</v>
      </c>
      <c r="C93" s="10">
        <v>1994</v>
      </c>
      <c r="D93" s="12">
        <v>34502</v>
      </c>
      <c r="E93" s="12"/>
      <c r="F93" s="10" t="s">
        <v>179</v>
      </c>
      <c r="G93" s="10" t="s">
        <v>178</v>
      </c>
      <c r="H93" s="10" t="s">
        <v>50</v>
      </c>
      <c r="I93" s="10">
        <v>210</v>
      </c>
      <c r="J93" s="22">
        <v>313</v>
      </c>
      <c r="K93" s="10">
        <v>90</v>
      </c>
      <c r="L93" s="20">
        <v>40000000</v>
      </c>
      <c r="M93" s="20">
        <v>122697500</v>
      </c>
      <c r="N93" s="20">
        <v>1086247360</v>
      </c>
      <c r="O93" s="20"/>
      <c r="P93" s="17" t="s">
        <v>769</v>
      </c>
      <c r="Q93" s="17"/>
      <c r="R93" s="17" t="s">
        <v>67</v>
      </c>
      <c r="S93" s="17"/>
      <c r="T93" s="17" t="s">
        <v>1876</v>
      </c>
      <c r="U93" s="17" t="s">
        <v>883</v>
      </c>
      <c r="V93" s="17" t="s">
        <v>511</v>
      </c>
      <c r="W93" s="45">
        <f>VLOOKUP(V93,'Actor and Actress Success'!$A$1:$B$72,2,FALSE)</f>
        <v>27.397260273972602</v>
      </c>
      <c r="X93" s="35">
        <v>1</v>
      </c>
      <c r="Y93" s="35"/>
      <c r="Z93" s="17" t="s">
        <v>534</v>
      </c>
      <c r="AA93" s="17"/>
      <c r="AB93" s="45" t="e">
        <f>VLOOKUP(Z93,'Actor and Actress Success'!$A$1:$B$72,2,FALSE)</f>
        <v>#N/A</v>
      </c>
      <c r="AC93" s="35"/>
      <c r="AD93" s="17" t="s">
        <v>398</v>
      </c>
      <c r="AE93" s="17"/>
      <c r="AF93" s="45">
        <f>VLOOKUP(AD93,'Actor and Actress Success'!$A$1:$B$72,2,FALSE)</f>
        <v>21.052631578947366</v>
      </c>
      <c r="AG93" s="35">
        <v>1</v>
      </c>
      <c r="AH93" s="17" t="s">
        <v>69</v>
      </c>
      <c r="AI93" s="17"/>
      <c r="AJ93" s="34">
        <v>1</v>
      </c>
      <c r="AK93" s="45">
        <f>VLOOKUP(AH93,'Actor and Actress Success'!$A$1:$B$72,2,FALSE)</f>
        <v>46.808510638297875</v>
      </c>
    </row>
    <row r="94" spans="1:37">
      <c r="A94">
        <v>94</v>
      </c>
      <c r="B94" s="8" t="s">
        <v>169</v>
      </c>
      <c r="C94" s="10">
        <v>1999</v>
      </c>
      <c r="D94" s="12">
        <v>36364</v>
      </c>
      <c r="E94" s="12"/>
      <c r="F94" s="10" t="s">
        <v>179</v>
      </c>
      <c r="G94" s="10" t="s">
        <v>178</v>
      </c>
      <c r="H94" s="22" t="s">
        <v>50</v>
      </c>
      <c r="I94" s="22">
        <v>335</v>
      </c>
      <c r="J94" s="22">
        <v>314</v>
      </c>
      <c r="K94" s="10">
        <v>0</v>
      </c>
      <c r="L94" s="20">
        <v>130000000</v>
      </c>
      <c r="M94" s="1">
        <v>266470000</v>
      </c>
      <c r="N94" s="1">
        <v>1051422240</v>
      </c>
      <c r="O94" s="1"/>
      <c r="P94" s="17" t="s">
        <v>770</v>
      </c>
      <c r="Q94" s="17"/>
      <c r="R94" s="17" t="s">
        <v>771</v>
      </c>
      <c r="S94" s="17"/>
      <c r="T94" s="17" t="s">
        <v>770</v>
      </c>
      <c r="U94" s="17" t="s">
        <v>884</v>
      </c>
      <c r="V94" s="17" t="s">
        <v>497</v>
      </c>
      <c r="W94" s="45">
        <f>VLOOKUP(V94,'Actor and Actress Success'!$A$1:$B$72,2,FALSE)</f>
        <v>33.333333333333329</v>
      </c>
      <c r="X94" s="35">
        <v>1</v>
      </c>
      <c r="Y94" s="35"/>
      <c r="Z94" s="17" t="s">
        <v>429</v>
      </c>
      <c r="AA94" s="17"/>
      <c r="AB94" s="45">
        <f>VLOOKUP(Z94,'Actor and Actress Success'!$A$1:$B$72,2,FALSE)</f>
        <v>39.285714285714285</v>
      </c>
      <c r="AC94" s="35">
        <v>1</v>
      </c>
      <c r="AD94" s="17" t="s">
        <v>416</v>
      </c>
      <c r="AE94" s="17"/>
      <c r="AF94" s="45">
        <f>VLOOKUP(AD94,'Actor and Actress Success'!$A$1:$B$72,2,FALSE)</f>
        <v>14.035087719298245</v>
      </c>
      <c r="AG94" s="35">
        <v>1</v>
      </c>
      <c r="AH94" s="17" t="s">
        <v>772</v>
      </c>
      <c r="AI94" s="17"/>
      <c r="AJ94" s="34">
        <v>1</v>
      </c>
      <c r="AK94" s="45">
        <f>VLOOKUP(AH94,'Actor and Actress Success'!$A$1:$B$72,2,FALSE)</f>
        <v>20.833333333333336</v>
      </c>
    </row>
    <row r="95" spans="1:37">
      <c r="A95">
        <v>95</v>
      </c>
      <c r="B95" s="8" t="s">
        <v>170</v>
      </c>
      <c r="C95" s="10">
        <v>1999</v>
      </c>
      <c r="D95" s="12">
        <v>36399</v>
      </c>
      <c r="E95" s="12"/>
      <c r="F95" s="10" t="s">
        <v>179</v>
      </c>
      <c r="G95" s="10" t="s">
        <v>178</v>
      </c>
      <c r="H95" s="22" t="s">
        <v>439</v>
      </c>
      <c r="I95" s="22">
        <v>280</v>
      </c>
      <c r="J95" s="22">
        <v>315</v>
      </c>
      <c r="K95" s="10">
        <v>47.25</v>
      </c>
      <c r="L95" s="20">
        <v>110000000</v>
      </c>
      <c r="M95" s="1">
        <v>316050000</v>
      </c>
      <c r="N95" s="1">
        <v>1021598600</v>
      </c>
      <c r="O95" s="1"/>
      <c r="P95" s="17" t="s">
        <v>448</v>
      </c>
      <c r="Q95" s="17"/>
      <c r="R95" s="17" t="s">
        <v>430</v>
      </c>
      <c r="S95" s="17"/>
      <c r="T95" s="17" t="s">
        <v>1875</v>
      </c>
      <c r="U95" s="17" t="s">
        <v>885</v>
      </c>
      <c r="V95" s="17" t="s">
        <v>76</v>
      </c>
      <c r="W95" s="45" t="e">
        <f>VLOOKUP(V95,'Actor and Actress Success'!$A$1:$B$72,2,FALSE)</f>
        <v>#N/A</v>
      </c>
      <c r="X95" s="35"/>
      <c r="Y95" s="35"/>
      <c r="Z95" s="17" t="s">
        <v>58</v>
      </c>
      <c r="AA95" s="17"/>
      <c r="AB95" s="45">
        <f>VLOOKUP(Z95,'Actor and Actress Success'!$A$1:$B$72,2,FALSE)</f>
        <v>66.666666666666657</v>
      </c>
      <c r="AC95" s="35">
        <v>1</v>
      </c>
      <c r="AD95" s="17" t="s">
        <v>436</v>
      </c>
      <c r="AE95" s="17"/>
      <c r="AF95" s="45" t="e">
        <f>VLOOKUP(AD95,'Actor and Actress Success'!$A$1:$B$72,2,FALSE)</f>
        <v>#N/A</v>
      </c>
      <c r="AG95" s="35">
        <v>1</v>
      </c>
      <c r="AH95" s="17" t="s">
        <v>60</v>
      </c>
      <c r="AI95" s="17"/>
      <c r="AK95" s="45" t="e">
        <f>VLOOKUP(AH95,'Actor and Actress Success'!$A$1:$B$72,2,FALSE)</f>
        <v>#N/A</v>
      </c>
    </row>
    <row r="96" spans="1:37">
      <c r="A96">
        <v>96</v>
      </c>
      <c r="B96" s="8" t="s">
        <v>171</v>
      </c>
      <c r="C96" s="10">
        <v>1998</v>
      </c>
      <c r="D96" s="12">
        <v>36126</v>
      </c>
      <c r="E96" s="12"/>
      <c r="F96" s="10" t="s">
        <v>179</v>
      </c>
      <c r="G96" s="10" t="s">
        <v>178</v>
      </c>
      <c r="H96" s="22" t="s">
        <v>50</v>
      </c>
      <c r="I96" s="22">
        <v>200</v>
      </c>
      <c r="J96" s="22">
        <v>318</v>
      </c>
      <c r="K96" s="10">
        <v>80</v>
      </c>
      <c r="L96" s="20">
        <v>92500000</v>
      </c>
      <c r="M96" s="1">
        <v>223025000</v>
      </c>
      <c r="N96" s="20">
        <v>964637300</v>
      </c>
      <c r="O96" s="20"/>
      <c r="P96" s="17" t="s">
        <v>434</v>
      </c>
      <c r="Q96" s="17"/>
      <c r="R96" s="17" t="s">
        <v>430</v>
      </c>
      <c r="S96" s="17"/>
      <c r="T96" s="17" t="s">
        <v>1874</v>
      </c>
      <c r="U96" s="17" t="s">
        <v>434</v>
      </c>
      <c r="V96" s="17" t="s">
        <v>546</v>
      </c>
      <c r="W96" s="45" t="e">
        <f>VLOOKUP(V96,'Actor and Actress Success'!$A$1:$B$72,2,FALSE)</f>
        <v>#N/A</v>
      </c>
      <c r="X96" s="35">
        <v>1</v>
      </c>
      <c r="Y96" s="35"/>
      <c r="Z96" s="17" t="s">
        <v>396</v>
      </c>
      <c r="AA96" s="17"/>
      <c r="AB96" s="45" t="e">
        <f>VLOOKUP(Z96,'Actor and Actress Success'!$A$1:$B$72,2,FALSE)</f>
        <v>#N/A</v>
      </c>
      <c r="AC96" s="35">
        <v>1</v>
      </c>
      <c r="AD96" s="17" t="s">
        <v>462</v>
      </c>
      <c r="AE96" s="17"/>
      <c r="AF96" s="45" t="e">
        <f>VLOOKUP(AD96,'Actor and Actress Success'!$A$1:$B$72,2,FALSE)</f>
        <v>#N/A</v>
      </c>
      <c r="AG96" s="35"/>
      <c r="AH96" s="17" t="s">
        <v>60</v>
      </c>
      <c r="AI96" s="17"/>
      <c r="AK96" s="45" t="e">
        <f>VLOOKUP(AH96,'Actor and Actress Success'!$A$1:$B$72,2,FALSE)</f>
        <v>#N/A</v>
      </c>
    </row>
    <row r="97" spans="1:37">
      <c r="A97">
        <v>97</v>
      </c>
      <c r="B97" s="8" t="s">
        <v>172</v>
      </c>
      <c r="C97" s="10">
        <v>1996</v>
      </c>
      <c r="D97" s="12">
        <v>35279</v>
      </c>
      <c r="E97" s="12"/>
      <c r="F97" s="10" t="s">
        <v>179</v>
      </c>
      <c r="G97" s="10" t="s">
        <v>178</v>
      </c>
      <c r="H97" s="22" t="s">
        <v>50</v>
      </c>
      <c r="I97" s="22">
        <v>230</v>
      </c>
      <c r="J97" s="22">
        <v>320</v>
      </c>
      <c r="K97" s="10">
        <v>70</v>
      </c>
      <c r="L97" s="20">
        <v>62500000</v>
      </c>
      <c r="M97" s="1">
        <v>156102500</v>
      </c>
      <c r="N97" s="20">
        <v>925459040</v>
      </c>
      <c r="O97" s="20"/>
      <c r="P97" s="17" t="s">
        <v>774</v>
      </c>
      <c r="Q97" s="17"/>
      <c r="R97" s="17" t="s">
        <v>430</v>
      </c>
      <c r="S97" s="17"/>
      <c r="T97" s="17" t="s">
        <v>571</v>
      </c>
      <c r="U97" s="17" t="s">
        <v>571</v>
      </c>
      <c r="V97" s="17" t="s">
        <v>79</v>
      </c>
      <c r="W97" s="45">
        <f>VLOOKUP(V97,'Actor and Actress Success'!$A$1:$B$72,2,FALSE)</f>
        <v>26.373626373626376</v>
      </c>
      <c r="X97" s="35">
        <v>1</v>
      </c>
      <c r="Y97" s="35">
        <f>'Star Economic history'!G8</f>
        <v>35943750</v>
      </c>
      <c r="Z97" s="17" t="s">
        <v>69</v>
      </c>
      <c r="AA97" s="17"/>
      <c r="AB97" s="45">
        <f>VLOOKUP(Z97,'Actor and Actress Success'!$A$1:$B$72,2,FALSE)</f>
        <v>46.808510638297875</v>
      </c>
      <c r="AC97" s="35">
        <v>1</v>
      </c>
      <c r="AD97" s="17" t="s">
        <v>465</v>
      </c>
      <c r="AE97" s="17"/>
      <c r="AF97" s="45" t="e">
        <f>VLOOKUP(AD97,'Actor and Actress Success'!$A$1:$B$72,2,FALSE)</f>
        <v>#N/A</v>
      </c>
      <c r="AG97" s="35"/>
      <c r="AH97" s="17" t="s">
        <v>775</v>
      </c>
      <c r="AI97" s="17"/>
      <c r="AK97" s="45" t="e">
        <f>VLOOKUP(AH97,'Actor and Actress Success'!$A$1:$B$72,2,FALSE)</f>
        <v>#N/A</v>
      </c>
    </row>
    <row r="98" spans="1:37">
      <c r="A98">
        <v>98</v>
      </c>
      <c r="B98" s="8" t="s">
        <v>173</v>
      </c>
      <c r="C98" s="10">
        <v>1996</v>
      </c>
      <c r="D98" s="12">
        <v>35426</v>
      </c>
      <c r="E98" s="12"/>
      <c r="F98" s="10" t="s">
        <v>179</v>
      </c>
      <c r="G98" s="10" t="s">
        <v>178</v>
      </c>
      <c r="H98" s="22" t="s">
        <v>50</v>
      </c>
      <c r="I98" s="22">
        <v>225</v>
      </c>
      <c r="J98" s="22">
        <v>322</v>
      </c>
      <c r="K98" s="10">
        <v>0</v>
      </c>
      <c r="L98" s="20">
        <v>60000000</v>
      </c>
      <c r="M98" s="1">
        <v>168011250</v>
      </c>
      <c r="N98" s="20">
        <v>923606640</v>
      </c>
      <c r="O98" s="20"/>
      <c r="P98" s="17" t="s">
        <v>711</v>
      </c>
      <c r="Q98" s="17"/>
      <c r="R98" s="17" t="s">
        <v>427</v>
      </c>
      <c r="S98" s="17">
        <f>S96+69575000+65850000+43950000+31200000+25200000+39250000+66150000</f>
        <v>341175000</v>
      </c>
      <c r="T98" s="17" t="s">
        <v>1873</v>
      </c>
      <c r="U98" s="17" t="s">
        <v>863</v>
      </c>
      <c r="V98" s="17" t="s">
        <v>77</v>
      </c>
      <c r="W98" s="45">
        <f>VLOOKUP(V98,'Actor and Actress Success'!$A$1:$B$72,2,FALSE)</f>
        <v>23.404255319148938</v>
      </c>
      <c r="X98" s="35">
        <v>1</v>
      </c>
      <c r="Y98" s="35"/>
      <c r="Z98" s="17" t="s">
        <v>69</v>
      </c>
      <c r="AA98" s="17"/>
      <c r="AB98" s="45">
        <f>VLOOKUP(Z98,'Actor and Actress Success'!$A$1:$B$72,2,FALSE)</f>
        <v>46.808510638297875</v>
      </c>
      <c r="AC98" s="35">
        <v>1</v>
      </c>
      <c r="AD98" s="17" t="s">
        <v>776</v>
      </c>
      <c r="AE98" s="17"/>
      <c r="AF98" s="45" t="e">
        <f>VLOOKUP(AD98,'Actor and Actress Success'!$A$1:$B$72,2,FALSE)</f>
        <v>#N/A</v>
      </c>
      <c r="AG98" s="35"/>
      <c r="AH98" s="17" t="s">
        <v>70</v>
      </c>
      <c r="AI98" s="17"/>
      <c r="AK98" s="45" t="e">
        <f>VLOOKUP(AH98,'Actor and Actress Success'!$A$1:$B$72,2,FALSE)</f>
        <v>#N/A</v>
      </c>
    </row>
    <row r="99" spans="1:37">
      <c r="A99">
        <v>99</v>
      </c>
      <c r="B99" s="8" t="s">
        <v>174</v>
      </c>
      <c r="C99" s="10">
        <v>1999</v>
      </c>
      <c r="D99" s="12">
        <v>36392</v>
      </c>
      <c r="E99" s="12"/>
      <c r="F99" s="10" t="s">
        <v>179</v>
      </c>
      <c r="G99" s="10" t="s">
        <v>178</v>
      </c>
      <c r="H99" s="22" t="s">
        <v>50</v>
      </c>
      <c r="I99" s="22">
        <v>265</v>
      </c>
      <c r="J99" s="22">
        <v>327</v>
      </c>
      <c r="K99" s="10">
        <v>65</v>
      </c>
      <c r="L99" s="20">
        <v>95000000</v>
      </c>
      <c r="M99" s="20">
        <v>200655000</v>
      </c>
      <c r="N99" s="20">
        <v>844509160</v>
      </c>
      <c r="O99" s="20"/>
      <c r="P99" s="17" t="s">
        <v>777</v>
      </c>
      <c r="Q99" s="17"/>
      <c r="R99" s="17" t="s">
        <v>779</v>
      </c>
      <c r="S99" s="17"/>
      <c r="T99" s="17" t="s">
        <v>778</v>
      </c>
      <c r="U99" s="17"/>
      <c r="V99" s="17" t="s">
        <v>77</v>
      </c>
      <c r="W99" s="45">
        <f>VLOOKUP(V99,'Actor and Actress Success'!$A$1:$B$72,2,FALSE)</f>
        <v>23.404255319148938</v>
      </c>
      <c r="X99" s="35">
        <v>1</v>
      </c>
      <c r="Y99" s="35"/>
      <c r="Z99" s="17" t="s">
        <v>410</v>
      </c>
      <c r="AA99" s="17"/>
      <c r="AB99" s="45">
        <f>VLOOKUP(Z99,'Actor and Actress Success'!$A$1:$B$72,2,FALSE)</f>
        <v>27.659574468085108</v>
      </c>
      <c r="AC99" s="35">
        <v>1</v>
      </c>
      <c r="AD99" s="17" t="s">
        <v>516</v>
      </c>
      <c r="AE99" s="17"/>
      <c r="AF99" s="45" t="e">
        <f>VLOOKUP(AD99,'Actor and Actress Success'!$A$1:$B$72,2,FALSE)</f>
        <v>#N/A</v>
      </c>
      <c r="AG99" s="35"/>
      <c r="AH99" s="17" t="s">
        <v>501</v>
      </c>
      <c r="AI99" s="17"/>
      <c r="AK99" s="45" t="e">
        <f>VLOOKUP(AH99,'Actor and Actress Success'!$A$1:$B$72,2,FALSE)</f>
        <v>#N/A</v>
      </c>
    </row>
    <row r="100" spans="1:37">
      <c r="A100">
        <v>100</v>
      </c>
      <c r="B100" s="8" t="s">
        <v>175</v>
      </c>
      <c r="C100" s="10">
        <v>1994</v>
      </c>
      <c r="D100" s="12">
        <v>34446</v>
      </c>
      <c r="E100" s="12"/>
      <c r="F100" s="10" t="s">
        <v>179</v>
      </c>
      <c r="G100" s="10" t="s">
        <v>178</v>
      </c>
      <c r="H100" s="22" t="s">
        <v>6</v>
      </c>
      <c r="I100" s="22">
        <v>170</v>
      </c>
      <c r="J100" s="22">
        <v>332</v>
      </c>
      <c r="K100" s="10">
        <v>85</v>
      </c>
      <c r="L100" s="20">
        <v>26500000</v>
      </c>
      <c r="M100" s="1">
        <v>96668750</v>
      </c>
      <c r="N100" s="20">
        <v>820057840</v>
      </c>
      <c r="O100" s="20"/>
      <c r="P100" s="17" t="s">
        <v>780</v>
      </c>
      <c r="Q100" s="17"/>
      <c r="R100" s="17" t="s">
        <v>427</v>
      </c>
      <c r="S100" s="17">
        <f>S86+29650000+15750000</f>
        <v>45400000</v>
      </c>
      <c r="T100" s="17" t="s">
        <v>781</v>
      </c>
      <c r="U100" s="17" t="s">
        <v>886</v>
      </c>
      <c r="V100" s="37" t="s">
        <v>14</v>
      </c>
      <c r="W100" s="45">
        <f>VLOOKUP(V100,'Actor and Actress Success'!$A$1:$B$72,2,FALSE)</f>
        <v>29.166666666666668</v>
      </c>
      <c r="X100" s="35">
        <v>1</v>
      </c>
      <c r="Y100" s="34">
        <f>'Star Economic history'!E2</f>
        <v>16300000</v>
      </c>
      <c r="Z100" s="37" t="s">
        <v>58</v>
      </c>
      <c r="AA100" s="37"/>
      <c r="AB100" s="45">
        <f>VLOOKUP(Z100,'Actor and Actress Success'!$A$1:$B$72,2,FALSE)</f>
        <v>66.666666666666657</v>
      </c>
      <c r="AC100" s="35">
        <v>1</v>
      </c>
      <c r="AD100" s="17" t="s">
        <v>725</v>
      </c>
      <c r="AE100" s="17"/>
      <c r="AF100" s="45" t="e">
        <f>VLOOKUP(AD100,'Actor and Actress Success'!$A$1:$B$72,2,FALSE)</f>
        <v>#N/A</v>
      </c>
      <c r="AG100" s="35"/>
      <c r="AH100" s="17" t="s">
        <v>775</v>
      </c>
      <c r="AI100" s="17"/>
      <c r="AK100" s="45" t="e">
        <f>VLOOKUP(AH100,'Actor and Actress Success'!$A$1:$B$72,2,FALSE)</f>
        <v>#N/A</v>
      </c>
    </row>
    <row r="101" spans="1:37">
      <c r="A101">
        <v>101</v>
      </c>
      <c r="B101" s="8" t="s">
        <v>183</v>
      </c>
      <c r="C101" s="10">
        <v>2001</v>
      </c>
      <c r="D101" s="12">
        <v>37057</v>
      </c>
      <c r="E101" s="12"/>
      <c r="F101" s="10" t="s">
        <v>47</v>
      </c>
      <c r="G101" s="10" t="s">
        <v>82</v>
      </c>
      <c r="H101" s="22" t="s">
        <v>50</v>
      </c>
      <c r="I101" s="22">
        <v>350</v>
      </c>
      <c r="J101" s="22">
        <v>2</v>
      </c>
      <c r="K101" s="10">
        <v>57.93</v>
      </c>
      <c r="L101" s="20">
        <v>190000000</v>
      </c>
      <c r="M101" s="20">
        <v>1331250000</v>
      </c>
      <c r="N101" s="20">
        <v>4684071260</v>
      </c>
      <c r="O101" s="20"/>
      <c r="P101" s="17" t="s">
        <v>782</v>
      </c>
      <c r="Q101" s="17"/>
      <c r="R101" s="17" t="s">
        <v>391</v>
      </c>
      <c r="S101" s="17"/>
      <c r="T101" s="17" t="s">
        <v>783</v>
      </c>
      <c r="U101" s="17" t="s">
        <v>887</v>
      </c>
      <c r="V101" s="17" t="s">
        <v>77</v>
      </c>
      <c r="W101" s="45">
        <f>VLOOKUP(V101,'Actor and Actress Success'!$A$1:$B$72,2,FALSE)</f>
        <v>23.404255319148938</v>
      </c>
      <c r="X101" s="35">
        <v>1</v>
      </c>
      <c r="Y101" s="35"/>
      <c r="Z101" s="17" t="s">
        <v>784</v>
      </c>
      <c r="AA101" s="17"/>
      <c r="AB101" s="45">
        <f>VLOOKUP(Z101,'Actor and Actress Success'!$A$1:$B$72,2,FALSE)</f>
        <v>26.923076923076923</v>
      </c>
      <c r="AC101" s="35">
        <v>1</v>
      </c>
      <c r="AD101" s="17" t="s">
        <v>60</v>
      </c>
      <c r="AE101" s="17"/>
      <c r="AF101" s="45" t="e">
        <f>VLOOKUP(AD101,'Actor and Actress Success'!$A$1:$B$72,2,FALSE)</f>
        <v>#N/A</v>
      </c>
      <c r="AG101" s="35"/>
      <c r="AH101" s="17" t="s">
        <v>785</v>
      </c>
      <c r="AI101" s="17"/>
      <c r="AK101" s="45" t="e">
        <f>VLOOKUP(AH101,'Actor and Actress Success'!$A$1:$B$72,2,FALSE)</f>
        <v>#N/A</v>
      </c>
    </row>
    <row r="102" spans="1:37">
      <c r="A102">
        <v>102</v>
      </c>
      <c r="B102" s="8" t="s">
        <v>184</v>
      </c>
      <c r="C102" s="10">
        <v>2009</v>
      </c>
      <c r="D102" s="12">
        <v>40171</v>
      </c>
      <c r="E102" s="12"/>
      <c r="F102" s="10" t="s">
        <v>47</v>
      </c>
      <c r="G102" s="10" t="s">
        <v>82</v>
      </c>
      <c r="H102" s="22" t="s">
        <v>6</v>
      </c>
      <c r="I102" s="22">
        <v>1750</v>
      </c>
      <c r="J102" s="22">
        <v>9</v>
      </c>
      <c r="K102" s="10">
        <v>69.86</v>
      </c>
      <c r="L102" s="20">
        <v>770000000</v>
      </c>
      <c r="M102" s="20">
        <v>3909070000</v>
      </c>
      <c r="N102" s="20">
        <v>2943926700</v>
      </c>
      <c r="O102" s="20"/>
      <c r="P102" s="17" t="s">
        <v>786</v>
      </c>
      <c r="Q102" s="17"/>
      <c r="R102" s="17" t="s">
        <v>787</v>
      </c>
      <c r="S102" s="17"/>
      <c r="T102" s="17" t="s">
        <v>1872</v>
      </c>
      <c r="U102" s="17" t="s">
        <v>890</v>
      </c>
      <c r="V102" s="17" t="s">
        <v>73</v>
      </c>
      <c r="W102" s="45">
        <f>VLOOKUP(V102,'Actor and Actress Success'!$A$1:$B$72,2,FALSE)</f>
        <v>65.384615384615387</v>
      </c>
      <c r="X102" s="35">
        <v>1</v>
      </c>
      <c r="Y102" s="35"/>
      <c r="Z102" s="17" t="s">
        <v>788</v>
      </c>
      <c r="AA102" s="17"/>
      <c r="AB102" s="45">
        <f>VLOOKUP(Z102,'Actor and Actress Success'!$A$1:$B$72,2,FALSE)</f>
        <v>45.652173913043477</v>
      </c>
      <c r="AC102" s="35">
        <v>1</v>
      </c>
      <c r="AD102" s="17" t="s">
        <v>789</v>
      </c>
      <c r="AE102" s="17"/>
      <c r="AF102" s="45" t="e">
        <f>VLOOKUP(AD102,'Actor and Actress Success'!$A$1:$B$72,2,FALSE)</f>
        <v>#N/A</v>
      </c>
      <c r="AG102" s="35">
        <v>1</v>
      </c>
      <c r="AH102" s="17" t="s">
        <v>790</v>
      </c>
      <c r="AI102" s="17"/>
      <c r="AJ102" s="34">
        <v>1</v>
      </c>
      <c r="AK102" s="45" t="e">
        <f>VLOOKUP(AH102,'Actor and Actress Success'!$A$1:$B$72,2,FALSE)</f>
        <v>#N/A</v>
      </c>
    </row>
    <row r="103" spans="1:37">
      <c r="A103">
        <v>103</v>
      </c>
      <c r="B103" s="8" t="s">
        <v>185</v>
      </c>
      <c r="C103" s="10">
        <v>2001</v>
      </c>
      <c r="D103" s="12">
        <v>37239</v>
      </c>
      <c r="E103" s="12"/>
      <c r="F103" s="10" t="s">
        <v>82</v>
      </c>
      <c r="G103" s="10" t="s">
        <v>82</v>
      </c>
      <c r="H103" s="22" t="s">
        <v>6</v>
      </c>
      <c r="I103" s="22">
        <v>500</v>
      </c>
      <c r="J103" s="22">
        <v>12</v>
      </c>
      <c r="K103" s="10">
        <v>66.88</v>
      </c>
      <c r="L103" s="20">
        <v>400000000</v>
      </c>
      <c r="M103" s="20">
        <v>1355300000</v>
      </c>
      <c r="N103" s="20">
        <v>2887243260</v>
      </c>
      <c r="O103" s="20"/>
      <c r="P103" s="17" t="s">
        <v>382</v>
      </c>
      <c r="Q103" s="17"/>
      <c r="R103" s="21" t="s">
        <v>793</v>
      </c>
      <c r="S103" s="21"/>
      <c r="T103" s="17" t="s">
        <v>382</v>
      </c>
      <c r="U103" s="17" t="s">
        <v>382</v>
      </c>
      <c r="V103" s="17" t="s">
        <v>497</v>
      </c>
      <c r="W103" s="45">
        <f>VLOOKUP(V103,'Actor and Actress Success'!$A$1:$B$72,2,FALSE)</f>
        <v>33.333333333333329</v>
      </c>
      <c r="X103" s="35">
        <v>1</v>
      </c>
      <c r="Y103" s="35"/>
      <c r="Z103" s="17" t="s">
        <v>792</v>
      </c>
      <c r="AA103" s="17"/>
      <c r="AB103" s="45" t="e">
        <f>VLOOKUP(Z103,'Actor and Actress Success'!$A$1:$B$72,2,FALSE)</f>
        <v>#N/A</v>
      </c>
      <c r="AC103" s="35">
        <v>1</v>
      </c>
      <c r="AD103" s="37" t="s">
        <v>58</v>
      </c>
      <c r="AE103" s="37"/>
      <c r="AF103" s="45">
        <f>VLOOKUP(AD103,'Actor and Actress Success'!$A$1:$B$72,2,FALSE)</f>
        <v>66.666666666666657</v>
      </c>
      <c r="AG103" s="35">
        <v>1</v>
      </c>
      <c r="AH103" s="37" t="s">
        <v>59</v>
      </c>
      <c r="AI103" s="37"/>
      <c r="AJ103" s="34">
        <v>1</v>
      </c>
      <c r="AK103" s="45">
        <f>VLOOKUP(AH103,'Actor and Actress Success'!$A$1:$B$72,2,FALSE)</f>
        <v>46.428571428571431</v>
      </c>
    </row>
    <row r="104" spans="1:37">
      <c r="A104">
        <v>104</v>
      </c>
      <c r="B104" s="8" t="s">
        <v>186</v>
      </c>
      <c r="C104" s="10">
        <v>2000</v>
      </c>
      <c r="D104" s="12">
        <v>36539</v>
      </c>
      <c r="E104" s="12"/>
      <c r="F104" s="10" t="s">
        <v>82</v>
      </c>
      <c r="G104" s="10" t="s">
        <v>82</v>
      </c>
      <c r="H104" s="22" t="s">
        <v>56</v>
      </c>
      <c r="I104" s="22">
        <v>170</v>
      </c>
      <c r="J104" s="22">
        <v>13</v>
      </c>
      <c r="K104" s="10">
        <v>80.540000000000006</v>
      </c>
      <c r="L104" s="20">
        <v>100000000</v>
      </c>
      <c r="M104" s="20">
        <v>800155000</v>
      </c>
      <c r="N104" s="20">
        <v>2840007060</v>
      </c>
      <c r="O104" s="20"/>
      <c r="P104" s="17" t="s">
        <v>385</v>
      </c>
      <c r="Q104" s="17"/>
      <c r="R104" s="17" t="s">
        <v>387</v>
      </c>
      <c r="S104" s="17"/>
      <c r="T104" s="17" t="s">
        <v>385</v>
      </c>
      <c r="U104" s="17" t="s">
        <v>888</v>
      </c>
      <c r="V104" s="17" t="s">
        <v>794</v>
      </c>
      <c r="W104" s="45">
        <f>VLOOKUP(V104,'Actor and Actress Success'!$A$1:$B$72,2,FALSE)</f>
        <v>54.54545454545454</v>
      </c>
      <c r="X104" s="35">
        <v>1</v>
      </c>
      <c r="Y104" s="35"/>
      <c r="Z104" s="17" t="s">
        <v>784</v>
      </c>
      <c r="AA104" s="17"/>
      <c r="AB104" s="45">
        <f>VLOOKUP(Z104,'Actor and Actress Success'!$A$1:$B$72,2,FALSE)</f>
        <v>26.923076923076923</v>
      </c>
      <c r="AC104" s="35">
        <v>1</v>
      </c>
      <c r="AD104" s="17" t="s">
        <v>411</v>
      </c>
      <c r="AE104" s="17"/>
      <c r="AF104" s="45" t="e">
        <f>VLOOKUP(AD104,'Actor and Actress Success'!$A$1:$B$72,2,FALSE)</f>
        <v>#N/A</v>
      </c>
      <c r="AG104" s="35"/>
      <c r="AH104" s="17" t="s">
        <v>407</v>
      </c>
      <c r="AI104" s="17"/>
      <c r="AK104" s="45" t="e">
        <f>VLOOKUP(AH104,'Actor and Actress Success'!$A$1:$B$72,2,FALSE)</f>
        <v>#N/A</v>
      </c>
    </row>
    <row r="105" spans="1:37">
      <c r="A105">
        <v>105</v>
      </c>
      <c r="B105" s="8" t="s">
        <v>187</v>
      </c>
      <c r="C105" s="10">
        <v>2000</v>
      </c>
      <c r="D105" s="12">
        <v>36826</v>
      </c>
      <c r="E105" s="12"/>
      <c r="F105" s="10" t="s">
        <v>82</v>
      </c>
      <c r="G105" s="10" t="s">
        <v>82</v>
      </c>
      <c r="H105" s="22" t="s">
        <v>56</v>
      </c>
      <c r="I105" s="22">
        <v>315</v>
      </c>
      <c r="J105" s="22">
        <v>17</v>
      </c>
      <c r="K105" s="10">
        <v>57.47</v>
      </c>
      <c r="L105" s="20">
        <v>190000000</v>
      </c>
      <c r="M105" s="20">
        <v>900105000</v>
      </c>
      <c r="N105" s="1">
        <v>2475084260</v>
      </c>
      <c r="O105" s="1"/>
      <c r="P105" s="17" t="s">
        <v>62</v>
      </c>
      <c r="Q105" s="17"/>
      <c r="R105" s="17" t="s">
        <v>63</v>
      </c>
      <c r="S105" s="17"/>
      <c r="T105" s="17" t="s">
        <v>62</v>
      </c>
      <c r="U105" s="17" t="s">
        <v>57</v>
      </c>
      <c r="V105" s="17" t="s">
        <v>497</v>
      </c>
      <c r="W105" s="45">
        <f>VLOOKUP(V105,'Actor and Actress Success'!$A$1:$B$72,2,FALSE)</f>
        <v>33.333333333333329</v>
      </c>
      <c r="X105" s="35">
        <v>1</v>
      </c>
      <c r="Y105" s="35"/>
      <c r="Z105" s="17" t="s">
        <v>58</v>
      </c>
      <c r="AA105" s="17"/>
      <c r="AB105" s="45">
        <f>VLOOKUP(Z105,'Actor and Actress Success'!$A$1:$B$72,2,FALSE)</f>
        <v>66.666666666666657</v>
      </c>
      <c r="AC105" s="35">
        <v>1</v>
      </c>
      <c r="AD105" s="17" t="s">
        <v>492</v>
      </c>
      <c r="AE105" s="17"/>
      <c r="AF105" s="45">
        <f>VLOOKUP(AD105,'Actor and Actress Success'!$A$1:$B$72,2,FALSE)</f>
        <v>36.666666666666664</v>
      </c>
      <c r="AG105" s="35">
        <v>1</v>
      </c>
      <c r="AH105" s="17" t="s">
        <v>795</v>
      </c>
      <c r="AI105" s="17"/>
      <c r="AK105" s="45" t="e">
        <f>VLOOKUP(AH105,'Actor and Actress Success'!$A$1:$B$72,2,FALSE)</f>
        <v>#N/A</v>
      </c>
    </row>
    <row r="106" spans="1:37">
      <c r="A106">
        <v>106</v>
      </c>
      <c r="B106" s="8" t="s">
        <v>188</v>
      </c>
      <c r="C106" s="10">
        <v>2008</v>
      </c>
      <c r="D106" s="12">
        <v>39807</v>
      </c>
      <c r="E106" s="12"/>
      <c r="F106" s="10" t="s">
        <v>82</v>
      </c>
      <c r="G106" s="10" t="s">
        <v>82</v>
      </c>
      <c r="H106" s="22" t="s">
        <v>50</v>
      </c>
      <c r="I106" s="22">
        <v>1550</v>
      </c>
      <c r="J106" s="22">
        <v>22</v>
      </c>
      <c r="K106" s="10">
        <v>61.89</v>
      </c>
      <c r="L106" s="20">
        <v>520000000</v>
      </c>
      <c r="M106" s="20">
        <v>1945820000</v>
      </c>
      <c r="N106" s="1">
        <v>2224176680</v>
      </c>
      <c r="O106" s="1"/>
      <c r="P106" s="17" t="s">
        <v>796</v>
      </c>
      <c r="Q106" s="17"/>
      <c r="R106" s="17" t="s">
        <v>418</v>
      </c>
      <c r="S106" s="17"/>
      <c r="T106" s="17" t="s">
        <v>796</v>
      </c>
      <c r="U106" s="17" t="s">
        <v>889</v>
      </c>
      <c r="V106" s="17" t="s">
        <v>73</v>
      </c>
      <c r="W106" s="45">
        <f>VLOOKUP(V106,'Actor and Actress Success'!$A$1:$B$72,2,FALSE)</f>
        <v>65.384615384615387</v>
      </c>
      <c r="X106" s="35">
        <v>1</v>
      </c>
      <c r="Y106" s="35"/>
      <c r="Z106" s="17" t="s">
        <v>797</v>
      </c>
      <c r="AA106" s="17"/>
      <c r="AB106" s="45">
        <f>VLOOKUP(Z106,'Actor and Actress Success'!$A$1:$B$72,2,FALSE)</f>
        <v>71.428571428571431</v>
      </c>
      <c r="AC106" s="35">
        <v>1</v>
      </c>
      <c r="AD106" s="17" t="s">
        <v>798</v>
      </c>
      <c r="AE106" s="17"/>
      <c r="AF106" s="45" t="e">
        <f>VLOOKUP(AD106,'Actor and Actress Success'!$A$1:$B$72,2,FALSE)</f>
        <v>#N/A</v>
      </c>
      <c r="AG106" s="35"/>
      <c r="AH106" s="17" t="s">
        <v>799</v>
      </c>
      <c r="AI106" s="17"/>
      <c r="AK106" s="45" t="e">
        <f>VLOOKUP(AH106,'Actor and Actress Success'!$A$1:$B$72,2,FALSE)</f>
        <v>#N/A</v>
      </c>
    </row>
    <row r="107" spans="1:37">
      <c r="A107">
        <v>107</v>
      </c>
      <c r="B107" s="8" t="s">
        <v>189</v>
      </c>
      <c r="C107" s="10">
        <v>2006</v>
      </c>
      <c r="D107" s="12">
        <v>39045</v>
      </c>
      <c r="E107" s="12"/>
      <c r="F107" s="10" t="s">
        <v>82</v>
      </c>
      <c r="G107" s="10" t="s">
        <v>82</v>
      </c>
      <c r="H107" s="22" t="s">
        <v>50</v>
      </c>
      <c r="I107" s="22">
        <v>1000</v>
      </c>
      <c r="J107" s="22">
        <v>25</v>
      </c>
      <c r="K107" s="10">
        <v>45.51</v>
      </c>
      <c r="L107" s="20">
        <v>420000000</v>
      </c>
      <c r="M107" s="20">
        <v>1513890000</v>
      </c>
      <c r="N107" s="20">
        <v>1996609340</v>
      </c>
      <c r="O107" s="20"/>
      <c r="P107" s="17" t="s">
        <v>800</v>
      </c>
      <c r="Q107" s="17"/>
      <c r="R107" s="17" t="s">
        <v>801</v>
      </c>
      <c r="S107" s="17"/>
      <c r="T107" s="17" t="s">
        <v>62</v>
      </c>
      <c r="U107" s="17" t="s">
        <v>891</v>
      </c>
      <c r="V107" s="17" t="s">
        <v>794</v>
      </c>
      <c r="W107" s="45">
        <f>VLOOKUP(V107,'Actor and Actress Success'!$A$1:$B$72,2,FALSE)</f>
        <v>54.54545454545454</v>
      </c>
      <c r="X107" s="35">
        <v>1</v>
      </c>
      <c r="Y107" s="35"/>
      <c r="Z107" s="17" t="s">
        <v>802</v>
      </c>
      <c r="AA107" s="17"/>
      <c r="AB107" s="45">
        <f>VLOOKUP(Z107,'Actor and Actress Success'!$A$1:$B$72,2,FALSE)</f>
        <v>35.714285714285715</v>
      </c>
      <c r="AC107" s="35">
        <v>1</v>
      </c>
      <c r="AD107" s="17" t="s">
        <v>492</v>
      </c>
      <c r="AE107" s="17"/>
      <c r="AF107" s="45">
        <f>VLOOKUP(AD107,'Actor and Actress Success'!$A$1:$B$72,2,FALSE)</f>
        <v>36.666666666666664</v>
      </c>
      <c r="AG107" s="35">
        <v>1</v>
      </c>
      <c r="AH107" s="17" t="s">
        <v>795</v>
      </c>
      <c r="AI107" s="17"/>
      <c r="AJ107" s="34">
        <v>1</v>
      </c>
      <c r="AK107" s="45" t="e">
        <f>VLOOKUP(AH107,'Actor and Actress Success'!$A$1:$B$72,2,FALSE)</f>
        <v>#N/A</v>
      </c>
    </row>
    <row r="108" spans="1:37">
      <c r="A108">
        <v>108</v>
      </c>
      <c r="B108" s="8" t="s">
        <v>190</v>
      </c>
      <c r="C108" s="10">
        <v>2006</v>
      </c>
      <c r="D108" s="12">
        <v>38891</v>
      </c>
      <c r="E108" s="12"/>
      <c r="F108" s="10" t="s">
        <v>82</v>
      </c>
      <c r="G108" s="10" t="s">
        <v>82</v>
      </c>
      <c r="H108" s="22" t="s">
        <v>50</v>
      </c>
      <c r="I108" s="22">
        <v>950</v>
      </c>
      <c r="J108" s="22">
        <v>33</v>
      </c>
      <c r="K108" s="10">
        <v>67.5</v>
      </c>
      <c r="L108" s="20">
        <v>400000000</v>
      </c>
      <c r="M108" s="1">
        <v>1265587500</v>
      </c>
      <c r="N108" s="1">
        <v>1816926540</v>
      </c>
      <c r="O108" s="1"/>
      <c r="P108" s="17" t="s">
        <v>385</v>
      </c>
      <c r="Q108" s="17"/>
      <c r="R108" s="17" t="s">
        <v>387</v>
      </c>
      <c r="S108" s="17"/>
      <c r="T108" s="17" t="s">
        <v>385</v>
      </c>
      <c r="U108" s="17" t="s">
        <v>892</v>
      </c>
      <c r="V108" s="17" t="s">
        <v>459</v>
      </c>
      <c r="W108" s="45">
        <f>VLOOKUP(V108,'Actor and Actress Success'!$A$1:$B$72,2,FALSE)</f>
        <v>21.739130434782609</v>
      </c>
      <c r="X108" s="35"/>
      <c r="Y108" s="35"/>
      <c r="Z108" s="17" t="s">
        <v>794</v>
      </c>
      <c r="AA108" s="17"/>
      <c r="AB108" s="45">
        <f>VLOOKUP(Z108,'Actor and Actress Success'!$A$1:$B$72,2,FALSE)</f>
        <v>54.54545454545454</v>
      </c>
      <c r="AC108" s="35">
        <v>1</v>
      </c>
      <c r="AD108" s="17" t="s">
        <v>803</v>
      </c>
      <c r="AE108" s="17"/>
      <c r="AF108" s="45">
        <f>VLOOKUP(AD108,'Actor and Actress Success'!$A$1:$B$72,2,FALSE)</f>
        <v>45</v>
      </c>
      <c r="AG108" s="35">
        <v>1</v>
      </c>
      <c r="AH108" s="17" t="s">
        <v>396</v>
      </c>
      <c r="AI108" s="17"/>
      <c r="AK108" s="45" t="e">
        <f>VLOOKUP(AH108,'Actor and Actress Success'!$A$1:$B$72,2,FALSE)</f>
        <v>#N/A</v>
      </c>
    </row>
    <row r="109" spans="1:37">
      <c r="A109">
        <v>109</v>
      </c>
      <c r="B109" s="8" t="s">
        <v>191</v>
      </c>
      <c r="C109" s="10">
        <v>2007</v>
      </c>
      <c r="D109" s="12">
        <v>39395</v>
      </c>
      <c r="E109" s="12"/>
      <c r="F109" s="10" t="s">
        <v>82</v>
      </c>
      <c r="G109" s="10" t="s">
        <v>82</v>
      </c>
      <c r="H109" s="22" t="s">
        <v>428</v>
      </c>
      <c r="I109" s="22">
        <v>1200</v>
      </c>
      <c r="J109" s="22">
        <v>36</v>
      </c>
      <c r="K109" s="10">
        <v>53.36</v>
      </c>
      <c r="L109" s="20">
        <v>400000000</v>
      </c>
      <c r="M109" s="20">
        <v>1498725000</v>
      </c>
      <c r="N109" s="20">
        <v>1664751880</v>
      </c>
      <c r="O109" s="20"/>
      <c r="P109" s="17" t="s">
        <v>804</v>
      </c>
      <c r="Q109" s="17"/>
      <c r="R109" s="17" t="s">
        <v>805</v>
      </c>
      <c r="S109" s="17"/>
      <c r="T109" s="17" t="s">
        <v>809</v>
      </c>
      <c r="U109" s="17" t="s">
        <v>804</v>
      </c>
      <c r="V109" s="37" t="s">
        <v>58</v>
      </c>
      <c r="W109" s="45">
        <f>VLOOKUP(V109,'Actor and Actress Success'!$A$1:$B$72,2,FALSE)</f>
        <v>66.666666666666657</v>
      </c>
      <c r="X109" s="35">
        <v>1</v>
      </c>
      <c r="Y109" s="35"/>
      <c r="Z109" s="37" t="s">
        <v>806</v>
      </c>
      <c r="AA109" s="37"/>
      <c r="AB109" s="45">
        <f>VLOOKUP(Z109,'Actor and Actress Success'!$A$1:$B$72,2,FALSE)</f>
        <v>57.142857142857139</v>
      </c>
      <c r="AC109" s="35">
        <v>1</v>
      </c>
      <c r="AD109" s="17" t="s">
        <v>807</v>
      </c>
      <c r="AE109" s="17"/>
      <c r="AF109" s="45" t="e">
        <f>VLOOKUP(AD109,'Actor and Actress Success'!$A$1:$B$72,2,FALSE)</f>
        <v>#N/A</v>
      </c>
      <c r="AG109" s="35"/>
      <c r="AH109" s="17" t="s">
        <v>808</v>
      </c>
      <c r="AI109" s="17"/>
      <c r="AK109" s="45" t="e">
        <f>VLOOKUP(AH109,'Actor and Actress Success'!$A$1:$B$72,2,FALSE)</f>
        <v>#N/A</v>
      </c>
    </row>
    <row r="110" spans="1:37">
      <c r="A110">
        <v>110</v>
      </c>
      <c r="B110" s="8" t="s">
        <v>192</v>
      </c>
      <c r="C110" s="10">
        <v>2006</v>
      </c>
      <c r="D110" s="12">
        <v>38961</v>
      </c>
      <c r="E110" s="12"/>
      <c r="F110" s="10" t="s">
        <v>82</v>
      </c>
      <c r="G110" s="10" t="s">
        <v>82</v>
      </c>
      <c r="H110" s="22" t="s">
        <v>439</v>
      </c>
      <c r="I110" s="22">
        <v>600</v>
      </c>
      <c r="J110" s="22">
        <v>38</v>
      </c>
      <c r="K110" s="10">
        <v>79.38</v>
      </c>
      <c r="L110" s="20">
        <v>190000000</v>
      </c>
      <c r="M110" s="20">
        <v>1262000000</v>
      </c>
      <c r="N110" s="20">
        <v>1633353700</v>
      </c>
      <c r="O110" s="20"/>
      <c r="P110" s="17" t="s">
        <v>786</v>
      </c>
      <c r="Q110" s="17"/>
      <c r="R110" s="17" t="s">
        <v>787</v>
      </c>
      <c r="S110" s="17"/>
      <c r="U110" s="17" t="s">
        <v>791</v>
      </c>
      <c r="V110" s="17" t="s">
        <v>511</v>
      </c>
      <c r="W110" s="45">
        <f>VLOOKUP(V110,'Actor and Actress Success'!$A$1:$B$72,2,FALSE)</f>
        <v>27.397260273972602</v>
      </c>
      <c r="X110" s="35">
        <v>1</v>
      </c>
      <c r="Y110" s="35"/>
      <c r="Z110" s="17" t="s">
        <v>550</v>
      </c>
      <c r="AA110" s="17"/>
      <c r="AB110" s="45" t="e">
        <f>VLOOKUP(Z110,'Actor and Actress Success'!$A$1:$B$72,2,FALSE)</f>
        <v>#N/A</v>
      </c>
      <c r="AC110" s="35">
        <v>1</v>
      </c>
      <c r="AD110" s="17" t="s">
        <v>810</v>
      </c>
      <c r="AE110" s="17"/>
      <c r="AF110" s="45">
        <f>VLOOKUP(AD110,'Actor and Actress Success'!$A$1:$B$72,2,FALSE)</f>
        <v>40.909090909090914</v>
      </c>
      <c r="AG110" s="35">
        <v>1</v>
      </c>
      <c r="AH110" s="17" t="s">
        <v>811</v>
      </c>
      <c r="AI110" s="17"/>
      <c r="AK110" s="45" t="e">
        <f>VLOOKUP(AH110,'Actor and Actress Success'!$A$1:$B$72,2,FALSE)</f>
        <v>#N/A</v>
      </c>
    </row>
    <row r="111" spans="1:37">
      <c r="A111">
        <v>111</v>
      </c>
      <c r="B111" s="8" t="s">
        <v>193</v>
      </c>
      <c r="C111" s="10">
        <v>2008</v>
      </c>
      <c r="D111" s="12">
        <v>39794</v>
      </c>
      <c r="E111" s="12"/>
      <c r="F111" s="10" t="s">
        <v>82</v>
      </c>
      <c r="G111" s="10" t="s">
        <v>82</v>
      </c>
      <c r="H111" s="22" t="s">
        <v>56</v>
      </c>
      <c r="I111" s="22">
        <v>1350</v>
      </c>
      <c r="J111" s="22">
        <v>39</v>
      </c>
      <c r="K111" s="10">
        <v>55.94</v>
      </c>
      <c r="L111" s="20">
        <v>390000000</v>
      </c>
      <c r="M111" s="20">
        <v>1574175000</v>
      </c>
      <c r="N111" s="20">
        <v>1597046660</v>
      </c>
      <c r="O111" s="20"/>
      <c r="P111" s="17" t="s">
        <v>62</v>
      </c>
      <c r="Q111" s="17"/>
      <c r="R111" s="17" t="s">
        <v>812</v>
      </c>
      <c r="S111" s="17"/>
      <c r="T111" s="17" t="s">
        <v>62</v>
      </c>
      <c r="U111" s="17" t="s">
        <v>62</v>
      </c>
      <c r="V111" s="17" t="s">
        <v>58</v>
      </c>
      <c r="W111" s="45">
        <f>VLOOKUP(V111,'Actor and Actress Success'!$A$1:$B$72,2,FALSE)</f>
        <v>66.666666666666657</v>
      </c>
      <c r="X111" s="35">
        <v>1</v>
      </c>
      <c r="Y111" s="35"/>
      <c r="Z111" s="17" t="s">
        <v>813</v>
      </c>
      <c r="AA111" s="17"/>
      <c r="AB111" s="45">
        <f>VLOOKUP(Z111,'Actor and Actress Success'!$A$1:$B$72,2,FALSE)</f>
        <v>60</v>
      </c>
      <c r="AC111" s="35">
        <v>1</v>
      </c>
      <c r="AD111" s="17" t="s">
        <v>814</v>
      </c>
      <c r="AE111" s="17"/>
      <c r="AF111" s="45" t="e">
        <f>VLOOKUP(AD111,'Actor and Actress Success'!$A$1:$B$72,2,FALSE)</f>
        <v>#N/A</v>
      </c>
      <c r="AG111" s="35"/>
      <c r="AH111" s="17" t="s">
        <v>815</v>
      </c>
      <c r="AI111" s="17"/>
      <c r="AK111" s="45" t="e">
        <f>VLOOKUP(AH111,'Actor and Actress Success'!$A$1:$B$72,2,FALSE)</f>
        <v>#N/A</v>
      </c>
    </row>
    <row r="112" spans="1:37">
      <c r="A112">
        <v>112</v>
      </c>
      <c r="B112" s="8" t="s">
        <v>194</v>
      </c>
      <c r="C112" s="10">
        <v>2002</v>
      </c>
      <c r="D112" s="12">
        <v>37288</v>
      </c>
      <c r="E112" s="12"/>
      <c r="F112" s="10" t="s">
        <v>82</v>
      </c>
      <c r="G112" s="10" t="s">
        <v>82</v>
      </c>
      <c r="H112" s="22" t="s">
        <v>757</v>
      </c>
      <c r="I112" s="22">
        <v>215</v>
      </c>
      <c r="J112" s="22">
        <v>42</v>
      </c>
      <c r="K112" s="10">
        <v>52.5</v>
      </c>
      <c r="L112" s="20">
        <v>52500000</v>
      </c>
      <c r="M112" s="20">
        <v>366378750</v>
      </c>
      <c r="N112" s="20">
        <v>1189240800</v>
      </c>
      <c r="O112" s="20"/>
      <c r="P112" s="17" t="s">
        <v>520</v>
      </c>
      <c r="Q112" s="17"/>
      <c r="R112" s="17" t="s">
        <v>67</v>
      </c>
      <c r="S112" s="17"/>
      <c r="T112" s="17" t="s">
        <v>816</v>
      </c>
      <c r="U112" s="17" t="s">
        <v>893</v>
      </c>
      <c r="V112" s="17" t="s">
        <v>817</v>
      </c>
      <c r="W112" s="45" t="e">
        <f>VLOOKUP(V112,'Actor and Actress Success'!$A$1:$B$72,2,FALSE)</f>
        <v>#N/A</v>
      </c>
      <c r="X112" s="35">
        <v>1</v>
      </c>
      <c r="Y112" s="35"/>
      <c r="Z112" s="17" t="s">
        <v>818</v>
      </c>
      <c r="AA112" s="17"/>
      <c r="AB112" s="45">
        <f>VLOOKUP(Z112,'Actor and Actress Success'!$A$1:$B$72,2,FALSE)</f>
        <v>30</v>
      </c>
      <c r="AC112" s="35">
        <v>1</v>
      </c>
      <c r="AD112" s="17" t="s">
        <v>819</v>
      </c>
      <c r="AE112" s="17"/>
      <c r="AF112" s="45" t="e">
        <f>VLOOKUP(AD112,'Actor and Actress Success'!$A$1:$B$72,2,FALSE)</f>
        <v>#N/A</v>
      </c>
      <c r="AG112" s="35"/>
      <c r="AH112" s="17" t="s">
        <v>820</v>
      </c>
      <c r="AI112" s="17"/>
      <c r="AK112" s="45" t="e">
        <f>VLOOKUP(AH112,'Actor and Actress Success'!$A$1:$B$72,2,FALSE)</f>
        <v>#N/A</v>
      </c>
    </row>
    <row r="113" spans="1:37">
      <c r="A113">
        <v>113</v>
      </c>
      <c r="B113" s="8" t="s">
        <v>195</v>
      </c>
      <c r="C113" s="10">
        <v>2006</v>
      </c>
      <c r="D113" s="12">
        <v>39031</v>
      </c>
      <c r="E113" s="12"/>
      <c r="F113" s="10" t="s">
        <v>82</v>
      </c>
      <c r="G113" s="10" t="s">
        <v>82</v>
      </c>
      <c r="H113" s="22" t="s">
        <v>6</v>
      </c>
      <c r="I113" s="22">
        <v>200</v>
      </c>
      <c r="J113" s="22">
        <v>43</v>
      </c>
      <c r="K113" s="10">
        <v>92.5</v>
      </c>
      <c r="L113" s="20">
        <v>80000000</v>
      </c>
      <c r="M113" s="20">
        <v>495600000</v>
      </c>
      <c r="N113" s="20">
        <v>948521420</v>
      </c>
      <c r="O113" s="20"/>
      <c r="P113" s="17" t="s">
        <v>392</v>
      </c>
      <c r="Q113" s="17">
        <f>724650000+391750000+177950000</f>
        <v>1294350000</v>
      </c>
      <c r="R113" s="17" t="s">
        <v>821</v>
      </c>
      <c r="S113" s="17"/>
      <c r="T113" s="17" t="s">
        <v>822</v>
      </c>
      <c r="U113" s="17" t="s">
        <v>392</v>
      </c>
      <c r="V113" s="17" t="s">
        <v>823</v>
      </c>
      <c r="W113" s="45">
        <f>VLOOKUP(V113,'Actor and Actress Success'!$A$1:$B$72,2,FALSE)</f>
        <v>38.461538461538467</v>
      </c>
      <c r="X113" s="35">
        <v>1</v>
      </c>
      <c r="Y113" s="35"/>
      <c r="Z113" s="17" t="s">
        <v>824</v>
      </c>
      <c r="AA113" s="17"/>
      <c r="AB113" s="45" t="e">
        <f>VLOOKUP(Z113,'Actor and Actress Success'!$A$1:$B$72,2,FALSE)</f>
        <v>#N/A</v>
      </c>
      <c r="AC113" s="35">
        <v>1</v>
      </c>
      <c r="AD113" s="17" t="s">
        <v>411</v>
      </c>
      <c r="AE113" s="17"/>
      <c r="AF113" s="45" t="e">
        <f>VLOOKUP(AD113,'Actor and Actress Success'!$A$1:$B$72,2,FALSE)</f>
        <v>#N/A</v>
      </c>
      <c r="AG113" s="35"/>
      <c r="AH113" s="17" t="s">
        <v>570</v>
      </c>
      <c r="AI113" s="17"/>
      <c r="AK113" s="45" t="e">
        <f>VLOOKUP(AH113,'Actor and Actress Success'!$A$1:$B$72,2,FALSE)</f>
        <v>#N/A</v>
      </c>
    </row>
    <row r="114" spans="1:37">
      <c r="A114">
        <v>114</v>
      </c>
      <c r="B114" s="8" t="s">
        <v>196</v>
      </c>
      <c r="C114" s="10">
        <v>2003</v>
      </c>
      <c r="D114" s="12">
        <v>37841</v>
      </c>
      <c r="E114" s="12"/>
      <c r="F114" s="10" t="s">
        <v>176</v>
      </c>
      <c r="G114" s="10" t="s">
        <v>176</v>
      </c>
      <c r="H114" s="22" t="s">
        <v>428</v>
      </c>
      <c r="I114" s="22">
        <v>450</v>
      </c>
      <c r="J114" s="22">
        <v>50</v>
      </c>
      <c r="K114" s="10">
        <v>81.150000000000006</v>
      </c>
      <c r="L114" s="20">
        <v>300000000</v>
      </c>
      <c r="M114" s="20">
        <v>823262500</v>
      </c>
      <c r="N114" s="20">
        <v>1799791840</v>
      </c>
      <c r="O114" s="20"/>
      <c r="P114" s="17" t="s">
        <v>385</v>
      </c>
      <c r="Q114" s="17"/>
      <c r="R114" s="17" t="s">
        <v>825</v>
      </c>
      <c r="S114" s="17"/>
      <c r="T114" s="17" t="s">
        <v>385</v>
      </c>
      <c r="U114" s="17"/>
      <c r="V114" s="17" t="s">
        <v>459</v>
      </c>
      <c r="W114" s="45">
        <f>VLOOKUP(V114,'Actor and Actress Success'!$A$1:$B$72,2,FALSE)</f>
        <v>21.739130434782609</v>
      </c>
      <c r="X114" s="35"/>
      <c r="Y114" s="35"/>
      <c r="Z114" s="17" t="s">
        <v>794</v>
      </c>
      <c r="AA114" s="17"/>
      <c r="AB114" s="45">
        <f>VLOOKUP(Z114,'Actor and Actress Success'!$A$1:$B$72,2,FALSE)</f>
        <v>54.54545454545454</v>
      </c>
      <c r="AC114" s="35">
        <v>1</v>
      </c>
      <c r="AD114" s="17" t="s">
        <v>449</v>
      </c>
      <c r="AE114" s="17"/>
      <c r="AF114" s="45">
        <f>VLOOKUP(AD114,'Actor and Actress Success'!$A$1:$B$72,2,FALSE)</f>
        <v>42.307692307692307</v>
      </c>
      <c r="AG114" s="35">
        <v>1</v>
      </c>
      <c r="AH114" s="17" t="s">
        <v>826</v>
      </c>
      <c r="AI114" s="17"/>
      <c r="AK114" s="45" t="e">
        <f>VLOOKUP(AH114,'Actor and Actress Success'!$A$1:$B$72,2,FALSE)</f>
        <v>#N/A</v>
      </c>
    </row>
    <row r="115" spans="1:37">
      <c r="A115">
        <v>115</v>
      </c>
      <c r="B115" s="8" t="s">
        <v>197</v>
      </c>
      <c r="C115" s="10">
        <v>2007</v>
      </c>
      <c r="D115" s="12">
        <v>39437</v>
      </c>
      <c r="E115" s="12"/>
      <c r="F115" s="10" t="s">
        <v>176</v>
      </c>
      <c r="G115" s="10" t="s">
        <v>176</v>
      </c>
      <c r="H115" s="22" t="s">
        <v>439</v>
      </c>
      <c r="I115" s="22">
        <v>1250</v>
      </c>
      <c r="J115" s="22">
        <v>58</v>
      </c>
      <c r="K115" s="10">
        <v>81.790000000000006</v>
      </c>
      <c r="L115" s="20">
        <v>480000000</v>
      </c>
      <c r="M115" s="20">
        <v>1194975000</v>
      </c>
      <c r="N115" s="20">
        <v>1545549940</v>
      </c>
      <c r="O115" s="20"/>
      <c r="P115" s="17" t="s">
        <v>503</v>
      </c>
      <c r="Q115" s="17"/>
      <c r="R115" t="s">
        <v>828</v>
      </c>
      <c r="T115" s="17" t="s">
        <v>1871</v>
      </c>
      <c r="U115" s="23" t="s">
        <v>894</v>
      </c>
      <c r="V115" s="17" t="s">
        <v>827</v>
      </c>
      <c r="W115" s="45">
        <f>VLOOKUP(V115,'Actor and Actress Success'!$A$1:$B$72,2,FALSE)</f>
        <v>50</v>
      </c>
      <c r="X115" s="35">
        <v>1</v>
      </c>
      <c r="Y115" s="35"/>
      <c r="Z115" s="17" t="s">
        <v>442</v>
      </c>
      <c r="AA115" s="17">
        <f>'Star Economic history'!R5</f>
        <v>141250000</v>
      </c>
      <c r="AB115" s="45">
        <f>VLOOKUP(Z115,'Actor and Actress Success'!$A$1:$B$72,2,FALSE)</f>
        <v>34.042553191489361</v>
      </c>
      <c r="AC115" s="35">
        <v>1</v>
      </c>
      <c r="AD115" s="17" t="s">
        <v>415</v>
      </c>
      <c r="AE115" s="17"/>
      <c r="AF115" s="45" t="e">
        <f>VLOOKUP(AD115,'Actor and Actress Success'!$A$1:$B$72,2,FALSE)</f>
        <v>#N/A</v>
      </c>
      <c r="AG115" s="35">
        <v>1</v>
      </c>
      <c r="AH115" s="17" t="s">
        <v>397</v>
      </c>
      <c r="AI115" s="17">
        <f>'Star Economic history'!R6</f>
        <v>219066666.66666666</v>
      </c>
      <c r="AJ115" s="34">
        <v>1</v>
      </c>
      <c r="AK115" s="45">
        <f>VLOOKUP(AH115,'Actor and Actress Success'!$A$1:$B$72,2,FALSE)</f>
        <v>44.117647058823529</v>
      </c>
    </row>
    <row r="116" spans="1:37">
      <c r="A116">
        <v>116</v>
      </c>
      <c r="B116" s="8" t="s">
        <v>198</v>
      </c>
      <c r="C116" s="10">
        <v>2007</v>
      </c>
      <c r="D116" s="12">
        <v>39283</v>
      </c>
      <c r="E116" s="12"/>
      <c r="F116" s="10" t="s">
        <v>176</v>
      </c>
      <c r="G116" s="10" t="s">
        <v>176</v>
      </c>
      <c r="H116" s="22" t="s">
        <v>439</v>
      </c>
      <c r="I116" s="22">
        <v>1100</v>
      </c>
      <c r="J116" s="22">
        <v>68</v>
      </c>
      <c r="K116" s="10">
        <v>76.2</v>
      </c>
      <c r="L116" s="20">
        <v>280000000</v>
      </c>
      <c r="M116" s="20">
        <v>1009115000</v>
      </c>
      <c r="N116" s="20">
        <v>1340952360</v>
      </c>
      <c r="O116" s="20"/>
      <c r="P116" s="17" t="s">
        <v>441</v>
      </c>
      <c r="Q116" s="17">
        <f>Q83+256850000+114850000</f>
        <v>371700000</v>
      </c>
      <c r="R116" s="17" t="s">
        <v>829</v>
      </c>
      <c r="S116" s="17"/>
      <c r="T116" s="17" t="s">
        <v>1870</v>
      </c>
      <c r="U116" s="17" t="s">
        <v>895</v>
      </c>
      <c r="V116" s="17" t="s">
        <v>451</v>
      </c>
      <c r="W116" s="45">
        <f>VLOOKUP(V116,'Actor and Actress Success'!$A$1:$B$72,2,FALSE)</f>
        <v>22.857142857142858</v>
      </c>
      <c r="X116" s="35">
        <v>1</v>
      </c>
      <c r="Y116" s="35">
        <f>'Star Economic history'!R3</f>
        <v>204250000</v>
      </c>
      <c r="Z116" s="17" t="s">
        <v>16</v>
      </c>
      <c r="AA116" s="17"/>
      <c r="AB116" s="45">
        <f>VLOOKUP(Z116,'Actor and Actress Success'!$A$1:$B$72,2,FALSE)</f>
        <v>50.819672131147541</v>
      </c>
      <c r="AC116" s="35">
        <v>1</v>
      </c>
      <c r="AD116" s="17" t="s">
        <v>830</v>
      </c>
      <c r="AE116" s="17"/>
      <c r="AF116" s="45">
        <f>VLOOKUP(AD116,'Actor and Actress Success'!$A$1:$B$72,2,FALSE)</f>
        <v>32</v>
      </c>
      <c r="AG116" s="35">
        <v>1</v>
      </c>
      <c r="AH116" s="17" t="s">
        <v>831</v>
      </c>
      <c r="AI116" s="17"/>
      <c r="AJ116" s="34">
        <v>1</v>
      </c>
      <c r="AK116" s="45">
        <f>VLOOKUP(AH116,'Actor and Actress Success'!$A$1:$B$72,2,FALSE)</f>
        <v>73.076923076923066</v>
      </c>
    </row>
    <row r="117" spans="1:37">
      <c r="A117">
        <v>117</v>
      </c>
      <c r="B117" s="8" t="s">
        <v>199</v>
      </c>
      <c r="C117" s="10">
        <v>2008</v>
      </c>
      <c r="D117" s="12">
        <v>39668</v>
      </c>
      <c r="E117" s="12"/>
      <c r="F117" s="10" t="s">
        <v>176</v>
      </c>
      <c r="G117" s="10" t="s">
        <v>176</v>
      </c>
      <c r="H117" s="22" t="s">
        <v>428</v>
      </c>
      <c r="I117" s="22">
        <v>1400</v>
      </c>
      <c r="J117" s="22">
        <v>69</v>
      </c>
      <c r="K117" s="10">
        <v>77.67</v>
      </c>
      <c r="L117" s="20">
        <v>500000000</v>
      </c>
      <c r="M117" s="20">
        <v>1239675000</v>
      </c>
      <c r="N117" s="20">
        <v>1299273360</v>
      </c>
      <c r="O117" s="20"/>
      <c r="P117" s="17" t="s">
        <v>503</v>
      </c>
      <c r="Q117" s="17"/>
      <c r="R117" s="17" t="s">
        <v>801</v>
      </c>
      <c r="S117" s="17"/>
      <c r="T117" s="17" t="s">
        <v>1869</v>
      </c>
      <c r="U117" s="23" t="s">
        <v>896</v>
      </c>
      <c r="V117" s="37" t="s">
        <v>397</v>
      </c>
      <c r="W117" s="45">
        <f>VLOOKUP(V117,'Actor and Actress Success'!$A$1:$B$72,2,FALSE)</f>
        <v>44.117647058823529</v>
      </c>
      <c r="X117" s="35">
        <v>1</v>
      </c>
      <c r="Y117" s="35">
        <f>'Star Economic history'!S6</f>
        <v>509137500</v>
      </c>
      <c r="Z117" s="37" t="s">
        <v>831</v>
      </c>
      <c r="AA117" s="37"/>
      <c r="AB117" s="45">
        <f>VLOOKUP(Z117,'Actor and Actress Success'!$A$1:$B$72,2,FALSE)</f>
        <v>73.076923076923066</v>
      </c>
      <c r="AC117" s="35">
        <v>1</v>
      </c>
      <c r="AD117" s="17" t="s">
        <v>546</v>
      </c>
      <c r="AE117" s="17"/>
      <c r="AF117" s="45" t="e">
        <f>VLOOKUP(AD117,'Actor and Actress Success'!$A$1:$B$72,2,FALSE)</f>
        <v>#N/A</v>
      </c>
      <c r="AG117" s="35"/>
      <c r="AH117" s="17" t="s">
        <v>832</v>
      </c>
      <c r="AI117" s="17"/>
      <c r="AK117" s="45" t="e">
        <f>VLOOKUP(AH117,'Actor and Actress Success'!$A$1:$B$72,2,FALSE)</f>
        <v>#N/A</v>
      </c>
    </row>
    <row r="118" spans="1:37">
      <c r="A118">
        <v>118</v>
      </c>
      <c r="B118" s="8" t="s">
        <v>200</v>
      </c>
      <c r="C118" s="10">
        <v>2007</v>
      </c>
      <c r="D118" s="12">
        <v>39304</v>
      </c>
      <c r="E118" s="12"/>
      <c r="F118" s="10" t="s">
        <v>176</v>
      </c>
      <c r="G118" s="10" t="s">
        <v>176</v>
      </c>
      <c r="H118" s="22" t="s">
        <v>6</v>
      </c>
      <c r="I118" s="22">
        <v>500</v>
      </c>
      <c r="J118" s="22">
        <v>71</v>
      </c>
      <c r="K118" s="10">
        <v>68.930000000000007</v>
      </c>
      <c r="L118" s="20">
        <v>220000000</v>
      </c>
      <c r="M118" s="20">
        <v>1018170000</v>
      </c>
      <c r="N118" s="20">
        <v>1295105460</v>
      </c>
      <c r="O118" s="20"/>
      <c r="P118" s="17" t="s">
        <v>833</v>
      </c>
      <c r="Q118" s="17"/>
      <c r="R118" s="17" t="s">
        <v>812</v>
      </c>
      <c r="S118" s="17"/>
      <c r="T118" s="17" t="s">
        <v>834</v>
      </c>
      <c r="U118" s="17"/>
      <c r="V118" s="17" t="s">
        <v>58</v>
      </c>
      <c r="W118" s="45">
        <f>VLOOKUP(V118,'Actor and Actress Success'!$A$1:$B$72,2,FALSE)</f>
        <v>66.666666666666657</v>
      </c>
      <c r="X118" s="35">
        <v>1</v>
      </c>
      <c r="Y118" s="35"/>
      <c r="Z118" s="17" t="s">
        <v>835</v>
      </c>
      <c r="AA118" s="17"/>
      <c r="AB118" s="45" t="e">
        <f>VLOOKUP(Z118,'Actor and Actress Success'!$A$1:$B$72,2,FALSE)</f>
        <v>#N/A</v>
      </c>
      <c r="AC118" s="35"/>
      <c r="AD118" s="17" t="s">
        <v>836</v>
      </c>
      <c r="AE118" s="17"/>
      <c r="AF118" s="45" t="e">
        <f>VLOOKUP(AD118,'Actor and Actress Success'!$A$1:$B$72,2,FALSE)</f>
        <v>#N/A</v>
      </c>
      <c r="AG118" s="35"/>
      <c r="AH118" s="17" t="s">
        <v>837</v>
      </c>
      <c r="AI118" s="17"/>
      <c r="AK118" s="45" t="e">
        <f>VLOOKUP(AH118,'Actor and Actress Success'!$A$1:$B$72,2,FALSE)</f>
        <v>#N/A</v>
      </c>
    </row>
    <row r="119" spans="1:37">
      <c r="A119">
        <v>119</v>
      </c>
      <c r="B119" s="8" t="s">
        <v>201</v>
      </c>
      <c r="C119" s="10">
        <v>2006</v>
      </c>
      <c r="D119" s="12">
        <v>38863</v>
      </c>
      <c r="E119" s="12"/>
      <c r="F119" s="10" t="s">
        <v>176</v>
      </c>
      <c r="G119" s="10" t="s">
        <v>176</v>
      </c>
      <c r="H119" s="22" t="s">
        <v>56</v>
      </c>
      <c r="I119" s="22">
        <v>650</v>
      </c>
      <c r="J119" s="22">
        <v>72</v>
      </c>
      <c r="K119" s="10">
        <v>58.91</v>
      </c>
      <c r="L119" s="20">
        <v>300000000</v>
      </c>
      <c r="M119" s="20">
        <v>1054800000</v>
      </c>
      <c r="N119" s="1">
        <v>1291771140</v>
      </c>
      <c r="O119" s="1"/>
      <c r="P119" s="17" t="s">
        <v>838</v>
      </c>
      <c r="Q119" s="17"/>
      <c r="R119" s="17" t="s">
        <v>63</v>
      </c>
      <c r="S119" s="17"/>
      <c r="T119" s="17" t="s">
        <v>839</v>
      </c>
      <c r="U119" s="17" t="s">
        <v>897</v>
      </c>
      <c r="V119" s="17" t="s">
        <v>73</v>
      </c>
      <c r="W119" s="45">
        <f>VLOOKUP(V119,'Actor and Actress Success'!$A$1:$B$72,2,FALSE)</f>
        <v>65.384615384615387</v>
      </c>
      <c r="X119" s="35">
        <v>1</v>
      </c>
      <c r="Y119" s="35"/>
      <c r="Z119" s="17" t="s">
        <v>59</v>
      </c>
      <c r="AA119" s="17"/>
      <c r="AB119" s="45">
        <f>VLOOKUP(Z119,'Actor and Actress Success'!$A$1:$B$72,2,FALSE)</f>
        <v>46.428571428571431</v>
      </c>
      <c r="AC119" s="35">
        <v>1</v>
      </c>
      <c r="AD119" s="17" t="s">
        <v>724</v>
      </c>
      <c r="AE119" s="17">
        <f>'Star Economic history'!Q7</f>
        <v>9250000</v>
      </c>
      <c r="AF119" s="45">
        <f>VLOOKUP(AD119,'Actor and Actress Success'!$A$1:$B$72,2,FALSE)</f>
        <v>26.086956521739129</v>
      </c>
      <c r="AG119" s="35"/>
      <c r="AH119" s="17" t="s">
        <v>394</v>
      </c>
      <c r="AI119" s="17"/>
      <c r="AK119" s="45" t="e">
        <f>VLOOKUP(AH119,'Actor and Actress Success'!$A$1:$B$72,2,FALSE)</f>
        <v>#N/A</v>
      </c>
    </row>
    <row r="120" spans="1:37">
      <c r="A120">
        <v>120</v>
      </c>
      <c r="B120" s="8" t="s">
        <v>202</v>
      </c>
      <c r="C120" s="10">
        <v>2004</v>
      </c>
      <c r="D120" s="12">
        <v>38303</v>
      </c>
      <c r="E120" s="12"/>
      <c r="F120" s="10" t="s">
        <v>176</v>
      </c>
      <c r="G120" s="10" t="s">
        <v>176</v>
      </c>
      <c r="H120" s="22" t="s">
        <v>56</v>
      </c>
      <c r="I120" s="22">
        <v>625</v>
      </c>
      <c r="J120" s="22">
        <v>76</v>
      </c>
      <c r="K120" s="10">
        <v>54.64</v>
      </c>
      <c r="L120" s="20">
        <v>230000000</v>
      </c>
      <c r="M120" s="20">
        <v>976400000</v>
      </c>
      <c r="N120" s="1">
        <v>1236754860</v>
      </c>
      <c r="O120" s="1"/>
      <c r="P120" s="17" t="s">
        <v>390</v>
      </c>
      <c r="Q120" s="17"/>
      <c r="R120" s="17" t="s">
        <v>840</v>
      </c>
      <c r="S120" s="17"/>
      <c r="T120" s="17" t="s">
        <v>62</v>
      </c>
      <c r="U120" s="17" t="s">
        <v>62</v>
      </c>
      <c r="V120" s="17" t="s">
        <v>58</v>
      </c>
      <c r="W120" s="45">
        <f>VLOOKUP(V120,'Actor and Actress Success'!$A$1:$B$72,2,FALSE)</f>
        <v>66.666666666666657</v>
      </c>
      <c r="X120" s="35">
        <v>1</v>
      </c>
      <c r="Y120" s="35"/>
      <c r="Z120" s="17" t="s">
        <v>449</v>
      </c>
      <c r="AA120" s="17"/>
      <c r="AB120" s="45">
        <f>VLOOKUP(Z120,'Actor and Actress Success'!$A$1:$B$72,2,FALSE)</f>
        <v>42.307692307692307</v>
      </c>
      <c r="AC120" s="35">
        <v>1</v>
      </c>
      <c r="AD120" s="17" t="s">
        <v>383</v>
      </c>
      <c r="AE120" s="17"/>
      <c r="AF120" s="45">
        <f>VLOOKUP(AD120,'Actor and Actress Success'!$A$1:$B$72,2,FALSE)</f>
        <v>47.5</v>
      </c>
      <c r="AG120" s="35">
        <v>1</v>
      </c>
      <c r="AH120" s="17" t="s">
        <v>479</v>
      </c>
      <c r="AI120" s="17"/>
      <c r="AK120" s="45" t="e">
        <f>VLOOKUP(AH120,'Actor and Actress Success'!$A$1:$B$72,2,FALSE)</f>
        <v>#N/A</v>
      </c>
    </row>
    <row r="121" spans="1:37">
      <c r="A121">
        <v>121</v>
      </c>
      <c r="B121" s="8" t="s">
        <v>203</v>
      </c>
      <c r="C121" s="10">
        <v>2005</v>
      </c>
      <c r="D121" s="12">
        <v>38590</v>
      </c>
      <c r="E121" s="12"/>
      <c r="F121" s="10" t="s">
        <v>176</v>
      </c>
      <c r="G121" s="10" t="s">
        <v>176</v>
      </c>
      <c r="H121" s="22" t="s">
        <v>439</v>
      </c>
      <c r="I121" s="22">
        <v>600</v>
      </c>
      <c r="J121" s="22">
        <v>77</v>
      </c>
      <c r="K121" s="10">
        <v>72.83</v>
      </c>
      <c r="L121" s="20">
        <v>240000000</v>
      </c>
      <c r="M121" s="20">
        <v>741350000</v>
      </c>
      <c r="N121" s="1">
        <v>1225825700</v>
      </c>
      <c r="O121" s="1"/>
      <c r="P121" s="17" t="s">
        <v>503</v>
      </c>
      <c r="Q121" s="17"/>
      <c r="R121" s="17" t="s">
        <v>430</v>
      </c>
      <c r="S121" s="17"/>
      <c r="T121" s="17" t="s">
        <v>503</v>
      </c>
      <c r="U121" s="17" t="s">
        <v>503</v>
      </c>
      <c r="V121" s="17" t="s">
        <v>442</v>
      </c>
      <c r="W121" s="45">
        <f>VLOOKUP(V121,'Actor and Actress Success'!$A$1:$B$72,2,FALSE)</f>
        <v>34.042553191489361</v>
      </c>
      <c r="X121" s="35">
        <v>1</v>
      </c>
      <c r="Y121" s="35">
        <f>'Star Economic history'!P5</f>
        <v>118150000</v>
      </c>
      <c r="Z121" s="17" t="s">
        <v>16</v>
      </c>
      <c r="AA121" s="17"/>
      <c r="AB121" s="45">
        <f>VLOOKUP(Z121,'Actor and Actress Success'!$A$1:$B$72,2,FALSE)</f>
        <v>50.819672131147541</v>
      </c>
      <c r="AC121" s="35">
        <v>1</v>
      </c>
      <c r="AD121" s="17" t="s">
        <v>898</v>
      </c>
      <c r="AE121" s="17"/>
      <c r="AF121" s="45" t="e">
        <f>VLOOKUP(AD121,'Actor and Actress Success'!$A$1:$B$72,2,FALSE)</f>
        <v>#N/A</v>
      </c>
      <c r="AG121" s="35">
        <v>1</v>
      </c>
      <c r="AH121" s="17" t="s">
        <v>818</v>
      </c>
      <c r="AI121" s="17"/>
      <c r="AJ121" s="34">
        <v>1</v>
      </c>
      <c r="AK121" s="45">
        <f>VLOOKUP(AH121,'Actor and Actress Success'!$A$1:$B$72,2,FALSE)</f>
        <v>30</v>
      </c>
    </row>
    <row r="122" spans="1:37">
      <c r="A122">
        <v>122</v>
      </c>
      <c r="B122" s="8" t="s">
        <v>204</v>
      </c>
      <c r="C122" s="10">
        <v>2007</v>
      </c>
      <c r="D122" s="12">
        <v>39437</v>
      </c>
      <c r="E122" s="12"/>
      <c r="F122" s="10" t="s">
        <v>176</v>
      </c>
      <c r="G122" s="10" t="s">
        <v>176</v>
      </c>
      <c r="H122" s="22" t="s">
        <v>6</v>
      </c>
      <c r="I122" s="22">
        <v>500</v>
      </c>
      <c r="J122" s="22">
        <v>80</v>
      </c>
      <c r="K122" s="10">
        <v>63.93</v>
      </c>
      <c r="L122" s="20">
        <v>180000000</v>
      </c>
      <c r="M122" s="20">
        <v>875785000</v>
      </c>
      <c r="N122" s="20">
        <v>1156360700</v>
      </c>
      <c r="O122" s="20"/>
      <c r="P122" s="17" t="s">
        <v>899</v>
      </c>
      <c r="Q122" s="17"/>
      <c r="R122" s="17" t="s">
        <v>900</v>
      </c>
      <c r="S122" s="17"/>
      <c r="T122" s="17" t="s">
        <v>901</v>
      </c>
      <c r="U122" s="17" t="s">
        <v>901</v>
      </c>
      <c r="V122" s="17" t="s">
        <v>73</v>
      </c>
      <c r="W122" s="45">
        <f>VLOOKUP(V122,'Actor and Actress Success'!$A$1:$B$72,2,FALSE)</f>
        <v>65.384615384615387</v>
      </c>
      <c r="X122" s="35">
        <v>1</v>
      </c>
      <c r="Y122" s="35"/>
      <c r="Z122" s="17" t="s">
        <v>902</v>
      </c>
      <c r="AA122" s="17"/>
      <c r="AB122" s="45" t="e">
        <f>VLOOKUP(Z122,'Actor and Actress Success'!$A$1:$B$72,2,FALSE)</f>
        <v>#N/A</v>
      </c>
      <c r="AC122" s="35"/>
      <c r="AD122" s="17" t="s">
        <v>903</v>
      </c>
      <c r="AE122" s="17"/>
      <c r="AF122" s="45" t="e">
        <f>VLOOKUP(AD122,'Actor and Actress Success'!$A$1:$B$72,2,FALSE)</f>
        <v>#N/A</v>
      </c>
      <c r="AG122" s="35"/>
      <c r="AH122" s="17" t="s">
        <v>904</v>
      </c>
      <c r="AI122" s="17"/>
      <c r="AK122" s="45" t="e">
        <f>VLOOKUP(AH122,'Actor and Actress Success'!$A$1:$B$72,2,FALSE)</f>
        <v>#N/A</v>
      </c>
    </row>
    <row r="123" spans="1:37">
      <c r="A123">
        <v>123</v>
      </c>
      <c r="B123" s="8" t="s">
        <v>205</v>
      </c>
      <c r="C123" s="10">
        <v>2006</v>
      </c>
      <c r="D123" s="12">
        <v>38877</v>
      </c>
      <c r="E123" s="12"/>
      <c r="F123" s="10" t="s">
        <v>176</v>
      </c>
      <c r="G123" s="10" t="s">
        <v>176</v>
      </c>
      <c r="H123" s="22" t="s">
        <v>439</v>
      </c>
      <c r="I123" s="22">
        <v>575</v>
      </c>
      <c r="J123" s="22">
        <v>85</v>
      </c>
      <c r="K123" s="10">
        <v>97.5</v>
      </c>
      <c r="L123" s="1">
        <v>180000000</v>
      </c>
      <c r="M123" s="20">
        <v>691200000</v>
      </c>
      <c r="N123" s="1">
        <v>1072076500</v>
      </c>
      <c r="O123" s="1"/>
      <c r="P123" s="17" t="s">
        <v>773</v>
      </c>
      <c r="Q123" s="17"/>
      <c r="R123" s="17" t="s">
        <v>905</v>
      </c>
      <c r="S123" s="17"/>
      <c r="T123" s="17" t="s">
        <v>773</v>
      </c>
      <c r="U123" s="17" t="s">
        <v>773</v>
      </c>
      <c r="V123" s="17" t="s">
        <v>397</v>
      </c>
      <c r="W123" s="45">
        <f>VLOOKUP(V123,'Actor and Actress Success'!$A$1:$B$72,2,FALSE)</f>
        <v>44.117647058823529</v>
      </c>
      <c r="X123" s="35">
        <v>1</v>
      </c>
      <c r="Y123" s="35">
        <f>'Star Economic history'!Q6</f>
        <v>161225000</v>
      </c>
      <c r="Z123" s="17" t="s">
        <v>79</v>
      </c>
      <c r="AA123" s="17">
        <f>'Star Economic history'!Q8</f>
        <v>106191666.66666667</v>
      </c>
      <c r="AB123" s="45">
        <f>VLOOKUP(Z123,'Actor and Actress Success'!$A$1:$B$72,2,FALSE)</f>
        <v>26.373626373626376</v>
      </c>
      <c r="AC123" s="35">
        <v>1</v>
      </c>
      <c r="AD123" s="17" t="s">
        <v>453</v>
      </c>
      <c r="AE123" s="17"/>
      <c r="AF123" s="45" t="e">
        <f>VLOOKUP(AD123,'Actor and Actress Success'!$A$1:$B$72,2,FALSE)</f>
        <v>#N/A</v>
      </c>
      <c r="AG123" s="35"/>
      <c r="AH123" s="17" t="s">
        <v>818</v>
      </c>
      <c r="AI123" s="17"/>
      <c r="AJ123" s="34">
        <v>1</v>
      </c>
      <c r="AK123" s="45">
        <f>VLOOKUP(AH123,'Actor and Actress Success'!$A$1:$B$72,2,FALSE)</f>
        <v>30</v>
      </c>
    </row>
    <row r="124" spans="1:37">
      <c r="A124">
        <v>124</v>
      </c>
      <c r="B124" s="8" t="s">
        <v>206</v>
      </c>
      <c r="C124" s="10">
        <v>2005</v>
      </c>
      <c r="D124" s="12">
        <v>38499</v>
      </c>
      <c r="E124" s="12"/>
      <c r="F124" s="10" t="s">
        <v>176</v>
      </c>
      <c r="G124" s="10" t="s">
        <v>176</v>
      </c>
      <c r="H124" s="22" t="s">
        <v>439</v>
      </c>
      <c r="I124" s="22">
        <v>475</v>
      </c>
      <c r="J124" s="22">
        <v>87</v>
      </c>
      <c r="K124" s="10">
        <v>90</v>
      </c>
      <c r="L124" s="20">
        <v>125000000</v>
      </c>
      <c r="M124" s="20">
        <v>637405000</v>
      </c>
      <c r="N124" s="20">
        <v>1043179060</v>
      </c>
      <c r="O124" s="20"/>
      <c r="P124" s="17" t="s">
        <v>906</v>
      </c>
      <c r="Q124" s="17"/>
      <c r="R124" s="17" t="s">
        <v>900</v>
      </c>
      <c r="S124" s="17"/>
      <c r="T124" s="17" t="s">
        <v>907</v>
      </c>
      <c r="U124" s="17" t="s">
        <v>834</v>
      </c>
      <c r="V124" s="17" t="s">
        <v>497</v>
      </c>
      <c r="W124" s="45">
        <f>VLOOKUP(V124,'Actor and Actress Success'!$A$1:$B$72,2,FALSE)</f>
        <v>33.333333333333329</v>
      </c>
      <c r="X124" s="35">
        <v>1</v>
      </c>
      <c r="Y124" s="35"/>
      <c r="Z124" s="17" t="s">
        <v>802</v>
      </c>
      <c r="AA124" s="17"/>
      <c r="AB124" s="45">
        <f>VLOOKUP(Z124,'Actor and Actress Success'!$A$1:$B$72,2,FALSE)</f>
        <v>35.714285714285715</v>
      </c>
      <c r="AC124" s="35">
        <v>1</v>
      </c>
      <c r="AD124" s="17" t="s">
        <v>383</v>
      </c>
      <c r="AE124" s="17"/>
      <c r="AF124" s="45">
        <f>VLOOKUP(AD124,'Actor and Actress Success'!$A$1:$B$72,2,FALSE)</f>
        <v>47.5</v>
      </c>
      <c r="AG124" s="35">
        <v>1</v>
      </c>
      <c r="AH124" s="17" t="s">
        <v>437</v>
      </c>
      <c r="AI124" s="17"/>
      <c r="AK124" s="45" t="e">
        <f>VLOOKUP(AH124,'Actor and Actress Success'!$A$1:$B$72,2,FALSE)</f>
        <v>#N/A</v>
      </c>
    </row>
    <row r="125" spans="1:37">
      <c r="A125">
        <v>125</v>
      </c>
      <c r="B125" s="8" t="s">
        <v>207</v>
      </c>
      <c r="C125" s="10">
        <v>2001</v>
      </c>
      <c r="D125" s="12">
        <v>37036</v>
      </c>
      <c r="E125" s="12"/>
      <c r="F125" s="10" t="s">
        <v>176</v>
      </c>
      <c r="G125" s="10" t="s">
        <v>176</v>
      </c>
      <c r="H125" s="22" t="s">
        <v>56</v>
      </c>
      <c r="I125" s="22">
        <v>225</v>
      </c>
      <c r="J125" s="22">
        <v>89</v>
      </c>
      <c r="K125" s="10">
        <v>80</v>
      </c>
      <c r="L125" s="20">
        <v>70000000</v>
      </c>
      <c r="M125" s="20">
        <v>309855000</v>
      </c>
      <c r="N125" s="20">
        <v>1024099340</v>
      </c>
      <c r="O125" s="20"/>
      <c r="P125" s="17" t="s">
        <v>482</v>
      </c>
      <c r="Q125" s="17"/>
      <c r="R125" s="17" t="s">
        <v>430</v>
      </c>
      <c r="S125" s="17"/>
      <c r="T125" s="17" t="s">
        <v>908</v>
      </c>
      <c r="V125" s="17" t="s">
        <v>909</v>
      </c>
      <c r="W125" s="45" t="e">
        <f>VLOOKUP(V125,'Actor and Actress Success'!$A$1:$B$72,2,FALSE)</f>
        <v>#N/A</v>
      </c>
      <c r="X125" s="35">
        <v>1</v>
      </c>
      <c r="Y125" s="35"/>
      <c r="Z125" s="17" t="s">
        <v>788</v>
      </c>
      <c r="AA125" s="17"/>
      <c r="AB125" s="45">
        <f>VLOOKUP(Z125,'Actor and Actress Success'!$A$1:$B$72,2,FALSE)</f>
        <v>45.652173913043477</v>
      </c>
      <c r="AC125" s="35">
        <v>1</v>
      </c>
      <c r="AD125" s="17" t="s">
        <v>910</v>
      </c>
      <c r="AE125" s="17"/>
      <c r="AF125" s="45" t="e">
        <f>VLOOKUP(AD125,'Actor and Actress Success'!$A$1:$B$72,2,FALSE)</f>
        <v>#N/A</v>
      </c>
      <c r="AG125" s="35">
        <v>1</v>
      </c>
      <c r="AH125" s="17" t="s">
        <v>60</v>
      </c>
      <c r="AI125" s="17"/>
      <c r="AK125" s="45" t="e">
        <f>VLOOKUP(AH125,'Actor and Actress Success'!$A$1:$B$72,2,FALSE)</f>
        <v>#N/A</v>
      </c>
    </row>
    <row r="126" spans="1:37">
      <c r="A126">
        <v>126</v>
      </c>
      <c r="B126" s="8" t="s">
        <v>208</v>
      </c>
      <c r="C126" s="10">
        <v>2009</v>
      </c>
      <c r="D126" s="12">
        <v>40123</v>
      </c>
      <c r="E126" s="12"/>
      <c r="F126" s="10" t="s">
        <v>176</v>
      </c>
      <c r="G126" s="10" t="s">
        <v>176</v>
      </c>
      <c r="H126" s="22" t="s">
        <v>439</v>
      </c>
      <c r="I126" s="22">
        <v>1300</v>
      </c>
      <c r="J126" s="22">
        <v>90</v>
      </c>
      <c r="K126" s="10">
        <v>60.76</v>
      </c>
      <c r="L126" s="20">
        <v>440000000</v>
      </c>
      <c r="M126" s="20">
        <v>997375000</v>
      </c>
      <c r="N126" s="20">
        <v>1015763540</v>
      </c>
      <c r="O126" s="20"/>
      <c r="P126" s="17" t="s">
        <v>434</v>
      </c>
      <c r="Q126" s="17"/>
      <c r="R126" s="17" t="s">
        <v>911</v>
      </c>
      <c r="S126" s="17"/>
      <c r="T126" s="17" t="s">
        <v>915</v>
      </c>
      <c r="U126" s="17" t="s">
        <v>916</v>
      </c>
      <c r="V126" s="17" t="s">
        <v>912</v>
      </c>
      <c r="W126" s="45">
        <f>VLOOKUP(V126,'Actor and Actress Success'!$A$1:$B$72,2,FALSE)</f>
        <v>56.25</v>
      </c>
      <c r="X126" s="35">
        <v>1</v>
      </c>
      <c r="Y126" s="35"/>
      <c r="Z126" s="17" t="s">
        <v>831</v>
      </c>
      <c r="AA126" s="17"/>
      <c r="AB126" s="45">
        <f>VLOOKUP(Z126,'Actor and Actress Success'!$A$1:$B$72,2,FALSE)</f>
        <v>73.076923076923066</v>
      </c>
      <c r="AC126" s="35">
        <v>1</v>
      </c>
      <c r="AD126" s="17" t="s">
        <v>913</v>
      </c>
      <c r="AE126" s="17"/>
      <c r="AF126" s="45" t="e">
        <f>VLOOKUP(AD126,'Actor and Actress Success'!$A$1:$B$72,2,FALSE)</f>
        <v>#N/A</v>
      </c>
      <c r="AG126" s="35"/>
      <c r="AH126" s="17" t="s">
        <v>914</v>
      </c>
      <c r="AI126" s="17"/>
      <c r="AK126" s="45" t="e">
        <f>VLOOKUP(AH126,'Actor and Actress Success'!$A$1:$B$72,2,FALSE)</f>
        <v>#N/A</v>
      </c>
    </row>
    <row r="127" spans="1:37">
      <c r="A127">
        <v>127</v>
      </c>
      <c r="B127" s="8" t="s">
        <v>209</v>
      </c>
      <c r="C127" s="10">
        <v>2004</v>
      </c>
      <c r="D127" s="12">
        <v>38226</v>
      </c>
      <c r="E127" s="12"/>
      <c r="F127" s="10" t="s">
        <v>176</v>
      </c>
      <c r="G127" s="10" t="s">
        <v>176</v>
      </c>
      <c r="H127" s="22" t="s">
        <v>50</v>
      </c>
      <c r="I127" s="22">
        <v>325</v>
      </c>
      <c r="J127" s="22">
        <v>93</v>
      </c>
      <c r="K127" s="10">
        <v>73.75</v>
      </c>
      <c r="L127" s="20">
        <v>110000000</v>
      </c>
      <c r="M127" s="20">
        <v>504418750</v>
      </c>
      <c r="N127" s="20">
        <v>944538760</v>
      </c>
      <c r="O127" s="20"/>
      <c r="P127" s="17" t="s">
        <v>800</v>
      </c>
      <c r="Q127" s="17"/>
      <c r="R127" s="17" t="s">
        <v>801</v>
      </c>
      <c r="S127" s="17"/>
      <c r="U127" s="17" t="s">
        <v>917</v>
      </c>
      <c r="V127" s="17" t="s">
        <v>802</v>
      </c>
      <c r="W127" s="45">
        <f>VLOOKUP(V127,'Actor and Actress Success'!$A$1:$B$72,2,FALSE)</f>
        <v>35.714285714285715</v>
      </c>
      <c r="X127" s="35">
        <v>1</v>
      </c>
      <c r="Y127" s="35"/>
      <c r="Z127" s="17" t="s">
        <v>795</v>
      </c>
      <c r="AA127" s="17"/>
      <c r="AB127" s="45" t="e">
        <f>VLOOKUP(Z127,'Actor and Actress Success'!$A$1:$B$72,2,FALSE)</f>
        <v>#N/A</v>
      </c>
      <c r="AC127" s="35">
        <v>1</v>
      </c>
      <c r="AD127" s="17" t="s">
        <v>918</v>
      </c>
      <c r="AE127" s="17"/>
      <c r="AF127" s="45">
        <f>VLOOKUP(AD127,'Actor and Actress Success'!$A$1:$B$72,2,FALSE)</f>
        <v>36.111111111111107</v>
      </c>
      <c r="AG127" s="35"/>
      <c r="AH127" s="17" t="s">
        <v>919</v>
      </c>
      <c r="AI127" s="17"/>
      <c r="AJ127" s="34">
        <v>1</v>
      </c>
      <c r="AK127" s="45" t="e">
        <f>VLOOKUP(AH127,'Actor and Actress Success'!$A$1:$B$72,2,FALSE)</f>
        <v>#N/A</v>
      </c>
    </row>
    <row r="128" spans="1:37">
      <c r="A128">
        <v>128</v>
      </c>
      <c r="B128" s="8" t="s">
        <v>210</v>
      </c>
      <c r="C128" s="10">
        <v>2008</v>
      </c>
      <c r="D128" s="12">
        <v>39633</v>
      </c>
      <c r="E128" s="12"/>
      <c r="F128" s="10" t="s">
        <v>176</v>
      </c>
      <c r="G128" s="10" t="s">
        <v>176</v>
      </c>
      <c r="H128" s="22" t="s">
        <v>56</v>
      </c>
      <c r="I128" s="22">
        <v>600</v>
      </c>
      <c r="J128" s="22">
        <v>95</v>
      </c>
      <c r="K128" s="10">
        <v>89.62</v>
      </c>
      <c r="L128" s="20">
        <v>150000000</v>
      </c>
      <c r="M128" s="20">
        <v>842022500</v>
      </c>
      <c r="N128" s="20">
        <v>872109920</v>
      </c>
      <c r="O128" s="20"/>
      <c r="P128" s="17" t="s">
        <v>920</v>
      </c>
      <c r="Q128" s="17"/>
      <c r="R128" s="17" t="s">
        <v>418</v>
      </c>
      <c r="S128" s="17"/>
      <c r="T128" s="17" t="s">
        <v>920</v>
      </c>
      <c r="U128" s="17" t="s">
        <v>920</v>
      </c>
      <c r="V128" s="17" t="s">
        <v>921</v>
      </c>
      <c r="W128" s="45" t="e">
        <f>VLOOKUP(V128,'Actor and Actress Success'!$A$1:$B$72,2,FALSE)</f>
        <v>#N/A</v>
      </c>
      <c r="X128" s="35">
        <v>1</v>
      </c>
      <c r="Y128" s="35"/>
      <c r="Z128" s="17" t="s">
        <v>922</v>
      </c>
      <c r="AA128" s="17"/>
      <c r="AB128" s="45" t="e">
        <f>VLOOKUP(Z128,'Actor and Actress Success'!$A$1:$B$72,2,FALSE)</f>
        <v>#N/A</v>
      </c>
      <c r="AC128" s="35">
        <v>1</v>
      </c>
      <c r="AD128" s="17" t="s">
        <v>923</v>
      </c>
      <c r="AE128" s="17"/>
      <c r="AF128" s="45" t="e">
        <f>VLOOKUP(AD128,'Actor and Actress Success'!$A$1:$B$72,2,FALSE)</f>
        <v>#N/A</v>
      </c>
      <c r="AG128" s="35"/>
      <c r="AH128" s="17" t="s">
        <v>924</v>
      </c>
      <c r="AI128" s="17"/>
      <c r="AK128" s="45" t="e">
        <f>VLOOKUP(AH128,'Actor and Actress Success'!$A$1:$B$72,2,FALSE)</f>
        <v>#N/A</v>
      </c>
    </row>
    <row r="129" spans="1:37">
      <c r="A129">
        <v>129</v>
      </c>
      <c r="B129" s="8" t="s">
        <v>211</v>
      </c>
      <c r="C129" s="10">
        <v>2000</v>
      </c>
      <c r="D129" s="12">
        <v>36665</v>
      </c>
      <c r="E129" s="12"/>
      <c r="F129" s="10" t="s">
        <v>176</v>
      </c>
      <c r="G129" s="10" t="s">
        <v>176</v>
      </c>
      <c r="H129" s="22" t="s">
        <v>6</v>
      </c>
      <c r="I129" s="22">
        <v>135</v>
      </c>
      <c r="J129" s="22">
        <v>96</v>
      </c>
      <c r="K129" s="10">
        <v>80</v>
      </c>
      <c r="L129" s="20">
        <v>40000000</v>
      </c>
      <c r="M129" s="20">
        <v>221700000</v>
      </c>
      <c r="N129" s="20">
        <v>710488020</v>
      </c>
      <c r="O129" s="20"/>
      <c r="P129" s="17" t="s">
        <v>925</v>
      </c>
      <c r="Q129" s="17"/>
      <c r="R129" s="17" t="s">
        <v>387</v>
      </c>
      <c r="S129" s="17"/>
      <c r="T129" s="17" t="s">
        <v>409</v>
      </c>
      <c r="U129" s="17" t="s">
        <v>549</v>
      </c>
      <c r="V129" s="17" t="s">
        <v>393</v>
      </c>
      <c r="W129" s="45">
        <f>VLOOKUP(V129,'Actor and Actress Success'!$A$1:$B$72,2,FALSE)</f>
        <v>27.450980392156865</v>
      </c>
      <c r="X129" s="35">
        <v>1</v>
      </c>
      <c r="Y129" s="35"/>
      <c r="Z129" s="17" t="s">
        <v>538</v>
      </c>
      <c r="AA129" s="17"/>
      <c r="AB129" s="45" t="e">
        <f>VLOOKUP(Z129,'Actor and Actress Success'!$A$1:$B$72,2,FALSE)</f>
        <v>#N/A</v>
      </c>
      <c r="AC129" s="35"/>
      <c r="AD129" s="17" t="s">
        <v>449</v>
      </c>
      <c r="AE129" s="17"/>
      <c r="AF129" s="45">
        <f>VLOOKUP(AD129,'Actor and Actress Success'!$A$1:$B$72,2,FALSE)</f>
        <v>42.307692307692307</v>
      </c>
      <c r="AG129" s="35">
        <v>1</v>
      </c>
      <c r="AH129" s="17" t="s">
        <v>411</v>
      </c>
      <c r="AI129" s="17"/>
      <c r="AK129" s="45" t="e">
        <f>VLOOKUP(AH129,'Actor and Actress Success'!$A$1:$B$72,2,FALSE)</f>
        <v>#N/A</v>
      </c>
    </row>
    <row r="130" spans="1:37">
      <c r="A130">
        <v>130</v>
      </c>
      <c r="B130" s="8" t="s">
        <v>212</v>
      </c>
      <c r="C130" s="10">
        <v>2006</v>
      </c>
      <c r="D130" s="12">
        <v>38786</v>
      </c>
      <c r="E130" s="12"/>
      <c r="F130" s="10" t="s">
        <v>176</v>
      </c>
      <c r="G130" s="10" t="s">
        <v>176</v>
      </c>
      <c r="H130" s="22" t="s">
        <v>439</v>
      </c>
      <c r="I130" s="22">
        <v>300</v>
      </c>
      <c r="J130" s="22">
        <v>97</v>
      </c>
      <c r="K130" s="10">
        <v>90</v>
      </c>
      <c r="L130" s="20">
        <v>70000000</v>
      </c>
      <c r="M130" s="20">
        <v>427680000</v>
      </c>
      <c r="N130" s="20">
        <v>704652960</v>
      </c>
      <c r="O130" s="20"/>
      <c r="P130" s="17" t="s">
        <v>526</v>
      </c>
      <c r="Q130" s="17"/>
      <c r="R130" s="17" t="s">
        <v>926</v>
      </c>
      <c r="S130" s="17"/>
      <c r="T130" s="17" t="s">
        <v>526</v>
      </c>
      <c r="U130" s="17" t="s">
        <v>927</v>
      </c>
      <c r="V130" s="17" t="s">
        <v>453</v>
      </c>
      <c r="W130" s="45" t="e">
        <f>VLOOKUP(V130,'Actor and Actress Success'!$A$1:$B$72,2,FALSE)</f>
        <v>#N/A</v>
      </c>
      <c r="X130" s="35">
        <v>1</v>
      </c>
      <c r="Y130" s="35"/>
      <c r="Z130" s="17" t="s">
        <v>546</v>
      </c>
      <c r="AA130" s="17"/>
      <c r="AB130" s="45" t="e">
        <f>VLOOKUP(Z130,'Actor and Actress Success'!$A$1:$B$72,2,FALSE)</f>
        <v>#N/A</v>
      </c>
      <c r="AC130" s="35">
        <v>1</v>
      </c>
      <c r="AD130" s="17" t="s">
        <v>928</v>
      </c>
      <c r="AE130" s="17"/>
      <c r="AF130" s="45" t="e">
        <f>VLOOKUP(AD130,'Actor and Actress Success'!$A$1:$B$72,2,FALSE)</f>
        <v>#N/A</v>
      </c>
      <c r="AG130" s="35">
        <v>1</v>
      </c>
      <c r="AH130" s="17" t="s">
        <v>929</v>
      </c>
      <c r="AI130" s="17"/>
      <c r="AJ130" s="34">
        <v>1</v>
      </c>
      <c r="AK130" s="45" t="e">
        <f>VLOOKUP(AH130,'Actor and Actress Success'!$A$1:$B$72,2,FALSE)</f>
        <v>#N/A</v>
      </c>
    </row>
    <row r="131" spans="1:37">
      <c r="A131">
        <v>131</v>
      </c>
      <c r="B131" s="8" t="s">
        <v>213</v>
      </c>
      <c r="C131" s="10">
        <v>2008</v>
      </c>
      <c r="D131" s="12">
        <v>39584</v>
      </c>
      <c r="E131" s="12"/>
      <c r="F131" s="10" t="s">
        <v>176</v>
      </c>
      <c r="G131" s="10" t="s">
        <v>176</v>
      </c>
      <c r="H131" s="22" t="s">
        <v>6</v>
      </c>
      <c r="I131" s="22">
        <v>825</v>
      </c>
      <c r="J131" s="22">
        <v>98</v>
      </c>
      <c r="K131" s="10">
        <v>80</v>
      </c>
      <c r="L131" s="20">
        <v>100000000</v>
      </c>
      <c r="M131" s="20">
        <v>415700000</v>
      </c>
      <c r="N131" s="20">
        <v>619072080</v>
      </c>
      <c r="O131" s="20"/>
      <c r="P131" s="17" t="s">
        <v>930</v>
      </c>
      <c r="Q131" s="17"/>
      <c r="R131" s="17" t="s">
        <v>935</v>
      </c>
      <c r="S131" s="17"/>
      <c r="T131" s="17" t="s">
        <v>1868</v>
      </c>
      <c r="U131" s="17" t="s">
        <v>892</v>
      </c>
      <c r="V131" s="17" t="s">
        <v>931</v>
      </c>
      <c r="W131" s="45">
        <f>VLOOKUP(V131,'Actor and Actress Success'!$A$1:$B$72,2,FALSE)</f>
        <v>31.428571428571427</v>
      </c>
      <c r="X131" s="35">
        <v>1</v>
      </c>
      <c r="Y131" s="35"/>
      <c r="Z131" s="17" t="s">
        <v>932</v>
      </c>
      <c r="AA131" s="17"/>
      <c r="AB131" s="45" t="e">
        <f>VLOOKUP(Z131,'Actor and Actress Success'!$A$1:$B$72,2,FALSE)</f>
        <v>#N/A</v>
      </c>
      <c r="AC131" s="35">
        <v>1</v>
      </c>
      <c r="AD131" s="17" t="s">
        <v>933</v>
      </c>
      <c r="AE131" s="17"/>
      <c r="AF131" s="45" t="e">
        <f>VLOOKUP(AD131,'Actor and Actress Success'!$A$1:$B$72,2,FALSE)</f>
        <v>#N/A</v>
      </c>
      <c r="AG131" s="35"/>
      <c r="AH131" s="17" t="s">
        <v>934</v>
      </c>
      <c r="AI131" s="17"/>
      <c r="AK131" s="45" t="e">
        <f>VLOOKUP(AH131,'Actor and Actress Success'!$A$1:$B$72,2,FALSE)</f>
        <v>#N/A</v>
      </c>
    </row>
    <row r="132" spans="1:37">
      <c r="A132">
        <v>132</v>
      </c>
      <c r="B132" s="8" t="s">
        <v>214</v>
      </c>
      <c r="C132" s="10">
        <v>2004</v>
      </c>
      <c r="D132" s="12">
        <v>38079</v>
      </c>
      <c r="E132" s="12"/>
      <c r="F132" s="10" t="s">
        <v>176</v>
      </c>
      <c r="G132" s="10" t="s">
        <v>176</v>
      </c>
      <c r="H132" s="22" t="s">
        <v>408</v>
      </c>
      <c r="I132" s="22">
        <v>215</v>
      </c>
      <c r="J132" s="22">
        <v>102</v>
      </c>
      <c r="K132" s="10">
        <v>36.25</v>
      </c>
      <c r="L132" s="20">
        <v>50000000</v>
      </c>
      <c r="M132" s="20">
        <v>224987500</v>
      </c>
      <c r="N132" s="20">
        <v>493294120</v>
      </c>
      <c r="O132" s="20"/>
      <c r="P132" s="17" t="s">
        <v>936</v>
      </c>
      <c r="Q132" s="17"/>
      <c r="R132" s="17" t="s">
        <v>430</v>
      </c>
      <c r="S132" s="17"/>
      <c r="T132" s="17" t="s">
        <v>936</v>
      </c>
      <c r="U132" s="17" t="s">
        <v>937</v>
      </c>
      <c r="V132" s="17" t="s">
        <v>931</v>
      </c>
      <c r="W132" s="45">
        <f>VLOOKUP(V132,'Actor and Actress Success'!$A$1:$B$72,2,FALSE)</f>
        <v>31.428571428571427</v>
      </c>
      <c r="X132" s="35">
        <v>1</v>
      </c>
      <c r="Y132" s="35"/>
      <c r="Z132" s="17" t="s">
        <v>938</v>
      </c>
      <c r="AA132" s="17"/>
      <c r="AB132" s="45" t="e">
        <f>VLOOKUP(Z132,'Actor and Actress Success'!$A$1:$B$72,2,FALSE)</f>
        <v>#N/A</v>
      </c>
      <c r="AC132" s="35"/>
      <c r="AD132" s="17" t="s">
        <v>939</v>
      </c>
      <c r="AE132" s="17"/>
      <c r="AF132" s="45" t="e">
        <f>VLOOKUP(AD132,'Actor and Actress Success'!$A$1:$B$72,2,FALSE)</f>
        <v>#N/A</v>
      </c>
      <c r="AG132" s="35">
        <v>1</v>
      </c>
      <c r="AH132" s="17" t="s">
        <v>940</v>
      </c>
      <c r="AI132" s="17"/>
      <c r="AK132" s="45" t="e">
        <f>VLOOKUP(AH132,'Actor and Actress Success'!$A$1:$B$72,2,FALSE)</f>
        <v>#N/A</v>
      </c>
    </row>
    <row r="133" spans="1:37">
      <c r="A133">
        <v>133</v>
      </c>
      <c r="B133" s="8" t="s">
        <v>215</v>
      </c>
      <c r="C133" s="10">
        <v>2002</v>
      </c>
      <c r="D133" s="12">
        <v>37449</v>
      </c>
      <c r="E133" s="12"/>
      <c r="F133" s="10" t="s">
        <v>177</v>
      </c>
      <c r="G133" s="10" t="s">
        <v>177</v>
      </c>
      <c r="H133" s="22" t="s">
        <v>56</v>
      </c>
      <c r="I133" s="22">
        <v>325</v>
      </c>
      <c r="J133" s="22">
        <v>104</v>
      </c>
      <c r="K133" s="10">
        <v>53.68</v>
      </c>
      <c r="L133" s="20">
        <v>440000000</v>
      </c>
      <c r="M133" s="20">
        <v>998775000</v>
      </c>
      <c r="N133" s="20">
        <v>1903618860</v>
      </c>
      <c r="O133" s="20"/>
      <c r="P133" s="17" t="s">
        <v>491</v>
      </c>
      <c r="Q133" s="17"/>
      <c r="R133" s="17" t="s">
        <v>941</v>
      </c>
      <c r="S133" s="17"/>
      <c r="T133" s="17" t="s">
        <v>491</v>
      </c>
      <c r="V133" s="37" t="s">
        <v>58</v>
      </c>
      <c r="W133" s="45">
        <f>VLOOKUP(V133,'Actor and Actress Success'!$A$1:$B$72,2,FALSE)</f>
        <v>66.666666666666657</v>
      </c>
      <c r="X133" s="35">
        <v>1</v>
      </c>
      <c r="Y133" s="35"/>
      <c r="Z133" s="37" t="s">
        <v>14</v>
      </c>
      <c r="AA133" s="37">
        <f>'Star Economic history'!M2</f>
        <v>118125000</v>
      </c>
      <c r="AB133" s="45">
        <f>VLOOKUP(Z133,'Actor and Actress Success'!$A$1:$B$72,2,FALSE)</f>
        <v>29.166666666666668</v>
      </c>
      <c r="AC133" s="35">
        <v>1</v>
      </c>
      <c r="AD133" s="17" t="s">
        <v>492</v>
      </c>
      <c r="AE133" s="17"/>
      <c r="AF133" s="45">
        <f>VLOOKUP(AD133,'Actor and Actress Success'!$A$1:$B$72,2,FALSE)</f>
        <v>36.666666666666664</v>
      </c>
      <c r="AG133" s="35">
        <v>1</v>
      </c>
      <c r="AH133" s="17" t="s">
        <v>78</v>
      </c>
      <c r="AI133" s="17"/>
      <c r="AK133" s="45">
        <f>VLOOKUP(AH133,'Actor and Actress Success'!$A$1:$B$72,2,FALSE)</f>
        <v>15.238095238095239</v>
      </c>
    </row>
    <row r="134" spans="1:37">
      <c r="A134">
        <v>134</v>
      </c>
      <c r="B134" s="8" t="s">
        <v>216</v>
      </c>
      <c r="C134" s="10">
        <v>2001</v>
      </c>
      <c r="D134" s="12">
        <v>37057</v>
      </c>
      <c r="E134" s="12"/>
      <c r="F134" s="10" t="s">
        <v>177</v>
      </c>
      <c r="G134" s="10" t="s">
        <v>177</v>
      </c>
      <c r="H134" s="22" t="s">
        <v>6</v>
      </c>
      <c r="I134" s="22">
        <v>270</v>
      </c>
      <c r="J134" s="22">
        <v>106</v>
      </c>
      <c r="K134" s="10">
        <v>61.22</v>
      </c>
      <c r="L134" s="20">
        <v>240000000</v>
      </c>
      <c r="M134" s="20">
        <v>659700000</v>
      </c>
      <c r="N134" s="20">
        <v>1796272280</v>
      </c>
      <c r="O134" s="20"/>
      <c r="P134" s="17" t="s">
        <v>942</v>
      </c>
      <c r="Q134" s="17"/>
      <c r="R134" s="17" t="s">
        <v>568</v>
      </c>
      <c r="S134" s="17"/>
      <c r="T134" s="17" t="s">
        <v>942</v>
      </c>
      <c r="U134" s="17" t="s">
        <v>943</v>
      </c>
      <c r="V134" s="17" t="s">
        <v>73</v>
      </c>
      <c r="W134" s="45">
        <f>VLOOKUP(V134,'Actor and Actress Success'!$A$1:$B$72,2,FALSE)</f>
        <v>65.384615384615387</v>
      </c>
      <c r="X134" s="35">
        <v>1</v>
      </c>
      <c r="Y134" s="35"/>
      <c r="Z134" s="17" t="s">
        <v>944</v>
      </c>
      <c r="AA134" s="17"/>
      <c r="AB134" s="45" t="e">
        <f>VLOOKUP(Z134,'Actor and Actress Success'!$A$1:$B$72,2,FALSE)</f>
        <v>#N/A</v>
      </c>
      <c r="AC134" s="35">
        <v>1</v>
      </c>
      <c r="AD134" s="17" t="s">
        <v>945</v>
      </c>
      <c r="AE134" s="17"/>
      <c r="AF134" s="45" t="e">
        <f>VLOOKUP(AD134,'Actor and Actress Success'!$A$1:$B$72,2,FALSE)</f>
        <v>#N/A</v>
      </c>
      <c r="AG134" s="35"/>
      <c r="AH134" s="17" t="s">
        <v>946</v>
      </c>
      <c r="AI134" s="17"/>
      <c r="AK134" s="45" t="e">
        <f>VLOOKUP(AH134,'Actor and Actress Success'!$A$1:$B$72,2,FALSE)</f>
        <v>#N/A</v>
      </c>
    </row>
    <row r="135" spans="1:37">
      <c r="A135">
        <v>135</v>
      </c>
      <c r="B135" s="8" t="s">
        <v>217</v>
      </c>
      <c r="C135" s="10">
        <v>2001</v>
      </c>
      <c r="D135" s="12">
        <v>37190</v>
      </c>
      <c r="E135" s="12"/>
      <c r="F135" s="10" t="s">
        <v>177</v>
      </c>
      <c r="G135" s="10" t="s">
        <v>177</v>
      </c>
      <c r="H135" s="22" t="s">
        <v>50</v>
      </c>
      <c r="I135" s="22">
        <v>375</v>
      </c>
      <c r="J135" s="22">
        <v>111</v>
      </c>
      <c r="K135" s="10">
        <v>40</v>
      </c>
      <c r="L135" s="20">
        <v>150000000</v>
      </c>
      <c r="M135" s="20">
        <v>426060000</v>
      </c>
      <c r="N135" s="20">
        <v>1485810040</v>
      </c>
      <c r="O135" s="20"/>
      <c r="P135" s="17" t="s">
        <v>947</v>
      </c>
      <c r="Q135" s="17"/>
      <c r="R135" s="17" t="s">
        <v>557</v>
      </c>
      <c r="S135" s="17"/>
      <c r="T135" s="17" t="s">
        <v>947</v>
      </c>
      <c r="U135" s="17" t="s">
        <v>892</v>
      </c>
      <c r="V135" s="17" t="s">
        <v>77</v>
      </c>
      <c r="W135" s="45">
        <f>VLOOKUP(V135,'Actor and Actress Success'!$A$1:$B$72,2,FALSE)</f>
        <v>23.404255319148938</v>
      </c>
      <c r="X135" s="35">
        <v>1</v>
      </c>
      <c r="Y135" s="35"/>
      <c r="Z135" s="17" t="s">
        <v>518</v>
      </c>
      <c r="AA135" s="17"/>
      <c r="AB135" s="45">
        <f>VLOOKUP(Z135,'Actor and Actress Success'!$A$1:$B$72,2,FALSE)</f>
        <v>21.212121212121211</v>
      </c>
      <c r="AC135" s="35">
        <v>1</v>
      </c>
      <c r="AD135" s="17" t="s">
        <v>437</v>
      </c>
      <c r="AE135" s="17"/>
      <c r="AF135" s="45" t="e">
        <f>VLOOKUP(AD135,'Actor and Actress Success'!$A$1:$B$72,2,FALSE)</f>
        <v>#N/A</v>
      </c>
      <c r="AG135" s="35"/>
      <c r="AH135" s="17" t="s">
        <v>462</v>
      </c>
      <c r="AI135" s="17"/>
      <c r="AK135" s="45" t="e">
        <f>VLOOKUP(AH135,'Actor and Actress Success'!$A$1:$B$72,2,FALSE)</f>
        <v>#N/A</v>
      </c>
    </row>
    <row r="136" spans="1:37">
      <c r="A136">
        <v>136</v>
      </c>
      <c r="B136" s="8" t="s">
        <v>218</v>
      </c>
      <c r="C136" s="10">
        <v>2003</v>
      </c>
      <c r="D136" s="12">
        <v>37952</v>
      </c>
      <c r="E136" s="12"/>
      <c r="F136" s="10" t="s">
        <v>177</v>
      </c>
      <c r="G136" s="10" t="s">
        <v>177</v>
      </c>
      <c r="H136" s="22" t="s">
        <v>56</v>
      </c>
      <c r="I136" s="22">
        <v>400</v>
      </c>
      <c r="J136" s="22">
        <v>115</v>
      </c>
      <c r="K136" s="10">
        <v>66.06</v>
      </c>
      <c r="L136" s="20">
        <v>280000000</v>
      </c>
      <c r="M136" s="20">
        <v>860875000</v>
      </c>
      <c r="N136" s="20">
        <v>1271950460</v>
      </c>
      <c r="O136" s="20"/>
      <c r="P136" s="17" t="s">
        <v>948</v>
      </c>
      <c r="Q136" s="17"/>
      <c r="R136" s="17" t="s">
        <v>900</v>
      </c>
      <c r="S136" s="17"/>
      <c r="T136" s="17" t="s">
        <v>382</v>
      </c>
      <c r="U136" s="17" t="s">
        <v>949</v>
      </c>
      <c r="V136" s="17" t="s">
        <v>792</v>
      </c>
      <c r="W136" s="45" t="e">
        <f>VLOOKUP(V136,'Actor and Actress Success'!$A$1:$B$72,2,FALSE)</f>
        <v>#N/A</v>
      </c>
      <c r="X136" s="35"/>
      <c r="Y136" s="35"/>
      <c r="Z136" s="17" t="s">
        <v>58</v>
      </c>
      <c r="AA136" s="17"/>
      <c r="AB136" s="45">
        <f>VLOOKUP(Z136,'Actor and Actress Success'!$A$1:$B$72,2,FALSE)</f>
        <v>66.666666666666657</v>
      </c>
      <c r="AC136" s="35">
        <v>1</v>
      </c>
      <c r="AD136" s="17" t="s">
        <v>393</v>
      </c>
      <c r="AE136" s="17"/>
      <c r="AF136" s="45">
        <f>VLOOKUP(AD136,'Actor and Actress Success'!$A$1:$B$72,2,FALSE)</f>
        <v>27.450980392156865</v>
      </c>
      <c r="AG136" s="35">
        <v>1</v>
      </c>
      <c r="AH136" s="17" t="s">
        <v>449</v>
      </c>
      <c r="AI136" s="17"/>
      <c r="AJ136" s="34">
        <v>1</v>
      </c>
      <c r="AK136" s="45">
        <f>VLOOKUP(AH136,'Actor and Actress Success'!$A$1:$B$72,2,FALSE)</f>
        <v>42.307692307692307</v>
      </c>
    </row>
    <row r="137" spans="1:37">
      <c r="A137">
        <v>137</v>
      </c>
      <c r="B137" s="8" t="s">
        <v>219</v>
      </c>
      <c r="C137" s="10">
        <v>2000</v>
      </c>
      <c r="D137" s="12">
        <v>36609</v>
      </c>
      <c r="E137" s="12"/>
      <c r="F137" s="10" t="s">
        <v>177</v>
      </c>
      <c r="G137" s="10" t="s">
        <v>177</v>
      </c>
      <c r="H137" s="22" t="s">
        <v>439</v>
      </c>
      <c r="I137" s="22">
        <v>300</v>
      </c>
      <c r="J137" s="22">
        <v>119</v>
      </c>
      <c r="K137" s="10">
        <v>73.06</v>
      </c>
      <c r="L137" s="20">
        <v>110000000</v>
      </c>
      <c r="M137" s="20">
        <v>368700000</v>
      </c>
      <c r="N137" s="20">
        <v>1233420540</v>
      </c>
      <c r="O137" s="20"/>
      <c r="P137" s="17" t="s">
        <v>441</v>
      </c>
      <c r="Q137" s="17">
        <f>Q116+150200000</f>
        <v>521900000</v>
      </c>
      <c r="R137" s="17" t="s">
        <v>950</v>
      </c>
      <c r="S137" s="17"/>
      <c r="T137" t="s">
        <v>450</v>
      </c>
      <c r="U137" t="s">
        <v>450</v>
      </c>
      <c r="V137" t="s">
        <v>16</v>
      </c>
      <c r="W137" s="45">
        <f>VLOOKUP(V137,'Actor and Actress Success'!$A$1:$B$72,2,FALSE)</f>
        <v>50.819672131147541</v>
      </c>
      <c r="X137" s="34">
        <v>1</v>
      </c>
      <c r="Z137" t="s">
        <v>69</v>
      </c>
      <c r="AB137" s="45">
        <f>VLOOKUP(Z137,'Actor and Actress Success'!$A$1:$B$72,2,FALSE)</f>
        <v>46.808510638297875</v>
      </c>
      <c r="AC137" s="34">
        <v>1</v>
      </c>
      <c r="AD137" t="s">
        <v>546</v>
      </c>
      <c r="AF137" s="45" t="e">
        <f>VLOOKUP(AD137,'Actor and Actress Success'!$A$1:$B$72,2,FALSE)</f>
        <v>#N/A</v>
      </c>
      <c r="AH137" t="s">
        <v>453</v>
      </c>
      <c r="AK137" s="45" t="e">
        <f>VLOOKUP(AH137,'Actor and Actress Success'!$A$1:$B$72,2,FALSE)</f>
        <v>#N/A</v>
      </c>
    </row>
    <row r="138" spans="1:37">
      <c r="A138">
        <v>138</v>
      </c>
      <c r="B138" s="8" t="s">
        <v>220</v>
      </c>
      <c r="C138" s="10">
        <v>2009</v>
      </c>
      <c r="D138" s="12">
        <v>40074</v>
      </c>
      <c r="E138" s="12"/>
      <c r="F138" s="10" t="s">
        <v>177</v>
      </c>
      <c r="G138" s="10" t="s">
        <v>177</v>
      </c>
      <c r="H138" s="22" t="s">
        <v>50</v>
      </c>
      <c r="I138" s="22">
        <v>1400</v>
      </c>
      <c r="J138" s="22">
        <v>120</v>
      </c>
      <c r="K138" s="10">
        <v>76.62</v>
      </c>
      <c r="L138" s="20">
        <v>520000000</v>
      </c>
      <c r="M138" s="20">
        <v>932300000</v>
      </c>
      <c r="N138" s="20">
        <v>1224065920</v>
      </c>
      <c r="O138" s="20"/>
      <c r="P138" s="17" t="s">
        <v>955</v>
      </c>
      <c r="Q138" s="17"/>
      <c r="R138" s="17" t="s">
        <v>829</v>
      </c>
      <c r="S138" s="17"/>
      <c r="T138" t="s">
        <v>956</v>
      </c>
      <c r="U138" t="s">
        <v>957</v>
      </c>
      <c r="V138" t="s">
        <v>16</v>
      </c>
      <c r="W138" s="45">
        <f>VLOOKUP(V138,'Actor and Actress Success'!$A$1:$B$72,2,FALSE)</f>
        <v>50.819672131147541</v>
      </c>
      <c r="X138" s="34">
        <v>1</v>
      </c>
      <c r="Z138" t="s">
        <v>958</v>
      </c>
      <c r="AB138" s="45" t="e">
        <f>VLOOKUP(Z138,'Actor and Actress Success'!$A$1:$B$72,2,FALSE)</f>
        <v>#N/A</v>
      </c>
      <c r="AC138" s="34">
        <v>1</v>
      </c>
      <c r="AD138" t="s">
        <v>959</v>
      </c>
      <c r="AF138" s="45">
        <f>VLOOKUP(AD138,'Actor and Actress Success'!$A$1:$B$72,2,FALSE)</f>
        <v>21.739130434782609</v>
      </c>
      <c r="AH138" t="s">
        <v>960</v>
      </c>
      <c r="AK138" s="45" t="e">
        <f>VLOOKUP(AH138,'Actor and Actress Success'!$A$1:$B$72,2,FALSE)</f>
        <v>#N/A</v>
      </c>
    </row>
    <row r="139" spans="1:37">
      <c r="A139">
        <v>139</v>
      </c>
      <c r="B139" s="8" t="s">
        <v>221</v>
      </c>
      <c r="C139" s="10">
        <v>2006</v>
      </c>
      <c r="D139" s="12">
        <v>38743</v>
      </c>
      <c r="E139" s="12"/>
      <c r="F139" s="10" t="s">
        <v>177</v>
      </c>
      <c r="G139" s="10" t="s">
        <v>177</v>
      </c>
      <c r="H139" s="22" t="s">
        <v>6</v>
      </c>
      <c r="I139" s="22">
        <v>600</v>
      </c>
      <c r="J139" s="22">
        <v>123</v>
      </c>
      <c r="K139" s="10">
        <v>62.38</v>
      </c>
      <c r="L139" s="20">
        <v>280000000</v>
      </c>
      <c r="M139" s="20">
        <v>979080000</v>
      </c>
      <c r="N139" s="20">
        <v>1205356680</v>
      </c>
      <c r="O139" s="20"/>
      <c r="P139" s="17" t="s">
        <v>951</v>
      </c>
      <c r="Q139" s="17"/>
      <c r="R139" s="17" t="s">
        <v>418</v>
      </c>
      <c r="S139" s="17"/>
      <c r="T139" t="s">
        <v>1867</v>
      </c>
      <c r="U139" t="s">
        <v>954</v>
      </c>
      <c r="V139" t="s">
        <v>73</v>
      </c>
      <c r="W139" s="45">
        <f>VLOOKUP(V139,'Actor and Actress Success'!$A$1:$B$72,2,FALSE)</f>
        <v>65.384615384615387</v>
      </c>
      <c r="X139" s="34">
        <v>1</v>
      </c>
      <c r="Y139" s="35"/>
      <c r="Z139" t="s">
        <v>952</v>
      </c>
      <c r="AB139" s="45" t="e">
        <f>VLOOKUP(Z139,'Actor and Actress Success'!$A$1:$B$72,2,FALSE)</f>
        <v>#N/A</v>
      </c>
      <c r="AC139" s="34">
        <v>1</v>
      </c>
      <c r="AD139" t="s">
        <v>790</v>
      </c>
      <c r="AF139" s="45" t="e">
        <f>VLOOKUP(AD139,'Actor and Actress Success'!$A$1:$B$72,2,FALSE)</f>
        <v>#N/A</v>
      </c>
      <c r="AG139" s="34">
        <v>1</v>
      </c>
      <c r="AH139" t="s">
        <v>953</v>
      </c>
      <c r="AJ139" s="34">
        <v>1</v>
      </c>
      <c r="AK139" s="45" t="e">
        <f>VLOOKUP(AH139,'Actor and Actress Success'!$A$1:$B$72,2,FALSE)</f>
        <v>#N/A</v>
      </c>
    </row>
    <row r="140" spans="1:37">
      <c r="A140">
        <v>140</v>
      </c>
      <c r="B140" s="8" t="s">
        <v>222</v>
      </c>
      <c r="C140" s="10">
        <v>2004</v>
      </c>
      <c r="D140" s="12">
        <v>38107</v>
      </c>
      <c r="E140" s="12"/>
      <c r="F140" s="10" t="s">
        <v>177</v>
      </c>
      <c r="G140" s="10" t="s">
        <v>177</v>
      </c>
      <c r="H140" s="22" t="s">
        <v>428</v>
      </c>
      <c r="I140" s="22">
        <v>550</v>
      </c>
      <c r="J140" s="22">
        <v>125</v>
      </c>
      <c r="K140" s="10">
        <v>52.02</v>
      </c>
      <c r="L140" s="20">
        <v>250000000</v>
      </c>
      <c r="M140" s="20">
        <v>733047500</v>
      </c>
      <c r="N140" s="20">
        <v>1169512740</v>
      </c>
      <c r="O140" s="20"/>
      <c r="P140" s="17" t="s">
        <v>804</v>
      </c>
      <c r="Q140" s="17"/>
      <c r="R140" t="s">
        <v>430</v>
      </c>
      <c r="T140" t="s">
        <v>804</v>
      </c>
      <c r="U140" t="s">
        <v>920</v>
      </c>
      <c r="V140" t="s">
        <v>58</v>
      </c>
      <c r="W140" s="45">
        <f>VLOOKUP(V140,'Actor and Actress Success'!$A$1:$B$72,2,FALSE)</f>
        <v>66.666666666666657</v>
      </c>
      <c r="X140" s="34">
        <v>1</v>
      </c>
      <c r="Z140" t="s">
        <v>79</v>
      </c>
      <c r="AA140">
        <f>'Star Economic history'!O8</f>
        <v>90990000</v>
      </c>
      <c r="AB140" s="45">
        <f>VLOOKUP(Z140,'Actor and Actress Success'!$A$1:$B$72,2,FALSE)</f>
        <v>26.373626373626376</v>
      </c>
      <c r="AD140" t="s">
        <v>772</v>
      </c>
      <c r="AF140" s="45">
        <f>VLOOKUP(AD140,'Actor and Actress Success'!$A$1:$B$72,2,FALSE)</f>
        <v>20.833333333333336</v>
      </c>
      <c r="AG140" s="34">
        <v>1</v>
      </c>
      <c r="AH140" t="s">
        <v>824</v>
      </c>
      <c r="AJ140" s="34">
        <v>1</v>
      </c>
      <c r="AK140" s="45" t="e">
        <f>VLOOKUP(AH140,'Actor and Actress Success'!$A$1:$B$72,2,FALSE)</f>
        <v>#N/A</v>
      </c>
    </row>
    <row r="141" spans="1:37">
      <c r="A141">
        <v>141</v>
      </c>
      <c r="B141" s="8" t="s">
        <v>223</v>
      </c>
      <c r="C141" s="10">
        <v>2006</v>
      </c>
      <c r="D141" s="12">
        <v>39010</v>
      </c>
      <c r="E141" s="12"/>
      <c r="F141" s="10" t="s">
        <v>177</v>
      </c>
      <c r="G141" s="10" t="s">
        <v>177</v>
      </c>
      <c r="H141" s="22" t="s">
        <v>50</v>
      </c>
      <c r="I141" s="22">
        <v>850</v>
      </c>
      <c r="J141" s="22">
        <v>126</v>
      </c>
      <c r="K141" s="10">
        <v>53.09</v>
      </c>
      <c r="L141" s="20">
        <v>380000000</v>
      </c>
      <c r="M141" s="20">
        <v>1063440000</v>
      </c>
      <c r="N141" s="20">
        <v>1156545940</v>
      </c>
      <c r="O141" s="20"/>
      <c r="P141" s="17" t="s">
        <v>962</v>
      </c>
      <c r="Q141" s="17"/>
      <c r="R141" t="s">
        <v>900</v>
      </c>
      <c r="T141" t="s">
        <v>962</v>
      </c>
      <c r="U141" t="s">
        <v>962</v>
      </c>
      <c r="V141" t="s">
        <v>58</v>
      </c>
      <c r="W141" s="45">
        <f>VLOOKUP(V141,'Actor and Actress Success'!$A$1:$B$72,2,FALSE)</f>
        <v>66.666666666666657</v>
      </c>
      <c r="X141" s="34">
        <v>1</v>
      </c>
      <c r="Z141" t="s">
        <v>803</v>
      </c>
      <c r="AB141" s="45">
        <f>VLOOKUP(Z141,'Actor and Actress Success'!$A$1:$B$72,2,FALSE)</f>
        <v>45</v>
      </c>
      <c r="AC141" s="34">
        <v>1</v>
      </c>
      <c r="AD141" t="s">
        <v>807</v>
      </c>
      <c r="AF141" s="45" t="e">
        <f>VLOOKUP(AD141,'Actor and Actress Success'!$A$1:$B$72,2,FALSE)</f>
        <v>#N/A</v>
      </c>
      <c r="AH141" t="s">
        <v>811</v>
      </c>
      <c r="AK141" s="45" t="e">
        <f>VLOOKUP(AH141,'Actor and Actress Success'!$A$1:$B$72,2,FALSE)</f>
        <v>#N/A</v>
      </c>
    </row>
    <row r="142" spans="1:37">
      <c r="A142">
        <v>142</v>
      </c>
      <c r="B142" s="8" t="s">
        <v>224</v>
      </c>
      <c r="C142" s="10">
        <v>2001</v>
      </c>
      <c r="D142" s="12">
        <v>36994</v>
      </c>
      <c r="E142" s="12"/>
      <c r="F142" s="10" t="s">
        <v>177</v>
      </c>
      <c r="G142" s="10" t="s">
        <v>177</v>
      </c>
      <c r="H142" s="22" t="s">
        <v>439</v>
      </c>
      <c r="I142" s="22">
        <v>285</v>
      </c>
      <c r="J142" s="22">
        <v>128</v>
      </c>
      <c r="K142" s="10">
        <v>55</v>
      </c>
      <c r="L142" s="20">
        <v>110000000</v>
      </c>
      <c r="M142" s="20">
        <v>341342500</v>
      </c>
      <c r="N142" s="20">
        <v>1122739640</v>
      </c>
      <c r="O142" s="20"/>
      <c r="P142" s="17" t="s">
        <v>441</v>
      </c>
      <c r="Q142" s="17">
        <f>Q134+107650000</f>
        <v>107650000</v>
      </c>
      <c r="R142" t="s">
        <v>964</v>
      </c>
      <c r="U142" t="s">
        <v>450</v>
      </c>
      <c r="V142" t="s">
        <v>511</v>
      </c>
      <c r="W142" s="45">
        <f>VLOOKUP(V142,'Actor and Actress Success'!$A$1:$B$72,2,FALSE)</f>
        <v>27.397260273972602</v>
      </c>
      <c r="X142" s="34">
        <v>1</v>
      </c>
      <c r="Z142" t="s">
        <v>451</v>
      </c>
      <c r="AA142">
        <f>'Star Economic history'!L3</f>
        <v>69550000</v>
      </c>
      <c r="AB142" s="45">
        <f>VLOOKUP(Z142,'Actor and Actress Success'!$A$1:$B$72,2,FALSE)</f>
        <v>22.857142857142858</v>
      </c>
      <c r="AC142" s="34">
        <v>1</v>
      </c>
      <c r="AD142" t="s">
        <v>436</v>
      </c>
      <c r="AF142" s="45" t="e">
        <f>VLOOKUP(AD142,'Actor and Actress Success'!$A$1:$B$72,2,FALSE)</f>
        <v>#N/A</v>
      </c>
      <c r="AG142" s="34">
        <v>1</v>
      </c>
      <c r="AH142" t="s">
        <v>963</v>
      </c>
      <c r="AJ142" s="34">
        <v>1</v>
      </c>
      <c r="AK142" s="45" t="e">
        <f>VLOOKUP(AH142,'Actor and Actress Success'!$A$1:$B$72,2,FALSE)</f>
        <v>#N/A</v>
      </c>
    </row>
    <row r="143" spans="1:37">
      <c r="A143">
        <v>143</v>
      </c>
      <c r="B143" s="8" t="s">
        <v>225</v>
      </c>
      <c r="C143" s="10">
        <v>2007</v>
      </c>
      <c r="D143" s="12">
        <v>39367</v>
      </c>
      <c r="E143" s="12"/>
      <c r="F143" s="10" t="s">
        <v>177</v>
      </c>
      <c r="G143" s="10" t="s">
        <v>177</v>
      </c>
      <c r="H143" s="22" t="s">
        <v>439</v>
      </c>
      <c r="I143" s="22">
        <v>1050</v>
      </c>
      <c r="J143" s="22">
        <v>134</v>
      </c>
      <c r="K143" s="10">
        <v>82.5</v>
      </c>
      <c r="L143" s="20">
        <v>320000000</v>
      </c>
      <c r="M143" s="20">
        <v>828377500</v>
      </c>
      <c r="N143" s="20">
        <v>1091619320</v>
      </c>
      <c r="O143" s="20"/>
      <c r="P143" s="17" t="s">
        <v>526</v>
      </c>
      <c r="Q143" s="17"/>
      <c r="R143" t="s">
        <v>801</v>
      </c>
      <c r="T143" t="s">
        <v>965</v>
      </c>
      <c r="U143" t="s">
        <v>967</v>
      </c>
      <c r="V143" t="s">
        <v>397</v>
      </c>
      <c r="W143" s="45">
        <f>VLOOKUP(V143,'Actor and Actress Success'!$A$1:$B$72,2,FALSE)</f>
        <v>44.117647058823529</v>
      </c>
      <c r="X143" s="34">
        <v>1</v>
      </c>
      <c r="Y143" s="34">
        <f>'Star Economic history'!R6</f>
        <v>219066666.66666666</v>
      </c>
      <c r="Z143" t="s">
        <v>810</v>
      </c>
      <c r="AB143" s="45">
        <f>VLOOKUP(Z143,'Actor and Actress Success'!$A$1:$B$72,2,FALSE)</f>
        <v>40.909090909090914</v>
      </c>
      <c r="AC143" s="34">
        <v>1</v>
      </c>
      <c r="AD143" t="s">
        <v>966</v>
      </c>
      <c r="AF143" s="45" t="e">
        <f>VLOOKUP(AD143,'Actor and Actress Success'!$A$1:$B$72,2,FALSE)</f>
        <v>#N/A</v>
      </c>
      <c r="AH143" t="s">
        <v>784</v>
      </c>
      <c r="AK143" s="45">
        <f>VLOOKUP(AH143,'Actor and Actress Success'!$A$1:$B$72,2,FALSE)</f>
        <v>26.923076923076923</v>
      </c>
    </row>
    <row r="144" spans="1:37">
      <c r="A144">
        <v>144</v>
      </c>
      <c r="B144" s="8" t="s">
        <v>226</v>
      </c>
      <c r="C144" s="10">
        <v>2000</v>
      </c>
      <c r="D144" s="12">
        <v>36567</v>
      </c>
      <c r="E144" s="12"/>
      <c r="F144" s="10" t="s">
        <v>177</v>
      </c>
      <c r="G144" s="10" t="s">
        <v>177</v>
      </c>
      <c r="H144" s="22" t="s">
        <v>50</v>
      </c>
      <c r="I144" s="22">
        <v>310</v>
      </c>
      <c r="J144" s="22">
        <v>136</v>
      </c>
      <c r="K144" s="10">
        <v>60</v>
      </c>
      <c r="L144" s="20">
        <v>100000000</v>
      </c>
      <c r="M144" s="20">
        <v>269160000</v>
      </c>
      <c r="N144" s="20">
        <v>1079393480</v>
      </c>
      <c r="O144" s="20"/>
      <c r="P144" s="17" t="s">
        <v>454</v>
      </c>
      <c r="Q144" s="17"/>
      <c r="R144" t="s">
        <v>430</v>
      </c>
      <c r="T144" t="s">
        <v>454</v>
      </c>
      <c r="U144" t="s">
        <v>574</v>
      </c>
      <c r="V144" t="s">
        <v>435</v>
      </c>
      <c r="W144" s="45">
        <f>VLOOKUP(V144,'Actor and Actress Success'!$A$1:$B$72,2,FALSE)</f>
        <v>24.324324324324326</v>
      </c>
      <c r="X144" s="34">
        <v>1</v>
      </c>
      <c r="Z144" t="s">
        <v>383</v>
      </c>
      <c r="AB144" s="45">
        <f>VLOOKUP(Z144,'Actor and Actress Success'!$A$1:$B$72,2,FALSE)</f>
        <v>47.5</v>
      </c>
      <c r="AC144" s="34">
        <v>1</v>
      </c>
      <c r="AD144" t="s">
        <v>716</v>
      </c>
      <c r="AF144" s="45" t="e">
        <f>VLOOKUP(AD144,'Actor and Actress Success'!$A$1:$B$72,2,FALSE)</f>
        <v>#N/A</v>
      </c>
      <c r="AH144" t="s">
        <v>60</v>
      </c>
      <c r="AK144" s="45" t="e">
        <f>VLOOKUP(AH144,'Actor and Actress Success'!$A$1:$B$72,2,FALSE)</f>
        <v>#N/A</v>
      </c>
    </row>
    <row r="145" spans="1:37">
      <c r="A145">
        <v>145</v>
      </c>
      <c r="B145" s="8" t="s">
        <v>227</v>
      </c>
      <c r="C145" s="10">
        <v>2007</v>
      </c>
      <c r="D145" s="12">
        <v>39318</v>
      </c>
      <c r="E145" s="12"/>
      <c r="F145" s="10" t="s">
        <v>177</v>
      </c>
      <c r="G145" s="10" t="s">
        <v>177</v>
      </c>
      <c r="H145" s="22" t="s">
        <v>439</v>
      </c>
      <c r="I145" s="22">
        <v>1000</v>
      </c>
      <c r="J145" s="22">
        <v>143</v>
      </c>
      <c r="K145" s="10">
        <v>79</v>
      </c>
      <c r="L145" s="20">
        <v>360000000</v>
      </c>
      <c r="M145" s="20">
        <v>839390000</v>
      </c>
      <c r="N145" s="20">
        <v>1066223680</v>
      </c>
      <c r="O145" s="20"/>
      <c r="P145" s="17" t="s">
        <v>968</v>
      </c>
      <c r="Q145" s="17"/>
      <c r="R145" t="s">
        <v>900</v>
      </c>
      <c r="T145" t="s">
        <v>1866</v>
      </c>
      <c r="U145" t="s">
        <v>969</v>
      </c>
      <c r="V145" t="s">
        <v>397</v>
      </c>
      <c r="W145" s="45">
        <f>VLOOKUP(V145,'Actor and Actress Success'!$A$1:$B$72,2,FALSE)</f>
        <v>44.117647058823529</v>
      </c>
      <c r="X145" s="34">
        <v>1</v>
      </c>
      <c r="Y145" s="34">
        <f>'Star Economic history'!R6</f>
        <v>219066666.66666666</v>
      </c>
      <c r="Z145" t="s">
        <v>810</v>
      </c>
      <c r="AB145" s="45">
        <f>VLOOKUP(Z145,'Actor and Actress Success'!$A$1:$B$72,2,FALSE)</f>
        <v>40.909090909090914</v>
      </c>
      <c r="AC145" s="34">
        <v>1</v>
      </c>
      <c r="AD145" t="s">
        <v>898</v>
      </c>
      <c r="AF145" s="45" t="e">
        <f>VLOOKUP(AD145,'Actor and Actress Success'!$A$1:$B$72,2,FALSE)</f>
        <v>#N/A</v>
      </c>
      <c r="AG145" s="34">
        <v>1</v>
      </c>
      <c r="AH145" t="s">
        <v>928</v>
      </c>
      <c r="AJ145" s="34">
        <v>1</v>
      </c>
      <c r="AK145" s="45" t="e">
        <f>VLOOKUP(AH145,'Actor and Actress Success'!$A$1:$B$72,2,FALSE)</f>
        <v>#N/A</v>
      </c>
    </row>
    <row r="146" spans="1:37">
      <c r="A146">
        <v>146</v>
      </c>
      <c r="B146" s="8" t="s">
        <v>228</v>
      </c>
      <c r="C146" s="10">
        <v>2007</v>
      </c>
      <c r="D146" s="12">
        <v>39094</v>
      </c>
      <c r="E146" s="12"/>
      <c r="F146" s="10" t="s">
        <v>177</v>
      </c>
      <c r="G146" s="10" t="s">
        <v>177</v>
      </c>
      <c r="H146" s="22" t="s">
        <v>6</v>
      </c>
      <c r="I146" s="22">
        <v>650</v>
      </c>
      <c r="J146" s="22">
        <v>145</v>
      </c>
      <c r="K146" s="10">
        <v>55</v>
      </c>
      <c r="L146" s="20">
        <v>220000000</v>
      </c>
      <c r="M146" s="20">
        <v>836710000</v>
      </c>
      <c r="N146" s="20">
        <v>995942860</v>
      </c>
      <c r="O146" s="20"/>
      <c r="P146" t="s">
        <v>970</v>
      </c>
      <c r="R146" t="s">
        <v>418</v>
      </c>
      <c r="T146" t="s">
        <v>970</v>
      </c>
      <c r="U146" t="s">
        <v>971</v>
      </c>
      <c r="V146" t="s">
        <v>555</v>
      </c>
      <c r="W146" s="45">
        <f>VLOOKUP(V146,'Actor and Actress Success'!$A$1:$B$72,2,FALSE)</f>
        <v>11.607142857142858</v>
      </c>
      <c r="X146" s="34">
        <v>1</v>
      </c>
      <c r="Y146" s="34">
        <f>'Star Economic history'!R9</f>
        <v>9525000</v>
      </c>
      <c r="Z146" t="s">
        <v>802</v>
      </c>
      <c r="AB146" s="45">
        <f>VLOOKUP(Z146,'Actor and Actress Success'!$A$1:$B$72,2,FALSE)</f>
        <v>35.714285714285715</v>
      </c>
      <c r="AC146" s="34">
        <v>1</v>
      </c>
      <c r="AD146" t="s">
        <v>492</v>
      </c>
      <c r="AF146" s="45">
        <f>VLOOKUP(AD146,'Actor and Actress Success'!$A$1:$B$72,2,FALSE)</f>
        <v>36.666666666666664</v>
      </c>
      <c r="AG146" s="34">
        <v>1</v>
      </c>
      <c r="AH146" t="s">
        <v>789</v>
      </c>
      <c r="AJ146" s="34">
        <v>1</v>
      </c>
      <c r="AK146" s="45" t="e">
        <f>VLOOKUP(AH146,'Actor and Actress Success'!$A$1:$B$72,2,FALSE)</f>
        <v>#N/A</v>
      </c>
    </row>
    <row r="147" spans="1:37">
      <c r="A147">
        <v>147</v>
      </c>
      <c r="B147" s="8" t="s">
        <v>229</v>
      </c>
      <c r="C147" s="10">
        <v>2008</v>
      </c>
      <c r="D147" s="12">
        <v>39528</v>
      </c>
      <c r="E147" s="12"/>
      <c r="F147" s="10" t="s">
        <v>177</v>
      </c>
      <c r="G147" s="10" t="s">
        <v>177</v>
      </c>
      <c r="H147" s="22" t="s">
        <v>408</v>
      </c>
      <c r="I147" s="22">
        <v>1300</v>
      </c>
      <c r="J147" s="22">
        <v>146</v>
      </c>
      <c r="K147" s="10">
        <v>77.22</v>
      </c>
      <c r="L147" s="1">
        <v>460000000</v>
      </c>
      <c r="M147" s="20">
        <v>1034500000</v>
      </c>
      <c r="N147" s="20">
        <v>990385660</v>
      </c>
      <c r="O147" s="20"/>
      <c r="P147" t="s">
        <v>448</v>
      </c>
      <c r="R147" t="s">
        <v>801</v>
      </c>
      <c r="T147" t="s">
        <v>957</v>
      </c>
      <c r="U147" t="s">
        <v>972</v>
      </c>
      <c r="V147" t="s">
        <v>442</v>
      </c>
      <c r="W147" s="45">
        <f>VLOOKUP(V147,'Actor and Actress Success'!$A$1:$B$72,2,FALSE)</f>
        <v>34.042553191489361</v>
      </c>
      <c r="X147" s="34">
        <v>1</v>
      </c>
      <c r="Y147" s="34">
        <f>'Star Economic history'!S5</f>
        <v>464150000</v>
      </c>
      <c r="Z147" t="s">
        <v>393</v>
      </c>
      <c r="AB147" s="45">
        <f>VLOOKUP(Z147,'Actor and Actress Success'!$A$1:$B$72,2,FALSE)</f>
        <v>27.450980392156865</v>
      </c>
      <c r="AC147" s="34">
        <v>1</v>
      </c>
      <c r="AD147" t="s">
        <v>569</v>
      </c>
      <c r="AF147" s="45" t="e">
        <f>VLOOKUP(AD147,'Actor and Actress Success'!$A$1:$B$72,2,FALSE)</f>
        <v>#N/A</v>
      </c>
      <c r="AG147" s="34">
        <v>1</v>
      </c>
      <c r="AH147" t="s">
        <v>818</v>
      </c>
      <c r="AJ147" s="34">
        <v>1</v>
      </c>
      <c r="AK147" s="45">
        <f>VLOOKUP(AH147,'Actor and Actress Success'!$A$1:$B$72,2,FALSE)</f>
        <v>30</v>
      </c>
    </row>
    <row r="148" spans="1:37">
      <c r="A148">
        <v>148</v>
      </c>
      <c r="B148" s="8" t="s">
        <v>230</v>
      </c>
      <c r="C148" s="10">
        <v>2004</v>
      </c>
      <c r="D148" s="12">
        <v>38198</v>
      </c>
      <c r="E148" s="12"/>
      <c r="F148" s="10" t="s">
        <v>177</v>
      </c>
      <c r="G148" s="10" t="s">
        <v>177</v>
      </c>
      <c r="H148" s="22" t="s">
        <v>439</v>
      </c>
      <c r="I148" s="22">
        <v>550</v>
      </c>
      <c r="J148" s="22">
        <v>148</v>
      </c>
      <c r="K148" s="10">
        <v>79.47</v>
      </c>
      <c r="L148" s="1">
        <v>190000000</v>
      </c>
      <c r="M148" s="20">
        <v>559837500</v>
      </c>
      <c r="N148" s="20">
        <v>970750220</v>
      </c>
      <c r="O148" s="20"/>
      <c r="P148" t="s">
        <v>441</v>
      </c>
      <c r="Q148">
        <f>Q109+188950000+120500000+79500000+54900000+76550000+117100000</f>
        <v>637500000</v>
      </c>
      <c r="R148" t="s">
        <v>973</v>
      </c>
      <c r="T148" t="s">
        <v>503</v>
      </c>
      <c r="U148" t="s">
        <v>450</v>
      </c>
      <c r="V148" t="s">
        <v>16</v>
      </c>
      <c r="W148" s="45">
        <f>VLOOKUP(V148,'Actor and Actress Success'!$A$1:$B$72,2,FALSE)</f>
        <v>50.819672131147541</v>
      </c>
      <c r="X148" s="34">
        <v>1</v>
      </c>
      <c r="Z148" t="s">
        <v>397</v>
      </c>
      <c r="AA148">
        <f>'Star Economic history'!O6</f>
        <v>118975000</v>
      </c>
      <c r="AB148" s="45">
        <f>VLOOKUP(Z148,'Actor and Actress Success'!$A$1:$B$72,2,FALSE)</f>
        <v>44.117647058823529</v>
      </c>
      <c r="AC148" s="34">
        <v>1</v>
      </c>
      <c r="AD148" t="s">
        <v>803</v>
      </c>
      <c r="AF148" s="45">
        <f>VLOOKUP(AD148,'Actor and Actress Success'!$A$1:$B$72,2,FALSE)</f>
        <v>45</v>
      </c>
      <c r="AG148" s="34">
        <v>1</v>
      </c>
      <c r="AH148" t="s">
        <v>60</v>
      </c>
      <c r="AK148" s="45" t="e">
        <f>VLOOKUP(AH148,'Actor and Actress Success'!$A$1:$B$72,2,FALSE)</f>
        <v>#N/A</v>
      </c>
    </row>
    <row r="149" spans="1:37">
      <c r="A149">
        <v>149</v>
      </c>
      <c r="B149" s="8" t="s">
        <v>231</v>
      </c>
      <c r="C149" s="10">
        <v>2009</v>
      </c>
      <c r="D149" s="12">
        <v>40025</v>
      </c>
      <c r="E149" s="12"/>
      <c r="F149" s="10" t="s">
        <v>177</v>
      </c>
      <c r="G149" s="10" t="s">
        <v>177</v>
      </c>
      <c r="H149" s="22" t="s">
        <v>56</v>
      </c>
      <c r="I149" s="22">
        <v>1350</v>
      </c>
      <c r="J149" s="22">
        <v>149</v>
      </c>
      <c r="K149" s="10">
        <v>77.94</v>
      </c>
      <c r="L149" s="20">
        <v>560000000</v>
      </c>
      <c r="M149" s="20">
        <v>1195175000</v>
      </c>
      <c r="N149" s="20">
        <v>969175680</v>
      </c>
      <c r="O149" s="20"/>
      <c r="P149" t="s">
        <v>974</v>
      </c>
      <c r="R149" t="s">
        <v>975</v>
      </c>
      <c r="T149" t="s">
        <v>974</v>
      </c>
      <c r="U149" t="s">
        <v>974</v>
      </c>
      <c r="V149" t="s">
        <v>393</v>
      </c>
      <c r="W149" s="45">
        <f>VLOOKUP(V149,'Actor and Actress Success'!$A$1:$B$72,2,FALSE)</f>
        <v>27.450980392156865</v>
      </c>
      <c r="X149" s="34">
        <v>1</v>
      </c>
      <c r="Z149" t="s">
        <v>806</v>
      </c>
      <c r="AB149" s="45">
        <f>VLOOKUP(Z149,'Actor and Actress Success'!$A$1:$B$72,2,FALSE)</f>
        <v>57.142857142857139</v>
      </c>
      <c r="AC149" s="34">
        <v>1</v>
      </c>
      <c r="AD149" t="s">
        <v>724</v>
      </c>
      <c r="AE149">
        <f>'Star Economic history'!T7</f>
        <v>0</v>
      </c>
      <c r="AF149" s="45">
        <f>VLOOKUP(AD149,'Actor and Actress Success'!$A$1:$B$72,2,FALSE)</f>
        <v>26.086956521739129</v>
      </c>
      <c r="AH149" t="s">
        <v>976</v>
      </c>
      <c r="AK149" s="45" t="e">
        <f>VLOOKUP(AH149,'Actor and Actress Success'!$A$1:$B$72,2,FALSE)</f>
        <v>#N/A</v>
      </c>
    </row>
    <row r="150" spans="1:37">
      <c r="A150">
        <v>150</v>
      </c>
      <c r="B150" s="8" t="s">
        <v>232</v>
      </c>
      <c r="C150" s="10">
        <v>2008</v>
      </c>
      <c r="D150" s="12">
        <v>39750</v>
      </c>
      <c r="E150" s="12"/>
      <c r="F150" s="10" t="s">
        <v>177</v>
      </c>
      <c r="G150" s="10" t="s">
        <v>177</v>
      </c>
      <c r="H150" s="22" t="s">
        <v>439</v>
      </c>
      <c r="I150" s="22">
        <v>1250</v>
      </c>
      <c r="J150" s="22">
        <v>150</v>
      </c>
      <c r="K150" s="10">
        <v>10</v>
      </c>
      <c r="L150" s="20">
        <v>350000000</v>
      </c>
      <c r="M150" s="20">
        <v>800080000</v>
      </c>
      <c r="N150" s="20">
        <v>947595220</v>
      </c>
      <c r="O150" s="20"/>
      <c r="P150" t="s">
        <v>977</v>
      </c>
      <c r="R150" t="s">
        <v>978</v>
      </c>
      <c r="T150" t="s">
        <v>979</v>
      </c>
      <c r="U150" t="s">
        <v>773</v>
      </c>
      <c r="V150" t="s">
        <v>429</v>
      </c>
      <c r="W150" s="45">
        <f>VLOOKUP(V150,'Actor and Actress Success'!$A$1:$B$72,2,FALSE)</f>
        <v>39.285714285714285</v>
      </c>
      <c r="X150" s="34">
        <v>1</v>
      </c>
      <c r="Y150" s="34">
        <f>'Star Economic history'!S4</f>
        <v>129787500</v>
      </c>
      <c r="Z150" t="s">
        <v>788</v>
      </c>
      <c r="AB150" s="45">
        <f>VLOOKUP(Z150,'Actor and Actress Success'!$A$1:$B$72,2,FALSE)</f>
        <v>45.652173913043477</v>
      </c>
      <c r="AC150" s="34">
        <v>1</v>
      </c>
      <c r="AD150" t="s">
        <v>550</v>
      </c>
      <c r="AF150" s="45" t="e">
        <f>VLOOKUP(AD150,'Actor and Actress Success'!$A$1:$B$72,2,FALSE)</f>
        <v>#N/A</v>
      </c>
      <c r="AG150" s="34">
        <v>1</v>
      </c>
      <c r="AH150" t="s">
        <v>909</v>
      </c>
      <c r="AJ150" s="34">
        <v>1</v>
      </c>
      <c r="AK150" s="45" t="e">
        <f>VLOOKUP(AH150,'Actor and Actress Success'!$A$1:$B$72,2,FALSE)</f>
        <v>#N/A</v>
      </c>
    </row>
    <row r="151" spans="1:37">
      <c r="A151">
        <v>151</v>
      </c>
      <c r="B151" s="8" t="s">
        <v>233</v>
      </c>
      <c r="C151" s="10">
        <v>2006</v>
      </c>
      <c r="D151" s="12">
        <v>39073</v>
      </c>
      <c r="E151" s="12"/>
      <c r="F151" s="10" t="s">
        <v>177</v>
      </c>
      <c r="G151" s="10" t="s">
        <v>177</v>
      </c>
      <c r="H151" s="22" t="s">
        <v>439</v>
      </c>
      <c r="I151" s="22">
        <v>750</v>
      </c>
      <c r="J151" s="22">
        <v>152</v>
      </c>
      <c r="K151" s="10">
        <v>100</v>
      </c>
      <c r="L151" s="20">
        <v>320000000</v>
      </c>
      <c r="M151" s="20">
        <v>678252500</v>
      </c>
      <c r="N151" s="20">
        <v>938703700</v>
      </c>
      <c r="O151" s="20"/>
      <c r="P151" t="s">
        <v>1012</v>
      </c>
      <c r="R151" t="s">
        <v>801</v>
      </c>
      <c r="T151" t="s">
        <v>773</v>
      </c>
      <c r="U151" t="s">
        <v>773</v>
      </c>
      <c r="V151" t="s">
        <v>397</v>
      </c>
      <c r="W151" s="45">
        <f>VLOOKUP(V151,'Actor and Actress Success'!$A$1:$B$72,2,FALSE)</f>
        <v>44.117647058823529</v>
      </c>
      <c r="X151" s="34">
        <v>1</v>
      </c>
      <c r="Y151" s="34">
        <f>'Star Economic history'!Q6</f>
        <v>161225000</v>
      </c>
      <c r="Z151" t="s">
        <v>451</v>
      </c>
      <c r="AA151">
        <f>'Star Economic history'!Q3</f>
        <v>4175000</v>
      </c>
      <c r="AB151" s="45">
        <f>VLOOKUP(Z151,'Actor and Actress Success'!$A$1:$B$72,2,FALSE)</f>
        <v>22.857142857142858</v>
      </c>
      <c r="AC151" s="34">
        <v>1</v>
      </c>
      <c r="AD151" t="s">
        <v>453</v>
      </c>
      <c r="AF151" s="45" t="e">
        <f>VLOOKUP(AD151,'Actor and Actress Success'!$A$1:$B$72,2,FALSE)</f>
        <v>#N/A</v>
      </c>
      <c r="AH151" t="s">
        <v>830</v>
      </c>
      <c r="AJ151" s="34">
        <v>1</v>
      </c>
      <c r="AK151" s="45">
        <f>VLOOKUP(AH151,'Actor and Actress Success'!$A$1:$B$72,2,FALSE)</f>
        <v>32</v>
      </c>
    </row>
    <row r="152" spans="1:37">
      <c r="A152">
        <v>152</v>
      </c>
      <c r="B152" s="8" t="s">
        <v>234</v>
      </c>
      <c r="C152" s="10">
        <v>2000</v>
      </c>
      <c r="D152" s="12">
        <v>36763</v>
      </c>
      <c r="E152" s="12"/>
      <c r="F152" s="10" t="s">
        <v>177</v>
      </c>
      <c r="G152" s="10" t="s">
        <v>177</v>
      </c>
      <c r="H152" s="22" t="s">
        <v>6</v>
      </c>
      <c r="I152" s="22">
        <v>225</v>
      </c>
      <c r="J152" s="22">
        <v>156</v>
      </c>
      <c r="K152" s="10">
        <v>55</v>
      </c>
      <c r="L152" s="20">
        <v>90000000</v>
      </c>
      <c r="M152" s="20">
        <v>302615000</v>
      </c>
      <c r="N152" s="20">
        <v>909991500</v>
      </c>
      <c r="O152" s="20"/>
      <c r="P152" t="s">
        <v>482</v>
      </c>
      <c r="R152" t="s">
        <v>765</v>
      </c>
      <c r="T152" t="s">
        <v>1013</v>
      </c>
      <c r="U152" t="s">
        <v>1014</v>
      </c>
      <c r="V152" t="s">
        <v>442</v>
      </c>
      <c r="W152" s="45">
        <f>VLOOKUP(V152,'Actor and Actress Success'!$A$1:$B$72,2,FALSE)</f>
        <v>34.042553191489361</v>
      </c>
      <c r="X152" s="34">
        <v>1</v>
      </c>
      <c r="Y152" s="34">
        <f>'Star Economic history'!K5</f>
        <v>213683333.33333334</v>
      </c>
      <c r="Z152" t="s">
        <v>492</v>
      </c>
      <c r="AB152" s="45">
        <f>VLOOKUP(Z152,'Actor and Actress Success'!$A$1:$B$72,2,FALSE)</f>
        <v>36.666666666666664</v>
      </c>
      <c r="AC152" s="34">
        <v>1</v>
      </c>
      <c r="AD152" t="s">
        <v>500</v>
      </c>
      <c r="AF152" s="45" t="e">
        <f>VLOOKUP(AD152,'Actor and Actress Success'!$A$1:$B$72,2,FALSE)</f>
        <v>#N/A</v>
      </c>
      <c r="AG152" s="34">
        <v>1</v>
      </c>
      <c r="AH152" t="s">
        <v>1015</v>
      </c>
      <c r="AK152" s="45" t="e">
        <f>VLOOKUP(AH152,'Actor and Actress Success'!$A$1:$B$72,2,FALSE)</f>
        <v>#N/A</v>
      </c>
    </row>
    <row r="153" spans="1:37">
      <c r="A153">
        <v>153</v>
      </c>
      <c r="B153" s="8" t="s">
        <v>235</v>
      </c>
      <c r="C153" s="10">
        <v>2005</v>
      </c>
      <c r="D153" s="12">
        <v>38658</v>
      </c>
      <c r="E153" s="12"/>
      <c r="F153" s="10" t="s">
        <v>177</v>
      </c>
      <c r="G153" s="10" t="s">
        <v>177</v>
      </c>
      <c r="H153" s="22" t="s">
        <v>439</v>
      </c>
      <c r="I153" s="22">
        <v>550</v>
      </c>
      <c r="J153" s="22">
        <v>162</v>
      </c>
      <c r="K153" s="10">
        <v>73.33</v>
      </c>
      <c r="L153" s="20">
        <v>170000000</v>
      </c>
      <c r="M153" s="20">
        <v>546517500</v>
      </c>
      <c r="N153" s="20">
        <v>818390320</v>
      </c>
      <c r="O153" s="20"/>
      <c r="P153" t="s">
        <v>526</v>
      </c>
      <c r="R153" t="s">
        <v>801</v>
      </c>
      <c r="T153" t="s">
        <v>526</v>
      </c>
      <c r="U153" t="s">
        <v>773</v>
      </c>
      <c r="V153" t="s">
        <v>397</v>
      </c>
      <c r="W153" s="45">
        <f>VLOOKUP(V153,'Actor and Actress Success'!$A$1:$B$72,2,FALSE)</f>
        <v>44.117647058823529</v>
      </c>
      <c r="X153" s="34">
        <v>1</v>
      </c>
      <c r="Y153" s="34">
        <f>'Star Economic history'!P6</f>
        <v>116703125</v>
      </c>
      <c r="Z153" t="s">
        <v>918</v>
      </c>
      <c r="AB153" s="45">
        <f>VLOOKUP(Z153,'Actor and Actress Success'!$A$1:$B$72,2,FALSE)</f>
        <v>36.111111111111107</v>
      </c>
      <c r="AC153" s="34">
        <v>1</v>
      </c>
      <c r="AD153" t="s">
        <v>1016</v>
      </c>
      <c r="AF153" s="45" t="e">
        <f>VLOOKUP(AD153,'Actor and Actress Success'!$A$1:$B$72,2,FALSE)</f>
        <v>#N/A</v>
      </c>
      <c r="AG153" s="34">
        <v>1</v>
      </c>
      <c r="AH153" t="s">
        <v>453</v>
      </c>
      <c r="AK153" s="45" t="e">
        <f>VLOOKUP(AH153,'Actor and Actress Success'!$A$1:$B$72,2,FALSE)</f>
        <v>#N/A</v>
      </c>
    </row>
    <row r="154" spans="1:37">
      <c r="A154">
        <v>154</v>
      </c>
      <c r="B154" s="8" t="s">
        <v>236</v>
      </c>
      <c r="C154" s="10">
        <v>2003</v>
      </c>
      <c r="D154" s="12">
        <v>37897</v>
      </c>
      <c r="E154" s="12"/>
      <c r="F154" s="10" t="s">
        <v>177</v>
      </c>
      <c r="G154" s="10" t="s">
        <v>177</v>
      </c>
      <c r="H154" s="22" t="s">
        <v>6</v>
      </c>
      <c r="I154" s="22">
        <v>275</v>
      </c>
      <c r="J154" s="22">
        <v>167</v>
      </c>
      <c r="K154" s="10">
        <v>75.2</v>
      </c>
      <c r="L154" s="20">
        <v>100000000</v>
      </c>
      <c r="M154" s="20">
        <v>431117500</v>
      </c>
      <c r="N154" s="20">
        <v>738459260</v>
      </c>
      <c r="O154" s="20"/>
      <c r="P154" t="s">
        <v>1017</v>
      </c>
      <c r="R154" t="s">
        <v>1018</v>
      </c>
      <c r="T154" t="s">
        <v>1019</v>
      </c>
      <c r="U154" t="s">
        <v>1020</v>
      </c>
      <c r="V154" t="s">
        <v>497</v>
      </c>
      <c r="W154" s="45">
        <f>VLOOKUP(V154,'Actor and Actress Success'!$A$1:$B$72,2,FALSE)</f>
        <v>33.333333333333329</v>
      </c>
      <c r="X154" s="34">
        <v>1</v>
      </c>
      <c r="Z154" t="s">
        <v>1021</v>
      </c>
      <c r="AB154" s="45">
        <f>VLOOKUP(Z154,'Actor and Actress Success'!$A$1:$B$72,2,FALSE)</f>
        <v>7.1428571428571423</v>
      </c>
      <c r="AC154" s="34">
        <v>1</v>
      </c>
      <c r="AD154" t="s">
        <v>16</v>
      </c>
      <c r="AF154" s="45">
        <f>VLOOKUP(AD154,'Actor and Actress Success'!$A$1:$B$72,2,FALSE)</f>
        <v>50.819672131147541</v>
      </c>
      <c r="AG154" s="34">
        <v>1</v>
      </c>
      <c r="AH154" t="s">
        <v>432</v>
      </c>
      <c r="AJ154" s="34">
        <v>1</v>
      </c>
      <c r="AK154" s="45" t="e">
        <f>VLOOKUP(AH154,'Actor and Actress Success'!$A$1:$B$72,2,FALSE)</f>
        <v>#N/A</v>
      </c>
    </row>
    <row r="155" spans="1:37">
      <c r="A155">
        <v>155</v>
      </c>
      <c r="B155" s="8" t="s">
        <v>237</v>
      </c>
      <c r="C155" s="10">
        <v>2003</v>
      </c>
      <c r="D155" s="12">
        <v>37764</v>
      </c>
      <c r="E155" s="12"/>
      <c r="F155" s="10" t="s">
        <v>177</v>
      </c>
      <c r="G155" s="10" t="s">
        <v>177</v>
      </c>
      <c r="H155" s="22" t="s">
        <v>56</v>
      </c>
      <c r="I155" s="22">
        <v>300</v>
      </c>
      <c r="J155" s="22">
        <v>168</v>
      </c>
      <c r="K155" s="10">
        <v>63.75</v>
      </c>
      <c r="L155" s="20">
        <v>92500000</v>
      </c>
      <c r="M155" s="20">
        <v>288162500</v>
      </c>
      <c r="N155" s="20">
        <v>738274020</v>
      </c>
      <c r="O155" s="20"/>
      <c r="P155" t="s">
        <v>454</v>
      </c>
      <c r="R155" t="s">
        <v>67</v>
      </c>
      <c r="T155" t="s">
        <v>454</v>
      </c>
      <c r="U155" t="s">
        <v>1014</v>
      </c>
      <c r="V155" t="s">
        <v>397</v>
      </c>
      <c r="W155" s="45">
        <f>VLOOKUP(V155,'Actor and Actress Success'!$A$1:$B$72,2,FALSE)</f>
        <v>44.117647058823529</v>
      </c>
      <c r="X155" s="34">
        <v>1</v>
      </c>
      <c r="Y155" s="34">
        <f>'Star Economic history'!N6</f>
        <v>132875000</v>
      </c>
      <c r="Z155" t="s">
        <v>830</v>
      </c>
      <c r="AB155" s="45">
        <f>VLOOKUP(Z155,'Actor and Actress Success'!$A$1:$B$72,2,FALSE)</f>
        <v>32</v>
      </c>
      <c r="AC155" s="34">
        <v>1</v>
      </c>
      <c r="AD155" t="s">
        <v>803</v>
      </c>
      <c r="AF155" s="45">
        <f>VLOOKUP(AD155,'Actor and Actress Success'!$A$1:$B$72,2,FALSE)</f>
        <v>45</v>
      </c>
      <c r="AG155" s="34">
        <v>1</v>
      </c>
      <c r="AH155" t="s">
        <v>1022</v>
      </c>
      <c r="AK155" s="45" t="e">
        <f>VLOOKUP(AH155,'Actor and Actress Success'!$A$1:$B$72,2,FALSE)</f>
        <v>#N/A</v>
      </c>
    </row>
    <row r="156" spans="1:37">
      <c r="A156">
        <v>156</v>
      </c>
      <c r="B156" s="8" t="s">
        <v>238</v>
      </c>
      <c r="C156" s="10">
        <v>2003</v>
      </c>
      <c r="D156" s="12">
        <v>37785</v>
      </c>
      <c r="E156" s="12"/>
      <c r="F156" s="10" t="s">
        <v>177</v>
      </c>
      <c r="G156" s="10" t="s">
        <v>177</v>
      </c>
      <c r="H156" s="22" t="s">
        <v>56</v>
      </c>
      <c r="I156" s="22">
        <v>280</v>
      </c>
      <c r="J156" s="22">
        <v>169</v>
      </c>
      <c r="K156" s="10">
        <v>43.8</v>
      </c>
      <c r="L156" s="20">
        <v>110000000</v>
      </c>
      <c r="M156" s="20">
        <v>432867500</v>
      </c>
      <c r="N156" s="20">
        <v>732346340</v>
      </c>
      <c r="O156" s="20"/>
      <c r="P156" t="s">
        <v>533</v>
      </c>
      <c r="R156" s="13" t="s">
        <v>1023</v>
      </c>
      <c r="S156" s="13"/>
      <c r="T156" t="s">
        <v>533</v>
      </c>
      <c r="U156" t="s">
        <v>1024</v>
      </c>
      <c r="V156" t="s">
        <v>58</v>
      </c>
      <c r="W156" s="45">
        <f>VLOOKUP(V156,'Actor and Actress Success'!$A$1:$B$72,2,FALSE)</f>
        <v>66.666666666666657</v>
      </c>
      <c r="X156" s="34">
        <v>1</v>
      </c>
      <c r="Z156" t="s">
        <v>383</v>
      </c>
      <c r="AB156" s="45">
        <f>VLOOKUP(Z156,'Actor and Actress Success'!$A$1:$B$72,2,FALSE)</f>
        <v>47.5</v>
      </c>
      <c r="AC156" s="34">
        <v>1</v>
      </c>
      <c r="AD156" t="s">
        <v>1025</v>
      </c>
      <c r="AF156" s="45" t="e">
        <f>VLOOKUP(AD156,'Actor and Actress Success'!$A$1:$B$72,2,FALSE)</f>
        <v>#N/A</v>
      </c>
      <c r="AH156" t="s">
        <v>1026</v>
      </c>
      <c r="AK156" s="45" t="e">
        <f>VLOOKUP(AH156,'Actor and Actress Success'!$A$1:$B$72,2,FALSE)</f>
        <v>#N/A</v>
      </c>
    </row>
    <row r="157" spans="1:37">
      <c r="A157">
        <v>157</v>
      </c>
      <c r="B157" s="8" t="s">
        <v>239</v>
      </c>
      <c r="C157" s="10">
        <v>2003</v>
      </c>
      <c r="D157" s="12">
        <v>37974</v>
      </c>
      <c r="E157" s="12"/>
      <c r="F157" s="10" t="s">
        <v>177</v>
      </c>
      <c r="G157" s="10" t="s">
        <v>177</v>
      </c>
      <c r="H157" s="22" t="s">
        <v>439</v>
      </c>
      <c r="I157" s="22">
        <v>265</v>
      </c>
      <c r="J157" s="22">
        <v>170</v>
      </c>
      <c r="K157" s="10">
        <v>89.29</v>
      </c>
      <c r="L157" s="20">
        <v>100000000</v>
      </c>
      <c r="M157" s="20">
        <v>362887500</v>
      </c>
      <c r="N157" s="20">
        <v>730030840</v>
      </c>
      <c r="O157" s="20"/>
      <c r="P157" t="s">
        <v>786</v>
      </c>
      <c r="R157" t="s">
        <v>430</v>
      </c>
      <c r="T157" t="s">
        <v>1865</v>
      </c>
      <c r="U157" t="s">
        <v>920</v>
      </c>
      <c r="V157" t="s">
        <v>1027</v>
      </c>
      <c r="W157" s="45" t="e">
        <f>VLOOKUP(V157,'Actor and Actress Success'!$A$1:$B$72,2,FALSE)</f>
        <v>#N/A</v>
      </c>
      <c r="Z157" t="s">
        <v>511</v>
      </c>
      <c r="AB157" s="45">
        <f>VLOOKUP(Z157,'Actor and Actress Success'!$A$1:$B$72,2,FALSE)</f>
        <v>27.397260273972602</v>
      </c>
      <c r="AC157" s="34">
        <v>1</v>
      </c>
      <c r="AD157" t="s">
        <v>944</v>
      </c>
      <c r="AF157" s="45" t="e">
        <f>VLOOKUP(AD157,'Actor and Actress Success'!$A$1:$B$72,2,FALSE)</f>
        <v>#N/A</v>
      </c>
      <c r="AG157" s="34">
        <v>1</v>
      </c>
      <c r="AH157" t="s">
        <v>1028</v>
      </c>
      <c r="AK157" s="45" t="e">
        <f>VLOOKUP(AH157,'Actor and Actress Success'!$A$1:$B$72,2,FALSE)</f>
        <v>#N/A</v>
      </c>
    </row>
    <row r="158" spans="1:37">
      <c r="A158">
        <v>158</v>
      </c>
      <c r="B158" s="8" t="s">
        <v>240</v>
      </c>
      <c r="C158" s="10">
        <v>2009</v>
      </c>
      <c r="D158" s="12">
        <v>39990</v>
      </c>
      <c r="E158" s="12"/>
      <c r="F158" s="10" t="s">
        <v>177</v>
      </c>
      <c r="G158" s="10" t="s">
        <v>177</v>
      </c>
      <c r="H158" s="22" t="s">
        <v>408</v>
      </c>
      <c r="I158" s="22">
        <v>1200</v>
      </c>
      <c r="J158" s="22">
        <v>171</v>
      </c>
      <c r="K158" s="10">
        <v>75.709999999999994</v>
      </c>
      <c r="L158" s="20">
        <v>280000000</v>
      </c>
      <c r="M158" s="20">
        <v>783367500</v>
      </c>
      <c r="N158" s="20">
        <v>724381020</v>
      </c>
      <c r="O158" s="20"/>
      <c r="P158" t="s">
        <v>1030</v>
      </c>
      <c r="R158" t="s">
        <v>801</v>
      </c>
      <c r="T158" t="s">
        <v>62</v>
      </c>
      <c r="U158" t="s">
        <v>1031</v>
      </c>
      <c r="V158" t="s">
        <v>918</v>
      </c>
      <c r="W158" s="45">
        <f>VLOOKUP(V158,'Actor and Actress Success'!$A$1:$B$72,2,FALSE)</f>
        <v>36.111111111111107</v>
      </c>
      <c r="X158" s="34">
        <v>1</v>
      </c>
      <c r="Z158" t="s">
        <v>831</v>
      </c>
      <c r="AB158" s="45">
        <f>VLOOKUP(Z158,'Actor and Actress Success'!$A$1:$B$72,2,FALSE)</f>
        <v>73.076923076923066</v>
      </c>
      <c r="AC158" s="34">
        <v>1</v>
      </c>
      <c r="AD158" t="s">
        <v>1032</v>
      </c>
      <c r="AF158" s="45" t="e">
        <f>VLOOKUP(AD158,'Actor and Actress Success'!$A$1:$B$72,2,FALSE)</f>
        <v>#N/A</v>
      </c>
      <c r="AG158" s="34">
        <v>1</v>
      </c>
      <c r="AH158" t="s">
        <v>1033</v>
      </c>
      <c r="AK158" s="45" t="e">
        <f>VLOOKUP(AH158,'Actor and Actress Success'!$A$1:$B$72,2,FALSE)</f>
        <v>#N/A</v>
      </c>
    </row>
    <row r="159" spans="1:37">
      <c r="A159">
        <v>159</v>
      </c>
      <c r="B159" s="8" t="s">
        <v>241</v>
      </c>
      <c r="C159" s="10">
        <v>2006</v>
      </c>
      <c r="D159" s="12">
        <v>38912</v>
      </c>
      <c r="E159" s="12"/>
      <c r="F159" s="10" t="s">
        <v>177</v>
      </c>
      <c r="G159" s="10" t="s">
        <v>177</v>
      </c>
      <c r="H159" s="22" t="s">
        <v>439</v>
      </c>
      <c r="I159" s="22">
        <v>600</v>
      </c>
      <c r="J159" s="22">
        <v>173</v>
      </c>
      <c r="K159" s="10">
        <v>60</v>
      </c>
      <c r="L159" s="20">
        <v>150000000</v>
      </c>
      <c r="M159" s="20">
        <v>467260000</v>
      </c>
      <c r="N159" s="20">
        <v>712710900</v>
      </c>
      <c r="O159" s="20"/>
      <c r="P159" t="s">
        <v>977</v>
      </c>
      <c r="R159" t="s">
        <v>805</v>
      </c>
      <c r="U159" t="s">
        <v>1034</v>
      </c>
      <c r="V159" t="s">
        <v>429</v>
      </c>
      <c r="W159" s="45">
        <f>VLOOKUP(V159,'Actor and Actress Success'!$A$1:$B$72,2,FALSE)</f>
        <v>39.285714285714285</v>
      </c>
      <c r="X159" s="34">
        <v>1</v>
      </c>
      <c r="Y159" s="34">
        <f>'Star Economic history'!Q4</f>
        <v>78850000</v>
      </c>
      <c r="Z159" t="s">
        <v>550</v>
      </c>
      <c r="AB159" s="45" t="e">
        <f>VLOOKUP(Z159,'Actor and Actress Success'!$A$1:$B$72,2,FALSE)</f>
        <v>#N/A</v>
      </c>
      <c r="AC159" s="34">
        <v>1</v>
      </c>
      <c r="AD159" t="s">
        <v>790</v>
      </c>
      <c r="AF159" s="45" t="e">
        <f>VLOOKUP(AD159,'Actor and Actress Success'!$A$1:$B$72,2,FALSE)</f>
        <v>#N/A</v>
      </c>
      <c r="AG159" s="34">
        <v>1</v>
      </c>
      <c r="AH159" t="s">
        <v>909</v>
      </c>
      <c r="AJ159" s="34">
        <v>1</v>
      </c>
      <c r="AK159" s="45" t="e">
        <f>VLOOKUP(AH159,'Actor and Actress Success'!$A$1:$B$72,2,FALSE)</f>
        <v>#N/A</v>
      </c>
    </row>
    <row r="160" spans="1:37">
      <c r="A160">
        <v>160</v>
      </c>
      <c r="B160" s="8" t="s">
        <v>242</v>
      </c>
      <c r="C160" s="10">
        <v>2004</v>
      </c>
      <c r="D160" s="12">
        <v>38086</v>
      </c>
      <c r="E160" s="12"/>
      <c r="F160" s="10" t="s">
        <v>177</v>
      </c>
      <c r="G160" s="10" t="s">
        <v>177</v>
      </c>
      <c r="H160" s="22" t="s">
        <v>439</v>
      </c>
      <c r="I160" s="22">
        <v>375</v>
      </c>
      <c r="J160" s="22">
        <v>177</v>
      </c>
      <c r="K160" s="10">
        <v>77.5</v>
      </c>
      <c r="L160" s="20">
        <v>120000000</v>
      </c>
      <c r="M160" s="20">
        <v>341475000</v>
      </c>
      <c r="N160" s="20">
        <v>682794640</v>
      </c>
      <c r="O160" s="20"/>
      <c r="P160" t="s">
        <v>404</v>
      </c>
      <c r="R160" t="s">
        <v>557</v>
      </c>
      <c r="T160" s="13" t="s">
        <v>1864</v>
      </c>
      <c r="U160" t="s">
        <v>969</v>
      </c>
      <c r="V160" t="s">
        <v>429</v>
      </c>
      <c r="W160" s="45">
        <f>VLOOKUP(V160,'Actor and Actress Success'!$A$1:$B$72,2,FALSE)</f>
        <v>39.285714285714285</v>
      </c>
      <c r="X160" s="34">
        <v>1</v>
      </c>
      <c r="Y160" s="34">
        <f>'Star Economic history'!O4</f>
        <v>112221428.57142857</v>
      </c>
      <c r="Z160" t="s">
        <v>1035</v>
      </c>
      <c r="AB160" s="45" t="e">
        <f>VLOOKUP(Z160,'Actor and Actress Success'!$A$1:$B$72,2,FALSE)</f>
        <v>#N/A</v>
      </c>
      <c r="AC160" s="34">
        <v>1</v>
      </c>
      <c r="AD160" t="s">
        <v>1036</v>
      </c>
      <c r="AF160" s="45" t="e">
        <f>VLOOKUP(AD160,'Actor and Actress Success'!$A$1:$B$72,2,FALSE)</f>
        <v>#N/A</v>
      </c>
      <c r="AG160" s="34">
        <v>1</v>
      </c>
      <c r="AH160" t="s">
        <v>928</v>
      </c>
      <c r="AJ160" s="34">
        <v>1</v>
      </c>
      <c r="AK160" s="45" t="e">
        <f>VLOOKUP(AH160,'Actor and Actress Success'!$A$1:$B$72,2,FALSE)</f>
        <v>#N/A</v>
      </c>
    </row>
    <row r="161" spans="1:42">
      <c r="A161">
        <v>161</v>
      </c>
      <c r="B161" s="8" t="s">
        <v>243</v>
      </c>
      <c r="C161" s="10">
        <v>2004</v>
      </c>
      <c r="D161" s="12">
        <v>38317</v>
      </c>
      <c r="E161" s="12"/>
      <c r="F161" s="10" t="s">
        <v>177</v>
      </c>
      <c r="G161" s="10" t="s">
        <v>177</v>
      </c>
      <c r="H161" s="22" t="s">
        <v>439</v>
      </c>
      <c r="I161" s="22">
        <v>350</v>
      </c>
      <c r="J161" s="22">
        <v>183</v>
      </c>
      <c r="K161" s="10">
        <v>70</v>
      </c>
      <c r="L161" s="20">
        <v>100000000</v>
      </c>
      <c r="M161" s="20">
        <v>328691250</v>
      </c>
      <c r="N161" s="20">
        <v>628797180</v>
      </c>
      <c r="O161" s="20"/>
      <c r="P161" t="s">
        <v>526</v>
      </c>
      <c r="R161" t="s">
        <v>1037</v>
      </c>
      <c r="T161" t="s">
        <v>1038</v>
      </c>
      <c r="U161" t="s">
        <v>943</v>
      </c>
      <c r="V161" t="s">
        <v>569</v>
      </c>
      <c r="W161" s="45" t="e">
        <f>VLOOKUP(V161,'Actor and Actress Success'!$A$1:$B$72,2,FALSE)</f>
        <v>#N/A</v>
      </c>
      <c r="X161" s="34">
        <v>1</v>
      </c>
      <c r="Z161" t="s">
        <v>788</v>
      </c>
      <c r="AB161" s="45">
        <f>VLOOKUP(Z161,'Actor and Actress Success'!$A$1:$B$72,2,FALSE)</f>
        <v>45.652173913043477</v>
      </c>
      <c r="AC161" s="34">
        <v>1</v>
      </c>
      <c r="AD161" t="s">
        <v>79</v>
      </c>
      <c r="AE161">
        <f>'Star Economic history'!O8</f>
        <v>90990000</v>
      </c>
      <c r="AF161" s="45">
        <f>VLOOKUP(AD161,'Actor and Actress Success'!$A$1:$B$72,2,FALSE)</f>
        <v>26.373626373626376</v>
      </c>
      <c r="AG161" s="34">
        <v>1</v>
      </c>
      <c r="AH161" t="s">
        <v>453</v>
      </c>
      <c r="AK161" s="45" t="e">
        <f>VLOOKUP(AH161,'Actor and Actress Success'!$A$1:$B$72,2,FALSE)</f>
        <v>#N/A</v>
      </c>
    </row>
    <row r="162" spans="1:42">
      <c r="A162">
        <v>162</v>
      </c>
      <c r="B162" s="8" t="s">
        <v>244</v>
      </c>
      <c r="C162" s="10">
        <v>2002</v>
      </c>
      <c r="D162" s="12">
        <v>37610</v>
      </c>
      <c r="E162" s="12"/>
      <c r="F162" s="10" t="s">
        <v>177</v>
      </c>
      <c r="G162" s="10" t="s">
        <v>177</v>
      </c>
      <c r="H162" s="22" t="s">
        <v>56</v>
      </c>
      <c r="I162" s="22">
        <v>180</v>
      </c>
      <c r="J162" s="22">
        <v>184</v>
      </c>
      <c r="K162" s="10">
        <v>0</v>
      </c>
      <c r="L162" s="20">
        <v>75000000</v>
      </c>
      <c r="M162" s="20">
        <v>291500000</v>
      </c>
      <c r="N162" s="20">
        <v>617960640</v>
      </c>
      <c r="O162" s="20"/>
      <c r="P162" t="s">
        <v>906</v>
      </c>
      <c r="R162" t="s">
        <v>418</v>
      </c>
      <c r="T162" t="s">
        <v>970</v>
      </c>
      <c r="U162" t="s">
        <v>1039</v>
      </c>
      <c r="V162" t="s">
        <v>383</v>
      </c>
      <c r="W162" s="45">
        <f>VLOOKUP(V162,'Actor and Actress Success'!$A$1:$B$72,2,FALSE)</f>
        <v>47.5</v>
      </c>
      <c r="X162" s="34">
        <v>1</v>
      </c>
      <c r="Z162" t="s">
        <v>1035</v>
      </c>
      <c r="AB162" s="45" t="e">
        <f>VLOOKUP(Z162,'Actor and Actress Success'!$A$1:$B$72,2,FALSE)</f>
        <v>#N/A</v>
      </c>
      <c r="AC162" s="34">
        <v>1</v>
      </c>
      <c r="AD162" t="s">
        <v>1040</v>
      </c>
      <c r="AF162" s="45" t="e">
        <f>VLOOKUP(AD162,'Actor and Actress Success'!$A$1:$B$72,2,FALSE)</f>
        <v>#N/A</v>
      </c>
      <c r="AH162" t="s">
        <v>1026</v>
      </c>
      <c r="AK162" s="45" t="e">
        <f>VLOOKUP(AH162,'Actor and Actress Success'!$A$1:$B$72,2,FALSE)</f>
        <v>#N/A</v>
      </c>
    </row>
    <row r="163" spans="1:42">
      <c r="A163">
        <v>163</v>
      </c>
      <c r="B163" s="8" t="s">
        <v>245</v>
      </c>
      <c r="C163" s="10">
        <v>2005</v>
      </c>
      <c r="D163" s="12">
        <v>38604</v>
      </c>
      <c r="E163" s="12"/>
      <c r="F163" s="10" t="s">
        <v>177</v>
      </c>
      <c r="G163" s="10" t="s">
        <v>177</v>
      </c>
      <c r="H163" s="22" t="s">
        <v>547</v>
      </c>
      <c r="I163" s="22">
        <v>325</v>
      </c>
      <c r="J163" s="22">
        <v>189</v>
      </c>
      <c r="K163" s="10">
        <v>88.33</v>
      </c>
      <c r="L163" s="20">
        <v>110000000</v>
      </c>
      <c r="M163" s="20">
        <v>572300000</v>
      </c>
      <c r="N163" s="20">
        <v>586191980</v>
      </c>
      <c r="O163" s="20"/>
      <c r="P163" t="s">
        <v>1041</v>
      </c>
      <c r="R163" t="s">
        <v>1042</v>
      </c>
      <c r="T163" t="s">
        <v>1041</v>
      </c>
      <c r="U163" t="s">
        <v>920</v>
      </c>
      <c r="V163" t="s">
        <v>393</v>
      </c>
      <c r="W163" s="45">
        <f>VLOOKUP(V163,'Actor and Actress Success'!$A$1:$B$72,2,FALSE)</f>
        <v>27.450980392156865</v>
      </c>
      <c r="X163" s="34">
        <v>1</v>
      </c>
      <c r="Z163" t="s">
        <v>449</v>
      </c>
      <c r="AB163" s="45">
        <f>VLOOKUP(Z163,'Actor and Actress Success'!$A$1:$B$72,2,FALSE)</f>
        <v>42.307692307692307</v>
      </c>
      <c r="AC163" s="34">
        <v>1</v>
      </c>
      <c r="AD163" t="s">
        <v>550</v>
      </c>
      <c r="AF163" s="45" t="e">
        <f>VLOOKUP(AD163,'Actor and Actress Success'!$A$1:$B$72,2,FALSE)</f>
        <v>#N/A</v>
      </c>
      <c r="AH163" t="s">
        <v>1043</v>
      </c>
      <c r="AK163" s="45" t="e">
        <f>VLOOKUP(AH163,'Actor and Actress Success'!$A$1:$B$72,2,FALSE)</f>
        <v>#N/A</v>
      </c>
    </row>
    <row r="164" spans="1:42">
      <c r="A164">
        <v>164</v>
      </c>
      <c r="B164" s="8" t="s">
        <v>246</v>
      </c>
      <c r="C164" s="10">
        <v>2007</v>
      </c>
      <c r="D164" s="12">
        <v>39381</v>
      </c>
      <c r="E164" s="12"/>
      <c r="F164" s="10" t="s">
        <v>177</v>
      </c>
      <c r="G164" s="10" t="s">
        <v>177</v>
      </c>
      <c r="H164" s="22" t="s">
        <v>547</v>
      </c>
      <c r="I164" s="22">
        <v>475</v>
      </c>
      <c r="J164" s="22">
        <v>191</v>
      </c>
      <c r="K164" s="10">
        <v>77.78</v>
      </c>
      <c r="L164" s="20">
        <v>150000000</v>
      </c>
      <c r="M164" s="20">
        <v>509380000</v>
      </c>
      <c r="N164" s="20">
        <v>573966140</v>
      </c>
      <c r="O164" s="20"/>
      <c r="P164" t="s">
        <v>974</v>
      </c>
      <c r="R164" t="s">
        <v>1044</v>
      </c>
      <c r="T164" t="s">
        <v>974</v>
      </c>
      <c r="U164" t="s">
        <v>974</v>
      </c>
      <c r="V164" t="s">
        <v>823</v>
      </c>
      <c r="W164" s="45">
        <f>VLOOKUP(V164,'Actor and Actress Success'!$A$1:$B$72,2,FALSE)</f>
        <v>38.461538461538467</v>
      </c>
      <c r="X164" s="34">
        <v>1</v>
      </c>
      <c r="Z164" t="s">
        <v>788</v>
      </c>
      <c r="AB164" s="45">
        <f>VLOOKUP(Z164,'Actor and Actress Success'!$A$1:$B$72,2,FALSE)</f>
        <v>45.652173913043477</v>
      </c>
      <c r="AC164" s="34">
        <v>1</v>
      </c>
      <c r="AD164" t="s">
        <v>1045</v>
      </c>
      <c r="AF164" s="45" t="e">
        <f>VLOOKUP(AD164,'Actor and Actress Success'!$A$1:$B$72,2,FALSE)</f>
        <v>#N/A</v>
      </c>
      <c r="AH164" t="s">
        <v>1046</v>
      </c>
      <c r="AK164" s="45" t="e">
        <f>VLOOKUP(AH164,'Actor and Actress Success'!$A$1:$B$72,2,FALSE)</f>
        <v>#N/A</v>
      </c>
    </row>
    <row r="165" spans="1:42">
      <c r="A165">
        <v>165</v>
      </c>
      <c r="B165" s="8" t="s">
        <v>247</v>
      </c>
      <c r="C165" s="10">
        <v>2003</v>
      </c>
      <c r="D165" s="12">
        <v>37771</v>
      </c>
      <c r="E165" s="12"/>
      <c r="F165" s="10" t="s">
        <v>177</v>
      </c>
      <c r="G165" s="10" t="s">
        <v>177</v>
      </c>
      <c r="H165" s="22" t="s">
        <v>757</v>
      </c>
      <c r="I165" s="22">
        <v>235</v>
      </c>
      <c r="J165" s="22">
        <v>192</v>
      </c>
      <c r="K165" s="10">
        <v>80</v>
      </c>
      <c r="L165" s="20">
        <v>67500000</v>
      </c>
      <c r="M165" s="20">
        <v>239610000</v>
      </c>
      <c r="N165" s="20">
        <v>572576480</v>
      </c>
      <c r="O165" s="20"/>
      <c r="P165" t="s">
        <v>421</v>
      </c>
      <c r="R165" t="s">
        <v>812</v>
      </c>
      <c r="T165" t="s">
        <v>1863</v>
      </c>
      <c r="U165" t="s">
        <v>1047</v>
      </c>
      <c r="V165" t="s">
        <v>429</v>
      </c>
      <c r="W165" s="45">
        <f>VLOOKUP(V165,'Actor and Actress Success'!$A$1:$B$72,2,FALSE)</f>
        <v>39.285714285714285</v>
      </c>
      <c r="X165" s="34">
        <v>1</v>
      </c>
      <c r="Y165" s="34">
        <f>'Star Economic history'!N4</f>
        <v>111900000</v>
      </c>
      <c r="Z165" t="s">
        <v>419</v>
      </c>
      <c r="AB165" s="45">
        <f>VLOOKUP(Z165,'Actor and Actress Success'!$A$1:$B$72,2,FALSE)</f>
        <v>21.212121212121211</v>
      </c>
      <c r="AC165" s="34">
        <v>1</v>
      </c>
      <c r="AD165" t="s">
        <v>415</v>
      </c>
      <c r="AF165" s="45" t="e">
        <f>VLOOKUP(AD165,'Actor and Actress Success'!$A$1:$B$72,2,FALSE)</f>
        <v>#N/A</v>
      </c>
      <c r="AH165" t="s">
        <v>459</v>
      </c>
      <c r="AK165" s="45">
        <f>VLOOKUP(AH165,'Actor and Actress Success'!$A$1:$B$72,2,FALSE)</f>
        <v>21.739130434782609</v>
      </c>
    </row>
    <row r="166" spans="1:42">
      <c r="A166">
        <v>166</v>
      </c>
      <c r="B166" s="8" t="s">
        <v>248</v>
      </c>
      <c r="C166" s="10">
        <v>2004</v>
      </c>
      <c r="D166" s="12">
        <v>38135</v>
      </c>
      <c r="E166" s="12"/>
      <c r="F166" s="10" t="s">
        <v>177</v>
      </c>
      <c r="G166" s="10" t="s">
        <v>177</v>
      </c>
      <c r="H166" s="22" t="s">
        <v>56</v>
      </c>
      <c r="I166" s="22">
        <v>225</v>
      </c>
      <c r="J166" s="22">
        <v>193</v>
      </c>
      <c r="K166" s="10">
        <v>97.14</v>
      </c>
      <c r="L166" s="20">
        <v>85000000</v>
      </c>
      <c r="M166" s="20">
        <v>426365000</v>
      </c>
      <c r="N166" s="20">
        <v>542104860</v>
      </c>
      <c r="O166" s="20"/>
      <c r="P166" t="s">
        <v>838</v>
      </c>
      <c r="R166" t="s">
        <v>63</v>
      </c>
      <c r="T166" t="s">
        <v>838</v>
      </c>
      <c r="U166" t="s">
        <v>838</v>
      </c>
      <c r="V166" t="s">
        <v>393</v>
      </c>
      <c r="W166" s="45">
        <f>VLOOKUP(V166,'Actor and Actress Success'!$A$1:$B$72,2,FALSE)</f>
        <v>27.450980392156865</v>
      </c>
      <c r="X166" s="34">
        <v>1</v>
      </c>
      <c r="Z166" t="s">
        <v>383</v>
      </c>
      <c r="AB166" s="45">
        <f>VLOOKUP(Z166,'Actor and Actress Success'!$A$1:$B$72,2,FALSE)</f>
        <v>47.5</v>
      </c>
      <c r="AC166" s="34">
        <v>1</v>
      </c>
      <c r="AD166" t="s">
        <v>724</v>
      </c>
      <c r="AE166">
        <f>'Star Economic history'!O7</f>
        <v>0</v>
      </c>
      <c r="AF166" s="45">
        <f>VLOOKUP(AD166,'Actor and Actress Success'!$A$1:$B$72,2,FALSE)</f>
        <v>26.086956521739129</v>
      </c>
      <c r="AH166" t="s">
        <v>832</v>
      </c>
      <c r="AK166" s="45" t="e">
        <f>VLOOKUP(AH166,'Actor and Actress Success'!$A$1:$B$72,2,FALSE)</f>
        <v>#N/A</v>
      </c>
    </row>
    <row r="167" spans="1:42">
      <c r="A167">
        <v>167</v>
      </c>
      <c r="B167" s="8" t="s">
        <v>249</v>
      </c>
      <c r="C167" s="10">
        <v>2005</v>
      </c>
      <c r="D167" s="12">
        <v>38478</v>
      </c>
      <c r="E167" s="12"/>
      <c r="F167" s="10" t="s">
        <v>177</v>
      </c>
      <c r="G167" s="10" t="s">
        <v>177</v>
      </c>
      <c r="H167" s="22" t="s">
        <v>439</v>
      </c>
      <c r="I167" s="22">
        <v>250</v>
      </c>
      <c r="J167" s="22">
        <v>203</v>
      </c>
      <c r="K167" s="10">
        <v>75</v>
      </c>
      <c r="L167" s="20">
        <v>50000000</v>
      </c>
      <c r="M167" s="20">
        <v>228500000</v>
      </c>
      <c r="N167" s="20">
        <v>413733540</v>
      </c>
      <c r="O167" s="20"/>
      <c r="P167" t="s">
        <v>1048</v>
      </c>
      <c r="R167" t="s">
        <v>430</v>
      </c>
      <c r="T167" t="s">
        <v>1862</v>
      </c>
      <c r="U167" t="s">
        <v>1049</v>
      </c>
      <c r="V167" t="s">
        <v>909</v>
      </c>
      <c r="W167" s="45" t="e">
        <f>VLOOKUP(V167,'Actor and Actress Success'!$A$1:$B$72,2,FALSE)</f>
        <v>#N/A</v>
      </c>
      <c r="X167" s="34">
        <v>1</v>
      </c>
      <c r="Z167" t="s">
        <v>928</v>
      </c>
      <c r="AB167" s="45" t="e">
        <f>VLOOKUP(Z167,'Actor and Actress Success'!$A$1:$B$72,2,FALSE)</f>
        <v>#N/A</v>
      </c>
      <c r="AC167" s="34">
        <v>1</v>
      </c>
      <c r="AD167" t="s">
        <v>1050</v>
      </c>
      <c r="AF167" s="45" t="e">
        <f>VLOOKUP(AD167,'Actor and Actress Success'!$A$1:$B$72,2,FALSE)</f>
        <v>#N/A</v>
      </c>
      <c r="AG167" s="34">
        <v>1</v>
      </c>
      <c r="AH167" t="s">
        <v>1051</v>
      </c>
      <c r="AK167" s="45" t="e">
        <f>VLOOKUP(AH167,'Actor and Actress Success'!$A$1:$B$72,2,FALSE)</f>
        <v>#N/A</v>
      </c>
    </row>
    <row r="168" spans="1:42">
      <c r="A168">
        <v>168</v>
      </c>
      <c r="B168" s="8" t="s">
        <v>250</v>
      </c>
      <c r="C168" s="10">
        <v>2003</v>
      </c>
      <c r="D168" s="12">
        <v>37638</v>
      </c>
      <c r="E168" s="12"/>
      <c r="F168" s="10" t="s">
        <v>177</v>
      </c>
      <c r="G168" s="10" t="s">
        <v>177</v>
      </c>
      <c r="H168" s="22" t="s">
        <v>408</v>
      </c>
      <c r="I168" s="22">
        <v>200</v>
      </c>
      <c r="J168" s="22">
        <v>205</v>
      </c>
      <c r="K168" s="10">
        <v>0</v>
      </c>
      <c r="L168" s="20">
        <v>32500000</v>
      </c>
      <c r="M168" s="20">
        <v>134100000</v>
      </c>
      <c r="N168" s="20">
        <v>373165980</v>
      </c>
      <c r="O168" s="20"/>
      <c r="P168" t="s">
        <v>1052</v>
      </c>
      <c r="R168" t="s">
        <v>1053</v>
      </c>
      <c r="T168" t="s">
        <v>816</v>
      </c>
      <c r="U168" t="s">
        <v>1054</v>
      </c>
      <c r="V168" t="s">
        <v>818</v>
      </c>
      <c r="W168" s="45">
        <f>VLOOKUP(V168,'Actor and Actress Success'!$A$1:$B$72,2,FALSE)</f>
        <v>30</v>
      </c>
      <c r="X168" s="34">
        <v>1</v>
      </c>
      <c r="Z168" t="s">
        <v>918</v>
      </c>
      <c r="AB168" s="45">
        <f>VLOOKUP(Z168,'Actor and Actress Success'!$A$1:$B$72,2,FALSE)</f>
        <v>36.111111111111107</v>
      </c>
      <c r="AC168" s="34">
        <v>1</v>
      </c>
      <c r="AD168" t="s">
        <v>420</v>
      </c>
      <c r="AF168" s="45" t="e">
        <f>VLOOKUP(AD168,'Actor and Actress Success'!$A$1:$B$72,2,FALSE)</f>
        <v>#N/A</v>
      </c>
      <c r="AH168" t="s">
        <v>814</v>
      </c>
      <c r="AK168" s="45" t="e">
        <f>VLOOKUP(AH168,'Actor and Actress Success'!$A$1:$B$72,2,FALSE)</f>
        <v>#N/A</v>
      </c>
    </row>
    <row r="169" spans="1:42">
      <c r="A169">
        <v>169</v>
      </c>
      <c r="B169" s="8" t="s">
        <v>251</v>
      </c>
      <c r="C169" s="10">
        <v>2008</v>
      </c>
      <c r="D169" s="12">
        <v>39682</v>
      </c>
      <c r="E169" s="12"/>
      <c r="F169" s="10" t="s">
        <v>177</v>
      </c>
      <c r="G169" s="10" t="s">
        <v>177</v>
      </c>
      <c r="H169" s="22" t="s">
        <v>757</v>
      </c>
      <c r="I169" s="22">
        <v>400</v>
      </c>
      <c r="J169" s="22">
        <v>209</v>
      </c>
      <c r="K169" s="10">
        <v>0</v>
      </c>
      <c r="L169" s="20">
        <v>211636700</v>
      </c>
      <c r="M169" s="20">
        <v>136200000</v>
      </c>
      <c r="N169" s="20">
        <v>45000000</v>
      </c>
      <c r="O169" s="20"/>
      <c r="P169" t="s">
        <v>421</v>
      </c>
      <c r="R169" t="s">
        <v>1056</v>
      </c>
      <c r="T169" t="s">
        <v>1057</v>
      </c>
      <c r="U169" t="s">
        <v>1057</v>
      </c>
      <c r="V169" t="s">
        <v>1058</v>
      </c>
      <c r="W169" s="45" t="e">
        <f>VLOOKUP(V169,'Actor and Actress Success'!$A$1:$B$72,2,FALSE)</f>
        <v>#N/A</v>
      </c>
      <c r="X169" s="34">
        <v>1</v>
      </c>
      <c r="Z169" t="s">
        <v>1059</v>
      </c>
      <c r="AB169" s="45" t="e">
        <f>VLOOKUP(Z169,'Actor and Actress Success'!$A$1:$B$72,2,FALSE)</f>
        <v>#N/A</v>
      </c>
      <c r="AC169" s="34">
        <v>1</v>
      </c>
      <c r="AD169" t="s">
        <v>1060</v>
      </c>
      <c r="AF169" s="45" t="e">
        <f>VLOOKUP(AD169,'Actor and Actress Success'!$A$1:$B$72,2,FALSE)</f>
        <v>#N/A</v>
      </c>
      <c r="AH169" t="s">
        <v>1061</v>
      </c>
      <c r="AK169" s="45" t="e">
        <f>VLOOKUP(AH169,'Actor and Actress Success'!$A$1:$B$72,2,FALSE)</f>
        <v>#N/A</v>
      </c>
    </row>
    <row r="170" spans="1:42">
      <c r="A170">
        <v>170</v>
      </c>
      <c r="B170" s="8" t="s">
        <v>252</v>
      </c>
      <c r="C170" s="10">
        <v>2002</v>
      </c>
      <c r="D170" s="12">
        <v>37505</v>
      </c>
      <c r="E170" s="12"/>
      <c r="F170" s="10" t="s">
        <v>177</v>
      </c>
      <c r="G170" s="10" t="s">
        <v>177</v>
      </c>
      <c r="H170" s="22" t="s">
        <v>6</v>
      </c>
      <c r="I170" s="22">
        <v>65</v>
      </c>
      <c r="J170" s="22">
        <v>210</v>
      </c>
      <c r="K170" s="10">
        <v>0</v>
      </c>
      <c r="L170" s="20">
        <v>15000000</v>
      </c>
      <c r="M170" s="20">
        <v>81025000</v>
      </c>
      <c r="N170" s="20">
        <v>203115660</v>
      </c>
      <c r="O170" s="20"/>
      <c r="P170" t="s">
        <v>1062</v>
      </c>
      <c r="R170" t="s">
        <v>1063</v>
      </c>
      <c r="T170" t="s">
        <v>1062</v>
      </c>
      <c r="V170" t="s">
        <v>416</v>
      </c>
      <c r="W170" s="45">
        <f>VLOOKUP(V170,'Actor and Actress Success'!$A$1:$B$72,2,FALSE)</f>
        <v>14.035087719298245</v>
      </c>
      <c r="X170" s="34">
        <v>1</v>
      </c>
      <c r="Z170" t="s">
        <v>1064</v>
      </c>
      <c r="AB170" s="45" t="e">
        <f>VLOOKUP(Z170,'Actor and Actress Success'!$A$1:$B$72,2,FALSE)</f>
        <v>#N/A</v>
      </c>
      <c r="AD170" t="s">
        <v>1065</v>
      </c>
      <c r="AF170" s="45" t="e">
        <f>VLOOKUP(AD170,'Actor and Actress Success'!$A$1:$B$72,2,FALSE)</f>
        <v>#N/A</v>
      </c>
      <c r="AH170" t="s">
        <v>1066</v>
      </c>
      <c r="AK170" s="45" t="e">
        <f>VLOOKUP(AH170,'Actor and Actress Success'!$A$1:$B$72,2,FALSE)</f>
        <v>#N/A</v>
      </c>
    </row>
    <row r="171" spans="1:42">
      <c r="A171">
        <v>171</v>
      </c>
      <c r="B171" s="8" t="s">
        <v>253</v>
      </c>
      <c r="C171" s="10">
        <v>2008</v>
      </c>
      <c r="D171" s="12">
        <v>39697</v>
      </c>
      <c r="E171" s="12"/>
      <c r="F171" s="10" t="s">
        <v>177</v>
      </c>
      <c r="G171" s="10" t="s">
        <v>177</v>
      </c>
      <c r="H171" s="22" t="s">
        <v>408</v>
      </c>
      <c r="I171" s="22">
        <v>300</v>
      </c>
      <c r="J171" s="22">
        <v>211</v>
      </c>
      <c r="K171" s="10">
        <v>82.5</v>
      </c>
      <c r="L171" s="1">
        <v>30000000</v>
      </c>
      <c r="M171" s="1">
        <v>162200000</v>
      </c>
      <c r="N171" s="20">
        <v>155416360</v>
      </c>
      <c r="O171" s="20"/>
      <c r="P171" t="s">
        <v>1067</v>
      </c>
      <c r="R171" t="s">
        <v>1068</v>
      </c>
      <c r="T171" t="s">
        <v>1067</v>
      </c>
      <c r="U171" t="s">
        <v>1067</v>
      </c>
      <c r="V171" t="s">
        <v>396</v>
      </c>
      <c r="W171" s="45" t="e">
        <f>VLOOKUP(V171,'Actor and Actress Success'!$A$1:$B$72,2,FALSE)</f>
        <v>#N/A</v>
      </c>
      <c r="X171" s="34">
        <v>1</v>
      </c>
      <c r="Z171" t="s">
        <v>411</v>
      </c>
      <c r="AB171" s="45" t="e">
        <f>VLOOKUP(Z171,'Actor and Actress Success'!$A$1:$B$72,2,FALSE)</f>
        <v>#N/A</v>
      </c>
      <c r="AC171" s="34">
        <v>1</v>
      </c>
      <c r="AD171" t="s">
        <v>1028</v>
      </c>
      <c r="AF171" s="45" t="e">
        <f>VLOOKUP(AD171,'Actor and Actress Success'!$A$1:$B$72,2,FALSE)</f>
        <v>#N/A</v>
      </c>
      <c r="AG171" s="34">
        <v>1</v>
      </c>
      <c r="AH171" t="s">
        <v>1069</v>
      </c>
      <c r="AK171" s="45" t="e">
        <f>VLOOKUP(AH171,'Actor and Actress Success'!$A$1:$B$72,2,FALSE)</f>
        <v>#N/A</v>
      </c>
    </row>
    <row r="172" spans="1:42">
      <c r="A172">
        <v>172</v>
      </c>
      <c r="B172" s="8" t="s">
        <v>254</v>
      </c>
      <c r="C172" s="10">
        <v>2007</v>
      </c>
      <c r="D172" s="12">
        <v>39185</v>
      </c>
      <c r="E172" s="12"/>
      <c r="F172" s="10" t="s">
        <v>177</v>
      </c>
      <c r="G172" s="10" t="s">
        <v>177</v>
      </c>
      <c r="H172" s="22" t="s">
        <v>439</v>
      </c>
      <c r="I172" s="22">
        <v>120</v>
      </c>
      <c r="J172" s="22">
        <v>212</v>
      </c>
      <c r="K172" s="10">
        <v>85</v>
      </c>
      <c r="L172" s="1">
        <v>15000000</v>
      </c>
      <c r="M172" s="1">
        <v>125800000</v>
      </c>
      <c r="N172" s="20">
        <v>138466900</v>
      </c>
      <c r="O172" s="20"/>
      <c r="P172" t="s">
        <v>1070</v>
      </c>
      <c r="R172" t="s">
        <v>1071</v>
      </c>
      <c r="T172" t="s">
        <v>1861</v>
      </c>
      <c r="U172" t="s">
        <v>1072</v>
      </c>
      <c r="V172" t="s">
        <v>1074</v>
      </c>
      <c r="W172" s="45" t="e">
        <f>VLOOKUP(V172,'Actor and Actress Success'!$A$1:$B$72,2,FALSE)</f>
        <v>#N/A</v>
      </c>
      <c r="X172" s="34">
        <v>1</v>
      </c>
      <c r="Z172" t="s">
        <v>814</v>
      </c>
      <c r="AB172" s="45" t="e">
        <f>VLOOKUP(Z172,'Actor and Actress Success'!$A$1:$B$72,2,FALSE)</f>
        <v>#N/A</v>
      </c>
      <c r="AC172" s="34">
        <v>1</v>
      </c>
      <c r="AD172" t="s">
        <v>1073</v>
      </c>
      <c r="AF172" s="45" t="e">
        <f>VLOOKUP(AD172,'Actor and Actress Success'!$A$1:$B$72,2,FALSE)</f>
        <v>#N/A</v>
      </c>
      <c r="AG172" s="34">
        <v>1</v>
      </c>
      <c r="AH172" t="s">
        <v>1065</v>
      </c>
      <c r="AK172" s="45" t="e">
        <f>VLOOKUP(AH172,'Actor and Actress Success'!$A$1:$B$72,2,FALSE)</f>
        <v>#N/A</v>
      </c>
    </row>
    <row r="173" spans="1:42" ht="15.75" thickBot="1">
      <c r="A173">
        <v>173</v>
      </c>
      <c r="B173" s="8" t="s">
        <v>255</v>
      </c>
      <c r="C173" s="10">
        <v>2001</v>
      </c>
      <c r="D173" s="12">
        <v>36959</v>
      </c>
      <c r="E173" s="12"/>
      <c r="F173" s="10" t="s">
        <v>178</v>
      </c>
      <c r="G173" s="10" t="s">
        <v>178</v>
      </c>
      <c r="H173" s="22" t="s">
        <v>56</v>
      </c>
      <c r="I173" s="22">
        <v>295</v>
      </c>
      <c r="J173" s="22">
        <v>217</v>
      </c>
      <c r="K173" s="10">
        <v>64.44</v>
      </c>
      <c r="L173" s="1">
        <v>130000000</v>
      </c>
      <c r="M173" s="1">
        <v>375100000</v>
      </c>
      <c r="N173" s="20">
        <v>1102363240</v>
      </c>
      <c r="O173" s="20"/>
      <c r="P173" t="s">
        <v>1075</v>
      </c>
      <c r="R173" t="s">
        <v>1076</v>
      </c>
      <c r="T173" t="s">
        <v>773</v>
      </c>
      <c r="U173" t="s">
        <v>1077</v>
      </c>
      <c r="V173" t="s">
        <v>16</v>
      </c>
      <c r="W173" s="45">
        <f>VLOOKUP(V173,'Actor and Actress Success'!$A$1:$B$72,2,FALSE)</f>
        <v>50.819672131147541</v>
      </c>
      <c r="X173" s="34">
        <v>1</v>
      </c>
      <c r="Z173" t="s">
        <v>383</v>
      </c>
      <c r="AB173" s="45">
        <f>VLOOKUP(Z173,'Actor and Actress Success'!$A$1:$B$72,2,FALSE)</f>
        <v>47.5</v>
      </c>
      <c r="AC173" s="34">
        <v>1</v>
      </c>
      <c r="AD173" t="s">
        <v>449</v>
      </c>
      <c r="AF173" s="45">
        <f>VLOOKUP(AD173,'Actor and Actress Success'!$A$1:$B$72,2,FALSE)</f>
        <v>42.307692307692307</v>
      </c>
      <c r="AG173" s="34">
        <v>1</v>
      </c>
      <c r="AH173" t="s">
        <v>60</v>
      </c>
      <c r="AK173" s="45" t="e">
        <f>VLOOKUP(AH173,'Actor and Actress Success'!$A$1:$B$72,2,FALSE)</f>
        <v>#N/A</v>
      </c>
      <c r="AP173" s="40"/>
    </row>
    <row r="174" spans="1:42" ht="29.25" thickBot="1">
      <c r="A174">
        <v>174</v>
      </c>
      <c r="B174" s="8" t="s">
        <v>256</v>
      </c>
      <c r="C174" s="10">
        <v>2006</v>
      </c>
      <c r="D174" s="12">
        <v>38940</v>
      </c>
      <c r="E174" s="12"/>
      <c r="F174" s="10" t="s">
        <v>178</v>
      </c>
      <c r="G174" s="10" t="s">
        <v>178</v>
      </c>
      <c r="H174" s="22" t="s">
        <v>6</v>
      </c>
      <c r="I174" s="22">
        <v>800</v>
      </c>
      <c r="J174" s="22">
        <v>224</v>
      </c>
      <c r="K174" s="10">
        <v>53.27</v>
      </c>
      <c r="L174" s="1">
        <v>480000000</v>
      </c>
      <c r="M174" s="1">
        <v>1119240000</v>
      </c>
      <c r="N174" s="20">
        <v>983717020</v>
      </c>
      <c r="O174" s="20"/>
      <c r="P174" t="s">
        <v>382</v>
      </c>
      <c r="R174" t="s">
        <v>900</v>
      </c>
      <c r="T174" t="s">
        <v>382</v>
      </c>
      <c r="U174" t="s">
        <v>949</v>
      </c>
      <c r="V174" t="s">
        <v>497</v>
      </c>
      <c r="W174" s="45">
        <f>VLOOKUP(V174,'Actor and Actress Success'!$A$1:$B$72,2,FALSE)</f>
        <v>33.333333333333329</v>
      </c>
      <c r="X174" s="34">
        <v>1</v>
      </c>
      <c r="Z174" t="s">
        <v>58</v>
      </c>
      <c r="AB174" s="45">
        <f>VLOOKUP(Z174,'Actor and Actress Success'!$A$1:$B$72,2,FALSE)</f>
        <v>66.666666666666657</v>
      </c>
      <c r="AC174" s="34">
        <v>1</v>
      </c>
      <c r="AD174" t="s">
        <v>802</v>
      </c>
      <c r="AF174" s="45">
        <f>VLOOKUP(AD174,'Actor and Actress Success'!$A$1:$B$72,2,FALSE)</f>
        <v>35.714285714285715</v>
      </c>
      <c r="AG174" s="34">
        <v>1</v>
      </c>
      <c r="AH174" t="s">
        <v>383</v>
      </c>
      <c r="AJ174" s="34">
        <v>1</v>
      </c>
      <c r="AK174" s="45">
        <f>VLOOKUP(AH174,'Actor and Actress Success'!$A$1:$B$72,2,FALSE)</f>
        <v>47.5</v>
      </c>
      <c r="AP174" s="40" t="s">
        <v>1893</v>
      </c>
    </row>
    <row r="175" spans="1:42" ht="29.25" thickBot="1">
      <c r="A175">
        <v>175</v>
      </c>
      <c r="B175" s="8" t="s">
        <v>257</v>
      </c>
      <c r="C175" s="10">
        <v>2000</v>
      </c>
      <c r="D175" s="12">
        <v>36777</v>
      </c>
      <c r="E175" s="12"/>
      <c r="F175" s="10" t="s">
        <v>178</v>
      </c>
      <c r="G175" s="10" t="s">
        <v>178</v>
      </c>
      <c r="H175" s="22" t="s">
        <v>6</v>
      </c>
      <c r="I175" s="22">
        <v>275</v>
      </c>
      <c r="J175" s="22">
        <v>225</v>
      </c>
      <c r="K175" s="10">
        <v>80</v>
      </c>
      <c r="L175" s="20">
        <v>55000000</v>
      </c>
      <c r="M175" s="20">
        <v>322015000</v>
      </c>
      <c r="N175" s="20">
        <v>922773060</v>
      </c>
      <c r="O175" s="20"/>
      <c r="P175" t="s">
        <v>1078</v>
      </c>
      <c r="R175" t="s">
        <v>1079</v>
      </c>
      <c r="T175" t="s">
        <v>1078</v>
      </c>
      <c r="U175" t="s">
        <v>1077</v>
      </c>
      <c r="V175" t="s">
        <v>792</v>
      </c>
      <c r="W175" s="45" t="e">
        <f>VLOOKUP(V175,'Actor and Actress Success'!$A$1:$B$72,2,FALSE)</f>
        <v>#N/A</v>
      </c>
      <c r="Z175" t="s">
        <v>69</v>
      </c>
      <c r="AB175" s="45">
        <f>VLOOKUP(Z175,'Actor and Actress Success'!$A$1:$B$72,2,FALSE)</f>
        <v>46.808510638297875</v>
      </c>
      <c r="AC175" s="34">
        <v>1</v>
      </c>
      <c r="AD175" t="s">
        <v>794</v>
      </c>
      <c r="AF175" s="45">
        <f>VLOOKUP(AD175,'Actor and Actress Success'!$A$1:$B$72,2,FALSE)</f>
        <v>54.54545454545454</v>
      </c>
      <c r="AG175" s="34">
        <v>1</v>
      </c>
      <c r="AH175" t="s">
        <v>715</v>
      </c>
      <c r="AK175" s="45" t="e">
        <f>VLOOKUP(AH175,'Actor and Actress Success'!$A$1:$B$72,2,FALSE)</f>
        <v>#N/A</v>
      </c>
      <c r="AP175" s="40" t="s">
        <v>1894</v>
      </c>
    </row>
    <row r="176" spans="1:42" ht="29.25" thickBot="1">
      <c r="A176">
        <v>176</v>
      </c>
      <c r="B176" s="8" t="s">
        <v>258</v>
      </c>
      <c r="C176" s="10">
        <v>2008</v>
      </c>
      <c r="D176" s="12">
        <v>39493</v>
      </c>
      <c r="E176" s="12"/>
      <c r="F176" s="10" t="s">
        <v>178</v>
      </c>
      <c r="G176" s="10" t="s">
        <v>178</v>
      </c>
      <c r="H176" s="22" t="s">
        <v>56</v>
      </c>
      <c r="I176" s="22">
        <v>1000</v>
      </c>
      <c r="J176" s="22">
        <v>229</v>
      </c>
      <c r="K176" s="10">
        <v>75.94</v>
      </c>
      <c r="L176" s="1">
        <v>550000000</v>
      </c>
      <c r="M176" s="1">
        <v>1077817500</v>
      </c>
      <c r="N176" s="20">
        <v>862847920</v>
      </c>
      <c r="O176" s="20"/>
      <c r="P176" t="s">
        <v>1080</v>
      </c>
      <c r="R176" t="s">
        <v>418</v>
      </c>
      <c r="T176" t="s">
        <v>1860</v>
      </c>
      <c r="U176" t="s">
        <v>1081</v>
      </c>
      <c r="V176" t="s">
        <v>794</v>
      </c>
      <c r="W176" s="45">
        <f>VLOOKUP(V176,'Actor and Actress Success'!$A$1:$B$72,2,FALSE)</f>
        <v>54.54545454545454</v>
      </c>
      <c r="X176" s="34">
        <v>1</v>
      </c>
      <c r="Z176" t="s">
        <v>492</v>
      </c>
      <c r="AB176" s="45">
        <f>VLOOKUP(Z176,'Actor and Actress Success'!$A$1:$B$72,2,FALSE)</f>
        <v>36.666666666666664</v>
      </c>
      <c r="AC176" s="34">
        <v>1</v>
      </c>
      <c r="AD176" t="s">
        <v>1082</v>
      </c>
      <c r="AF176" s="45" t="e">
        <f>VLOOKUP(AD176,'Actor and Actress Success'!$A$1:$B$72,2,FALSE)</f>
        <v>#N/A</v>
      </c>
      <c r="AH176" t="s">
        <v>1083</v>
      </c>
      <c r="AK176" s="45" t="e">
        <f>VLOOKUP(AH176,'Actor and Actress Success'!$A$1:$B$72,2,FALSE)</f>
        <v>#N/A</v>
      </c>
      <c r="AP176" s="40" t="s">
        <v>1895</v>
      </c>
    </row>
    <row r="177" spans="1:42" ht="29.25" thickBot="1">
      <c r="A177">
        <v>177</v>
      </c>
      <c r="B177" s="8" t="s">
        <v>259</v>
      </c>
      <c r="C177" s="10">
        <v>2007</v>
      </c>
      <c r="D177" s="12">
        <v>39164</v>
      </c>
      <c r="E177" s="12"/>
      <c r="F177" s="10" t="s">
        <v>178</v>
      </c>
      <c r="G177" s="10" t="s">
        <v>178</v>
      </c>
      <c r="H177" s="22" t="s">
        <v>56</v>
      </c>
      <c r="I177" s="22">
        <v>775</v>
      </c>
      <c r="J177" s="22">
        <v>231</v>
      </c>
      <c r="K177" s="10">
        <v>85.56</v>
      </c>
      <c r="L177" s="1">
        <v>310000000</v>
      </c>
      <c r="M177" s="1">
        <v>714102500</v>
      </c>
      <c r="N177" s="20">
        <v>841637940</v>
      </c>
      <c r="O177" s="20"/>
      <c r="P177" t="s">
        <v>1084</v>
      </c>
      <c r="R177" t="s">
        <v>950</v>
      </c>
      <c r="T177" t="s">
        <v>1085</v>
      </c>
      <c r="U177" t="s">
        <v>1086</v>
      </c>
      <c r="V177" s="37" t="s">
        <v>397</v>
      </c>
      <c r="W177" s="45">
        <f>VLOOKUP(V177,'Actor and Actress Success'!$A$1:$B$72,2,FALSE)</f>
        <v>44.117647058823529</v>
      </c>
      <c r="X177" s="34">
        <v>1</v>
      </c>
      <c r="Y177" s="34">
        <f>'Star Economic history'!R6</f>
        <v>219066666.66666666</v>
      </c>
      <c r="Z177" s="37" t="s">
        <v>831</v>
      </c>
      <c r="AA177" s="37"/>
      <c r="AB177" s="45">
        <f>VLOOKUP(Z177,'Actor and Actress Success'!$A$1:$B$72,2,FALSE)</f>
        <v>73.076923076923066</v>
      </c>
      <c r="AC177" s="34">
        <v>1</v>
      </c>
      <c r="AD177" t="s">
        <v>724</v>
      </c>
      <c r="AE177">
        <f>'Star Economic history'!R7</f>
        <v>260562500</v>
      </c>
      <c r="AF177" s="45">
        <f>VLOOKUP(AD177,'Actor and Actress Success'!$A$1:$B$72,2,FALSE)</f>
        <v>26.086956521739129</v>
      </c>
      <c r="AH177" t="s">
        <v>1087</v>
      </c>
      <c r="AK177" s="45" t="e">
        <f>VLOOKUP(AH177,'Actor and Actress Success'!$A$1:$B$72,2,FALSE)</f>
        <v>#N/A</v>
      </c>
      <c r="AP177" s="40" t="s">
        <v>1896</v>
      </c>
    </row>
    <row r="178" spans="1:42" ht="29.25" thickBot="1">
      <c r="A178">
        <v>178</v>
      </c>
      <c r="B178" s="8" t="s">
        <v>260</v>
      </c>
      <c r="C178" s="10">
        <v>2007</v>
      </c>
      <c r="D178" s="12">
        <v>39199</v>
      </c>
      <c r="E178" s="12"/>
      <c r="F178" s="10" t="s">
        <v>178</v>
      </c>
      <c r="G178" s="10" t="s">
        <v>178</v>
      </c>
      <c r="H178" s="22" t="s">
        <v>6</v>
      </c>
      <c r="I178" s="22">
        <v>725</v>
      </c>
      <c r="J178" s="22">
        <v>235</v>
      </c>
      <c r="K178" s="10">
        <v>0</v>
      </c>
      <c r="L178" s="1">
        <v>300000000</v>
      </c>
      <c r="M178" s="1">
        <v>691450000</v>
      </c>
      <c r="N178" s="20">
        <v>798199160</v>
      </c>
      <c r="O178" s="20"/>
      <c r="P178" t="s">
        <v>1041</v>
      </c>
      <c r="R178" t="s">
        <v>805</v>
      </c>
      <c r="T178" t="s">
        <v>1041</v>
      </c>
      <c r="U178" t="s">
        <v>1088</v>
      </c>
      <c r="V178" t="s">
        <v>393</v>
      </c>
      <c r="W178" s="45">
        <f>VLOOKUP(V178,'Actor and Actress Success'!$A$1:$B$72,2,FALSE)</f>
        <v>27.450980392156865</v>
      </c>
      <c r="X178" s="34">
        <v>1</v>
      </c>
      <c r="Z178" t="s">
        <v>383</v>
      </c>
      <c r="AB178" s="45">
        <f>VLOOKUP(Z178,'Actor and Actress Success'!$A$1:$B$72,2,FALSE)</f>
        <v>47.5</v>
      </c>
      <c r="AC178" s="34">
        <v>1</v>
      </c>
      <c r="AD178" t="s">
        <v>1089</v>
      </c>
      <c r="AF178" s="45" t="e">
        <f>VLOOKUP(AD178,'Actor and Actress Success'!$A$1:$B$72,2,FALSE)</f>
        <v>#N/A</v>
      </c>
      <c r="AH178" t="s">
        <v>1090</v>
      </c>
      <c r="AK178" s="45" t="e">
        <f>VLOOKUP(AH178,'Actor and Actress Success'!$A$1:$B$72,2,FALSE)</f>
        <v>#N/A</v>
      </c>
      <c r="AP178" s="40" t="s">
        <v>1897</v>
      </c>
    </row>
    <row r="179" spans="1:42" ht="29.25" thickBot="1">
      <c r="A179">
        <v>179</v>
      </c>
      <c r="B179" s="8" t="s">
        <v>261</v>
      </c>
      <c r="C179" s="10">
        <v>2007</v>
      </c>
      <c r="D179" s="12">
        <v>39332</v>
      </c>
      <c r="E179" s="12"/>
      <c r="F179" s="10" t="s">
        <v>178</v>
      </c>
      <c r="G179" s="10" t="s">
        <v>178</v>
      </c>
      <c r="H179" s="22" t="s">
        <v>439</v>
      </c>
      <c r="I179" s="22">
        <v>800</v>
      </c>
      <c r="J179" s="22">
        <v>239</v>
      </c>
      <c r="K179" s="10">
        <v>0</v>
      </c>
      <c r="L179" s="1">
        <v>190000000</v>
      </c>
      <c r="M179" s="1">
        <v>507330000</v>
      </c>
      <c r="N179" s="20">
        <v>756705400</v>
      </c>
      <c r="O179" s="20"/>
      <c r="P179" t="s">
        <v>404</v>
      </c>
      <c r="R179" t="s">
        <v>1091</v>
      </c>
      <c r="T179" t="s">
        <v>1092</v>
      </c>
      <c r="U179" t="s">
        <v>1093</v>
      </c>
      <c r="V179" t="s">
        <v>511</v>
      </c>
      <c r="W179" s="45">
        <f>VLOOKUP(V179,'Actor and Actress Success'!$A$1:$B$72,2,FALSE)</f>
        <v>27.397260273972602</v>
      </c>
      <c r="X179" s="34">
        <v>1</v>
      </c>
      <c r="Z179" t="s">
        <v>550</v>
      </c>
      <c r="AB179" s="45" t="e">
        <f>VLOOKUP(Z179,'Actor and Actress Success'!$A$1:$B$72,2,FALSE)</f>
        <v>#N/A</v>
      </c>
      <c r="AC179" s="34">
        <v>1</v>
      </c>
      <c r="AD179" t="s">
        <v>928</v>
      </c>
      <c r="AF179" s="45" t="e">
        <f>VLOOKUP(AD179,'Actor and Actress Success'!$A$1:$B$72,2,FALSE)</f>
        <v>#N/A</v>
      </c>
      <c r="AG179" s="34">
        <v>1</v>
      </c>
      <c r="AH179" t="s">
        <v>1094</v>
      </c>
      <c r="AK179" s="45" t="e">
        <f>VLOOKUP(AH179,'Actor and Actress Success'!$A$1:$B$72,2,FALSE)</f>
        <v>#N/A</v>
      </c>
      <c r="AP179" s="40" t="s">
        <v>1898</v>
      </c>
    </row>
    <row r="180" spans="1:42">
      <c r="A180">
        <v>180</v>
      </c>
      <c r="B180" s="8" t="s">
        <v>262</v>
      </c>
      <c r="C180" s="10">
        <v>2005</v>
      </c>
      <c r="D180" s="12">
        <v>38548</v>
      </c>
      <c r="E180" s="12"/>
      <c r="F180" s="10" t="s">
        <v>178</v>
      </c>
      <c r="G180" s="10" t="s">
        <v>178</v>
      </c>
      <c r="H180" s="22" t="s">
        <v>439</v>
      </c>
      <c r="I180" s="22">
        <v>450</v>
      </c>
      <c r="J180" s="22">
        <v>241</v>
      </c>
      <c r="K180" s="10">
        <v>77.25</v>
      </c>
      <c r="L180" s="1">
        <v>150000000</v>
      </c>
      <c r="M180" s="1">
        <v>472225000</v>
      </c>
      <c r="N180" s="20">
        <v>377718300</v>
      </c>
      <c r="O180" s="20"/>
      <c r="P180" s="17" t="s">
        <v>1095</v>
      </c>
      <c r="Q180" s="17">
        <f>Q162+291100000</f>
        <v>291100000</v>
      </c>
      <c r="R180" s="17" t="s">
        <v>1096</v>
      </c>
      <c r="S180" s="17"/>
      <c r="T180" s="17" t="s">
        <v>852</v>
      </c>
      <c r="U180" s="17" t="s">
        <v>895</v>
      </c>
      <c r="V180" s="17" t="s">
        <v>16</v>
      </c>
      <c r="W180" s="45">
        <f>VLOOKUP(V180,'Actor and Actress Success'!$A$1:$B$72,2,FALSE)</f>
        <v>50.819672131147541</v>
      </c>
      <c r="X180" s="35">
        <v>1</v>
      </c>
      <c r="Y180" s="35"/>
      <c r="Z180" s="17" t="s">
        <v>772</v>
      </c>
      <c r="AA180" s="17"/>
      <c r="AB180" s="45">
        <f>VLOOKUP(Z180,'Actor and Actress Success'!$A$1:$B$72,2,FALSE)</f>
        <v>20.833333333333336</v>
      </c>
      <c r="AC180" s="35">
        <v>1</v>
      </c>
      <c r="AD180" s="17" t="s">
        <v>831</v>
      </c>
      <c r="AE180" s="17"/>
      <c r="AF180" s="45">
        <f>VLOOKUP(AD180,'Actor and Actress Success'!$A$1:$B$72,2,FALSE)</f>
        <v>73.076923076923066</v>
      </c>
      <c r="AG180" s="35">
        <v>1</v>
      </c>
      <c r="AH180" s="17" t="s">
        <v>1097</v>
      </c>
      <c r="AI180" s="17"/>
      <c r="AJ180" s="34">
        <v>1</v>
      </c>
      <c r="AK180" s="45" t="e">
        <f>VLOOKUP(AH180,'Actor and Actress Success'!$A$1:$B$72,2,FALSE)</f>
        <v>#N/A</v>
      </c>
      <c r="AP180" s="21" t="s">
        <v>1899</v>
      </c>
    </row>
    <row r="181" spans="1:42">
      <c r="A181">
        <v>181</v>
      </c>
      <c r="B181" s="8" t="s">
        <v>263</v>
      </c>
      <c r="C181" s="10">
        <v>2007</v>
      </c>
      <c r="D181" s="12">
        <v>39227</v>
      </c>
      <c r="E181" s="12"/>
      <c r="F181" s="10" t="s">
        <v>178</v>
      </c>
      <c r="G181" s="10" t="s">
        <v>178</v>
      </c>
      <c r="H181" s="22" t="s">
        <v>50</v>
      </c>
      <c r="I181" s="22">
        <v>800</v>
      </c>
      <c r="J181" s="22">
        <v>248</v>
      </c>
      <c r="K181" s="10">
        <v>75</v>
      </c>
      <c r="L181" s="1">
        <v>180000000</v>
      </c>
      <c r="M181" s="1">
        <v>460430000</v>
      </c>
      <c r="N181" s="20">
        <v>698632660</v>
      </c>
      <c r="O181" s="20"/>
      <c r="P181" s="17" t="s">
        <v>1098</v>
      </c>
      <c r="Q181" s="17"/>
      <c r="R181" t="s">
        <v>1100</v>
      </c>
      <c r="T181" s="17" t="s">
        <v>1859</v>
      </c>
      <c r="U181" s="17" t="s">
        <v>1099</v>
      </c>
      <c r="V181" s="17" t="s">
        <v>511</v>
      </c>
      <c r="W181" s="45">
        <f>VLOOKUP(V181,'Actor and Actress Success'!$A$1:$B$72,2,FALSE)</f>
        <v>27.397260273972602</v>
      </c>
      <c r="X181" s="35">
        <v>1</v>
      </c>
      <c r="Y181" s="35"/>
      <c r="Z181" s="17" t="s">
        <v>497</v>
      </c>
      <c r="AA181" s="17"/>
      <c r="AB181" s="45">
        <f>VLOOKUP(Z181,'Actor and Actress Success'!$A$1:$B$72,2,FALSE)</f>
        <v>33.333333333333329</v>
      </c>
      <c r="AC181" s="35">
        <v>1</v>
      </c>
      <c r="AD181" s="17" t="s">
        <v>469</v>
      </c>
      <c r="AE181" s="17"/>
      <c r="AF181" s="45" t="e">
        <f>VLOOKUP(AD181,'Actor and Actress Success'!$A$1:$B$72,2,FALSE)</f>
        <v>#N/A</v>
      </c>
      <c r="AG181" s="35">
        <v>1</v>
      </c>
      <c r="AH181" s="17" t="s">
        <v>79</v>
      </c>
      <c r="AI181" s="17"/>
      <c r="AJ181" s="34">
        <v>1</v>
      </c>
      <c r="AK181" s="45">
        <f>VLOOKUP(AH181,'Actor and Actress Success'!$A$1:$B$72,2,FALSE)</f>
        <v>26.373626373626376</v>
      </c>
      <c r="AP181" s="21" t="s">
        <v>1900</v>
      </c>
    </row>
    <row r="182" spans="1:42">
      <c r="A182">
        <v>182</v>
      </c>
      <c r="B182" s="8" t="s">
        <v>264</v>
      </c>
      <c r="C182" s="10">
        <v>2005</v>
      </c>
      <c r="D182" s="12">
        <v>38534</v>
      </c>
      <c r="E182" s="12"/>
      <c r="F182" s="10" t="s">
        <v>178</v>
      </c>
      <c r="G182" s="10" t="s">
        <v>178</v>
      </c>
      <c r="H182" s="22" t="s">
        <v>6</v>
      </c>
      <c r="I182" s="22">
        <v>425</v>
      </c>
      <c r="J182" s="22">
        <v>249</v>
      </c>
      <c r="K182" s="10">
        <v>97.5</v>
      </c>
      <c r="L182" s="1">
        <v>140000000</v>
      </c>
      <c r="M182" s="1">
        <v>393047500</v>
      </c>
      <c r="N182" s="20">
        <v>69984320</v>
      </c>
      <c r="O182" s="20"/>
      <c r="P182" s="17" t="s">
        <v>421</v>
      </c>
      <c r="Q182" s="17"/>
      <c r="R182" s="17" t="s">
        <v>1056</v>
      </c>
      <c r="S182" s="17"/>
      <c r="T182" s="17" t="s">
        <v>1101</v>
      </c>
      <c r="U182" s="17" t="s">
        <v>1101</v>
      </c>
      <c r="V182" s="17" t="s">
        <v>497</v>
      </c>
      <c r="W182" s="45">
        <f>VLOOKUP(V182,'Actor and Actress Success'!$A$1:$B$72,2,FALSE)</f>
        <v>33.333333333333329</v>
      </c>
      <c r="X182" s="35">
        <v>1</v>
      </c>
      <c r="Y182" s="35"/>
      <c r="Z182" s="17" t="s">
        <v>802</v>
      </c>
      <c r="AA182" s="17"/>
      <c r="AB182" s="45">
        <f>VLOOKUP(Z182,'Actor and Actress Success'!$A$1:$B$72,2,FALSE)</f>
        <v>35.714285714285715</v>
      </c>
      <c r="AC182" s="35">
        <v>1</v>
      </c>
      <c r="AD182" s="17" t="s">
        <v>1102</v>
      </c>
      <c r="AE182" s="17"/>
      <c r="AF182" s="45" t="e">
        <f>VLOOKUP(AD182,'Actor and Actress Success'!$A$1:$B$72,2,FALSE)</f>
        <v>#N/A</v>
      </c>
      <c r="AG182" s="35"/>
      <c r="AH182" s="17" t="s">
        <v>831</v>
      </c>
      <c r="AI182" s="17"/>
      <c r="AJ182" s="34">
        <v>1</v>
      </c>
      <c r="AK182" s="45">
        <f>VLOOKUP(AH182,'Actor and Actress Success'!$A$1:$B$72,2,FALSE)</f>
        <v>73.076923076923066</v>
      </c>
      <c r="AP182" s="21" t="s">
        <v>1901</v>
      </c>
    </row>
    <row r="183" spans="1:42" ht="29.25" thickBot="1">
      <c r="A183">
        <v>183</v>
      </c>
      <c r="B183" s="8" t="s">
        <v>265</v>
      </c>
      <c r="C183" s="10">
        <v>2003</v>
      </c>
      <c r="D183" s="12">
        <v>37848</v>
      </c>
      <c r="E183" s="12"/>
      <c r="F183" s="10" t="s">
        <v>178</v>
      </c>
      <c r="G183" s="10" t="s">
        <v>178</v>
      </c>
      <c r="H183" s="22" t="s">
        <v>56</v>
      </c>
      <c r="I183" s="22">
        <v>375</v>
      </c>
      <c r="J183" s="22">
        <v>252</v>
      </c>
      <c r="K183" s="10">
        <v>73.7</v>
      </c>
      <c r="L183" s="1">
        <v>77400000</v>
      </c>
      <c r="M183" s="1">
        <v>245430000</v>
      </c>
      <c r="N183" s="20">
        <v>654452920</v>
      </c>
      <c r="O183" s="20"/>
      <c r="P183" s="17" t="s">
        <v>482</v>
      </c>
      <c r="Q183" s="17"/>
      <c r="R183" s="17" t="s">
        <v>950</v>
      </c>
      <c r="S183" s="17"/>
      <c r="T183" s="17" t="s">
        <v>1103</v>
      </c>
      <c r="U183" s="17" t="s">
        <v>1014</v>
      </c>
      <c r="V183" s="17" t="s">
        <v>16</v>
      </c>
      <c r="W183" s="45">
        <f>VLOOKUP(V183,'Actor and Actress Success'!$A$1:$B$72,2,FALSE)</f>
        <v>50.819672131147541</v>
      </c>
      <c r="X183" s="35">
        <v>1</v>
      </c>
      <c r="Y183" s="35"/>
      <c r="Z183" s="17" t="s">
        <v>1104</v>
      </c>
      <c r="AA183" s="17"/>
      <c r="AB183" s="45" t="e">
        <f>VLOOKUP(Z183,'Actor and Actress Success'!$A$1:$B$72,2,FALSE)</f>
        <v>#N/A</v>
      </c>
      <c r="AC183" s="35">
        <v>1</v>
      </c>
      <c r="AD183" s="17" t="s">
        <v>1105</v>
      </c>
      <c r="AE183" s="17"/>
      <c r="AF183" s="45" t="e">
        <f>VLOOKUP(AD183,'Actor and Actress Success'!$A$1:$B$72,2,FALSE)</f>
        <v>#N/A</v>
      </c>
      <c r="AG183" s="35"/>
      <c r="AH183" s="17" t="s">
        <v>1106</v>
      </c>
      <c r="AI183" s="17"/>
      <c r="AK183" s="45" t="e">
        <f>VLOOKUP(AH183,'Actor and Actress Success'!$A$1:$B$72,2,FALSE)</f>
        <v>#N/A</v>
      </c>
      <c r="AP183" s="40" t="s">
        <v>1902</v>
      </c>
    </row>
    <row r="184" spans="1:42" ht="29.25" thickBot="1">
      <c r="A184">
        <v>184</v>
      </c>
      <c r="B184" s="8" t="s">
        <v>266</v>
      </c>
      <c r="C184" s="10">
        <v>2008</v>
      </c>
      <c r="D184" s="12">
        <v>39675</v>
      </c>
      <c r="E184" s="12"/>
      <c r="F184" s="10" t="s">
        <v>178</v>
      </c>
      <c r="G184" s="10" t="s">
        <v>178</v>
      </c>
      <c r="H184" s="22" t="s">
        <v>547</v>
      </c>
      <c r="I184" s="22">
        <v>800</v>
      </c>
      <c r="J184" s="22">
        <v>254</v>
      </c>
      <c r="K184" s="10">
        <v>92.31</v>
      </c>
      <c r="L184" s="1">
        <v>200700000</v>
      </c>
      <c r="M184" s="1">
        <v>615725000</v>
      </c>
      <c r="N184" s="20">
        <v>613514880</v>
      </c>
      <c r="O184" s="20"/>
      <c r="P184" s="17" t="s">
        <v>1041</v>
      </c>
      <c r="Q184" s="17"/>
      <c r="R184" s="17" t="s">
        <v>805</v>
      </c>
      <c r="S184" s="17"/>
      <c r="T184" s="17" t="s">
        <v>62</v>
      </c>
      <c r="U184" s="17" t="s">
        <v>1107</v>
      </c>
      <c r="V184" s="17" t="s">
        <v>912</v>
      </c>
      <c r="W184" s="45">
        <f>VLOOKUP(V184,'Actor and Actress Success'!$A$1:$B$72,2,FALSE)</f>
        <v>56.25</v>
      </c>
      <c r="X184" s="35">
        <v>1</v>
      </c>
      <c r="Y184" s="35"/>
      <c r="Z184" s="17" t="s">
        <v>806</v>
      </c>
      <c r="AA184" s="17"/>
      <c r="AB184" s="45">
        <f>VLOOKUP(Z184,'Actor and Actress Success'!$A$1:$B$72,2,FALSE)</f>
        <v>57.142857142857139</v>
      </c>
      <c r="AC184" s="35">
        <v>1</v>
      </c>
      <c r="AD184" s="17" t="s">
        <v>818</v>
      </c>
      <c r="AE184" s="17"/>
      <c r="AF184" s="45">
        <f>VLOOKUP(AD184,'Actor and Actress Success'!$A$1:$B$72,2,FALSE)</f>
        <v>30</v>
      </c>
      <c r="AG184" s="35">
        <v>1</v>
      </c>
      <c r="AH184" s="17" t="s">
        <v>1108</v>
      </c>
      <c r="AI184" s="17"/>
      <c r="AJ184" s="34">
        <v>1</v>
      </c>
      <c r="AK184" s="45" t="e">
        <f>VLOOKUP(AH184,'Actor and Actress Success'!$A$1:$B$72,2,FALSE)</f>
        <v>#N/A</v>
      </c>
      <c r="AP184" s="40" t="s">
        <v>1903</v>
      </c>
    </row>
    <row r="185" spans="1:42" ht="29.25" thickBot="1">
      <c r="A185">
        <v>185</v>
      </c>
      <c r="B185" s="8" t="s">
        <v>267</v>
      </c>
      <c r="C185" s="10">
        <v>2006</v>
      </c>
      <c r="D185" s="12">
        <v>38842</v>
      </c>
      <c r="E185" s="12"/>
      <c r="F185" s="10" t="s">
        <v>178</v>
      </c>
      <c r="G185" s="10" t="s">
        <v>178</v>
      </c>
      <c r="H185" s="22" t="s">
        <v>1109</v>
      </c>
      <c r="I185" s="22">
        <v>450</v>
      </c>
      <c r="J185" s="22">
        <v>257</v>
      </c>
      <c r="K185" s="10">
        <v>20</v>
      </c>
      <c r="L185" s="20">
        <v>190000000</v>
      </c>
      <c r="M185" s="1">
        <v>379200000</v>
      </c>
      <c r="N185" s="20">
        <v>574892340</v>
      </c>
      <c r="O185" s="20"/>
      <c r="P185" s="17" t="s">
        <v>448</v>
      </c>
      <c r="Q185" s="17"/>
      <c r="R185" s="17" t="s">
        <v>950</v>
      </c>
      <c r="S185" s="17"/>
      <c r="T185" s="17" t="s">
        <v>447</v>
      </c>
      <c r="U185" s="17" t="s">
        <v>1110</v>
      </c>
      <c r="V185" s="17" t="s">
        <v>569</v>
      </c>
      <c r="W185" s="45" t="e">
        <f>VLOOKUP(V185,'Actor and Actress Success'!$A$1:$B$72,2,FALSE)</f>
        <v>#N/A</v>
      </c>
      <c r="X185" s="35">
        <v>1</v>
      </c>
      <c r="Y185" s="35"/>
      <c r="Z185" s="17" t="s">
        <v>788</v>
      </c>
      <c r="AA185" s="17"/>
      <c r="AB185" s="45">
        <f>VLOOKUP(Z185,'Actor and Actress Success'!$A$1:$B$72,2,FALSE)</f>
        <v>45.652173913043477</v>
      </c>
      <c r="AC185" s="35">
        <v>1</v>
      </c>
      <c r="AD185" s="17" t="s">
        <v>823</v>
      </c>
      <c r="AE185" s="17"/>
      <c r="AF185" s="45">
        <f>VLOOKUP(AD185,'Actor and Actress Success'!$A$1:$B$72,2,FALSE)</f>
        <v>38.461538461538467</v>
      </c>
      <c r="AG185" s="35">
        <v>1</v>
      </c>
      <c r="AH185" s="17" t="s">
        <v>913</v>
      </c>
      <c r="AI185" s="17"/>
      <c r="AK185" s="45" t="e">
        <f>VLOOKUP(AH185,'Actor and Actress Success'!$A$1:$B$72,2,FALSE)</f>
        <v>#N/A</v>
      </c>
      <c r="AP185" s="40" t="s">
        <v>1904</v>
      </c>
    </row>
    <row r="186" spans="1:42" ht="29.25" thickBot="1">
      <c r="A186">
        <v>186</v>
      </c>
      <c r="B186" s="8" t="s">
        <v>268</v>
      </c>
      <c r="C186" s="10">
        <v>2009</v>
      </c>
      <c r="D186" s="12">
        <v>39836</v>
      </c>
      <c r="E186" s="12"/>
      <c r="F186" s="10" t="s">
        <v>178</v>
      </c>
      <c r="G186" s="10" t="s">
        <v>178</v>
      </c>
      <c r="H186" s="22" t="s">
        <v>757</v>
      </c>
      <c r="I186" s="22">
        <v>1150</v>
      </c>
      <c r="J186" s="22">
        <v>263</v>
      </c>
      <c r="K186" s="10">
        <v>12.5</v>
      </c>
      <c r="L186" s="20">
        <v>180000000</v>
      </c>
      <c r="M186" s="1">
        <v>380900000</v>
      </c>
      <c r="N186" s="20">
        <v>480419940</v>
      </c>
      <c r="O186" s="20"/>
      <c r="P186" s="17" t="s">
        <v>1111</v>
      </c>
      <c r="Q186" s="17"/>
      <c r="R186" s="17" t="s">
        <v>1115</v>
      </c>
      <c r="S186" s="17"/>
      <c r="T186" s="17" t="s">
        <v>1111</v>
      </c>
      <c r="U186" s="17" t="s">
        <v>1112</v>
      </c>
      <c r="V186" s="17" t="s">
        <v>1113</v>
      </c>
      <c r="W186" s="45">
        <f>VLOOKUP(V186,'Actor and Actress Success'!$A$1:$B$72,2,FALSE)</f>
        <v>39.285714285714285</v>
      </c>
      <c r="X186" s="35">
        <v>1</v>
      </c>
      <c r="Y186" s="35"/>
      <c r="Z186" s="17" t="s">
        <v>931</v>
      </c>
      <c r="AA186" s="17"/>
      <c r="AB186" s="45">
        <f>VLOOKUP(Z186,'Actor and Actress Success'!$A$1:$B$72,2,FALSE)</f>
        <v>31.428571428571427</v>
      </c>
      <c r="AC186" s="35">
        <v>1</v>
      </c>
      <c r="AD186" s="17" t="s">
        <v>1114</v>
      </c>
      <c r="AE186" s="17"/>
      <c r="AF186" s="45" t="e">
        <f>VLOOKUP(AD186,'Actor and Actress Success'!$A$1:$B$72,2,FALSE)</f>
        <v>#N/A</v>
      </c>
      <c r="AG186" s="35"/>
      <c r="AH186" s="17" t="s">
        <v>78</v>
      </c>
      <c r="AI186" s="17"/>
      <c r="AK186" s="45">
        <f>VLOOKUP(AH186,'Actor and Actress Success'!$A$1:$B$72,2,FALSE)</f>
        <v>15.238095238095239</v>
      </c>
      <c r="AP186" s="40" t="s">
        <v>1905</v>
      </c>
    </row>
    <row r="187" spans="1:42" ht="29.25" thickBot="1">
      <c r="A187">
        <v>187</v>
      </c>
      <c r="B187" s="8" t="s">
        <v>269</v>
      </c>
      <c r="C187" s="10">
        <v>2005</v>
      </c>
      <c r="D187" s="12">
        <v>38688</v>
      </c>
      <c r="E187" s="12"/>
      <c r="F187" s="10" t="s">
        <v>178</v>
      </c>
      <c r="G187" s="10" t="s">
        <v>178</v>
      </c>
      <c r="H187" s="22" t="s">
        <v>50</v>
      </c>
      <c r="I187" s="22">
        <v>425</v>
      </c>
      <c r="J187" s="22">
        <v>265</v>
      </c>
      <c r="K187" s="10">
        <v>0</v>
      </c>
      <c r="L187" s="20">
        <v>110000000</v>
      </c>
      <c r="M187" s="1">
        <v>231650000</v>
      </c>
      <c r="N187" s="20">
        <v>478011820</v>
      </c>
      <c r="O187" s="20"/>
      <c r="P187" s="17" t="s">
        <v>1116</v>
      </c>
      <c r="Q187" s="17"/>
      <c r="R187" s="17" t="s">
        <v>1118</v>
      </c>
      <c r="S187" s="17"/>
      <c r="T187" s="17" t="s">
        <v>1116</v>
      </c>
      <c r="U187" s="17" t="s">
        <v>1116</v>
      </c>
      <c r="V187" s="17" t="s">
        <v>429</v>
      </c>
      <c r="W187" s="45">
        <f>VLOOKUP(V187,'Actor and Actress Success'!$A$1:$B$72,2,FALSE)</f>
        <v>39.285714285714285</v>
      </c>
      <c r="X187" s="35">
        <v>1</v>
      </c>
      <c r="Y187" s="35">
        <f>'Star Economic history'!P4</f>
        <v>162033333.33333334</v>
      </c>
      <c r="Z187" s="17" t="s">
        <v>415</v>
      </c>
      <c r="AA187" s="17"/>
      <c r="AB187" s="45" t="e">
        <f>VLOOKUP(Z187,'Actor and Actress Success'!$A$1:$B$72,2,FALSE)</f>
        <v>#N/A</v>
      </c>
      <c r="AC187" s="35">
        <v>1</v>
      </c>
      <c r="AD187" s="17" t="s">
        <v>818</v>
      </c>
      <c r="AE187" s="17"/>
      <c r="AF187" s="45">
        <f>VLOOKUP(AD187,'Actor and Actress Success'!$A$1:$B$72,2,FALSE)</f>
        <v>30</v>
      </c>
      <c r="AG187" s="35">
        <v>1</v>
      </c>
      <c r="AH187" s="17" t="s">
        <v>1117</v>
      </c>
      <c r="AI187" s="17"/>
      <c r="AK187" s="45" t="e">
        <f>VLOOKUP(AH187,'Actor and Actress Success'!$A$1:$B$72,2,FALSE)</f>
        <v>#N/A</v>
      </c>
      <c r="AP187" s="40" t="s">
        <v>1906</v>
      </c>
    </row>
    <row r="188" spans="1:42" ht="29.25" thickBot="1">
      <c r="A188">
        <v>188</v>
      </c>
      <c r="B188" s="8" t="s">
        <v>270</v>
      </c>
      <c r="C188" s="10">
        <v>2003</v>
      </c>
      <c r="D188" s="12">
        <v>37624</v>
      </c>
      <c r="E188" s="12"/>
      <c r="F188" s="10" t="s">
        <v>178</v>
      </c>
      <c r="G188" s="10" t="s">
        <v>178</v>
      </c>
      <c r="H188" s="22" t="s">
        <v>56</v>
      </c>
      <c r="I188" s="22">
        <v>110</v>
      </c>
      <c r="J188" s="22">
        <v>268</v>
      </c>
      <c r="K188" s="10">
        <v>0</v>
      </c>
      <c r="L188" s="20">
        <v>35000000</v>
      </c>
      <c r="M188" s="1">
        <v>143660000</v>
      </c>
      <c r="N188" s="20">
        <v>454671850</v>
      </c>
      <c r="O188" s="20"/>
      <c r="P188" s="17" t="s">
        <v>1119</v>
      </c>
      <c r="Q188" s="17"/>
      <c r="R188" s="17" t="s">
        <v>496</v>
      </c>
      <c r="S188" s="17">
        <f>120125000+52200000+77050000+24500000+182300000+43600000+63100000+23000000+191900000+44000000+1100000+5975000+1150000+33150000+12850000+8250000</f>
        <v>884250000</v>
      </c>
      <c r="T188" s="17" t="s">
        <v>1120</v>
      </c>
      <c r="U188" s="17" t="s">
        <v>773</v>
      </c>
      <c r="V188" s="17" t="s">
        <v>928</v>
      </c>
      <c r="W188" s="45" t="e">
        <f>VLOOKUP(V188,'Actor and Actress Success'!$A$1:$B$72,2,FALSE)</f>
        <v>#N/A</v>
      </c>
      <c r="X188" s="35">
        <v>1</v>
      </c>
      <c r="Y188" s="35"/>
      <c r="Z188" s="17" t="s">
        <v>922</v>
      </c>
      <c r="AA188" s="17"/>
      <c r="AB188" s="45" t="e">
        <f>VLOOKUP(Z188,'Actor and Actress Success'!$A$1:$B$72,2,FALSE)</f>
        <v>#N/A</v>
      </c>
      <c r="AC188" s="35">
        <v>1</v>
      </c>
      <c r="AD188" s="17" t="s">
        <v>1121</v>
      </c>
      <c r="AE188" s="17"/>
      <c r="AF188" s="45" t="e">
        <f>VLOOKUP(AD188,'Actor and Actress Success'!$A$1:$B$72,2,FALSE)</f>
        <v>#N/A</v>
      </c>
      <c r="AG188" s="35"/>
      <c r="AH188" s="17" t="s">
        <v>1122</v>
      </c>
      <c r="AI188" s="17"/>
      <c r="AK188" s="45" t="e">
        <f>VLOOKUP(AH188,'Actor and Actress Success'!$A$1:$B$72,2,FALSE)</f>
        <v>#N/A</v>
      </c>
      <c r="AP188" s="40" t="s">
        <v>1907</v>
      </c>
    </row>
    <row r="189" spans="1:42" ht="29.25" thickBot="1">
      <c r="A189">
        <v>189</v>
      </c>
      <c r="B189" s="8" t="s">
        <v>271</v>
      </c>
      <c r="C189" s="10">
        <v>2009</v>
      </c>
      <c r="D189" s="12">
        <v>40151</v>
      </c>
      <c r="E189" s="12"/>
      <c r="F189" s="10" t="s">
        <v>178</v>
      </c>
      <c r="G189" s="10" t="s">
        <v>178</v>
      </c>
      <c r="H189" s="22" t="s">
        <v>6</v>
      </c>
      <c r="I189" s="22">
        <v>600</v>
      </c>
      <c r="J189" s="22">
        <v>269</v>
      </c>
      <c r="K189" s="10">
        <v>40</v>
      </c>
      <c r="L189" s="20">
        <v>210000000</v>
      </c>
      <c r="M189" s="1">
        <v>489325000</v>
      </c>
      <c r="N189" s="20">
        <v>452633940</v>
      </c>
      <c r="O189" s="20"/>
      <c r="P189" s="17" t="s">
        <v>1123</v>
      </c>
      <c r="Q189" s="17"/>
      <c r="R189" s="17" t="s">
        <v>1124</v>
      </c>
      <c r="S189" s="17"/>
      <c r="T189" s="17" t="s">
        <v>1123</v>
      </c>
      <c r="U189" s="17" t="s">
        <v>1123</v>
      </c>
      <c r="V189" s="17" t="s">
        <v>497</v>
      </c>
      <c r="W189" s="45">
        <f>VLOOKUP(V189,'Actor and Actress Success'!$A$1:$B$72,2,FALSE)</f>
        <v>33.333333333333329</v>
      </c>
      <c r="X189" s="35">
        <v>1</v>
      </c>
      <c r="Y189" s="35"/>
      <c r="Z189" s="17" t="s">
        <v>802</v>
      </c>
      <c r="AA189" s="17"/>
      <c r="AB189" s="45">
        <f>VLOOKUP(Z189,'Actor and Actress Success'!$A$1:$B$72,2,FALSE)</f>
        <v>35.714285714285715</v>
      </c>
      <c r="AC189" s="35">
        <v>1</v>
      </c>
      <c r="AD189" s="17" t="s">
        <v>810</v>
      </c>
      <c r="AE189" s="17"/>
      <c r="AF189" s="45">
        <f>VLOOKUP(AD189,'Actor and Actress Success'!$A$1:$B$72,2,FALSE)</f>
        <v>40.909090909090914</v>
      </c>
      <c r="AG189" s="35">
        <v>1</v>
      </c>
      <c r="AH189" s="17" t="s">
        <v>453</v>
      </c>
      <c r="AI189" s="17"/>
      <c r="AK189" s="45" t="e">
        <f>VLOOKUP(AH189,'Actor and Actress Success'!$A$1:$B$72,2,FALSE)</f>
        <v>#N/A</v>
      </c>
      <c r="AP189" s="40" t="s">
        <v>1908</v>
      </c>
    </row>
    <row r="190" spans="1:42" ht="29.25" thickBot="1">
      <c r="A190">
        <v>190</v>
      </c>
      <c r="B190" s="8" t="s">
        <v>272</v>
      </c>
      <c r="C190" s="10">
        <v>2003</v>
      </c>
      <c r="D190" s="12">
        <v>37834</v>
      </c>
      <c r="E190" s="12"/>
      <c r="F190" s="10" t="s">
        <v>178</v>
      </c>
      <c r="G190" s="10" t="s">
        <v>178</v>
      </c>
      <c r="H190" s="22" t="s">
        <v>439</v>
      </c>
      <c r="I190" s="22">
        <v>210</v>
      </c>
      <c r="J190" s="22">
        <v>271</v>
      </c>
      <c r="K190" s="10">
        <v>0</v>
      </c>
      <c r="L190" s="20">
        <v>60000000</v>
      </c>
      <c r="M190" s="1">
        <v>202436250</v>
      </c>
      <c r="N190" s="20">
        <v>444020280</v>
      </c>
      <c r="O190" s="20"/>
      <c r="P190" s="17" t="s">
        <v>526</v>
      </c>
      <c r="Q190" s="17"/>
      <c r="R190" s="17" t="s">
        <v>67</v>
      </c>
      <c r="S190" s="17"/>
      <c r="T190" s="17" t="s">
        <v>526</v>
      </c>
      <c r="U190" s="17" t="s">
        <v>773</v>
      </c>
      <c r="V190" s="17" t="s">
        <v>569</v>
      </c>
      <c r="W190" s="45" t="e">
        <f>VLOOKUP(V190,'Actor and Actress Success'!$A$1:$B$72,2,FALSE)</f>
        <v>#N/A</v>
      </c>
      <c r="X190" s="35">
        <v>1</v>
      </c>
      <c r="Y190" s="35"/>
      <c r="Z190" s="17" t="s">
        <v>453</v>
      </c>
      <c r="AA190" s="17"/>
      <c r="AB190" s="45" t="e">
        <f>VLOOKUP(Z190,'Actor and Actress Success'!$A$1:$B$72,2,FALSE)</f>
        <v>#N/A</v>
      </c>
      <c r="AC190" s="35"/>
      <c r="AD190" s="17" t="s">
        <v>1016</v>
      </c>
      <c r="AE190" s="17"/>
      <c r="AF190" s="45" t="e">
        <f>VLOOKUP(AD190,'Actor and Actress Success'!$A$1:$B$72,2,FALSE)</f>
        <v>#N/A</v>
      </c>
      <c r="AG190" s="35"/>
      <c r="AH190" s="17" t="s">
        <v>465</v>
      </c>
      <c r="AI190" s="17"/>
      <c r="AK190" s="45" t="e">
        <f>VLOOKUP(AH190,'Actor and Actress Success'!$A$1:$B$72,2,FALSE)</f>
        <v>#N/A</v>
      </c>
      <c r="AP190" s="40" t="s">
        <v>1909</v>
      </c>
    </row>
    <row r="191" spans="1:42" ht="29.25" thickBot="1">
      <c r="A191">
        <v>191</v>
      </c>
      <c r="B191" s="8" t="s">
        <v>273</v>
      </c>
      <c r="C191" s="10">
        <v>2006</v>
      </c>
      <c r="D191" s="12">
        <v>38772</v>
      </c>
      <c r="E191" s="12"/>
      <c r="F191" s="10" t="s">
        <v>178</v>
      </c>
      <c r="G191" s="10" t="s">
        <v>178</v>
      </c>
      <c r="H191" s="22" t="s">
        <v>6</v>
      </c>
      <c r="I191" s="22">
        <v>400</v>
      </c>
      <c r="J191" s="22">
        <v>272</v>
      </c>
      <c r="K191" s="10">
        <v>0</v>
      </c>
      <c r="L191" s="20">
        <v>100000000</v>
      </c>
      <c r="M191" s="1">
        <v>321700000</v>
      </c>
      <c r="N191" s="20">
        <v>436888540</v>
      </c>
      <c r="O191" s="20"/>
      <c r="P191" s="17" t="s">
        <v>506</v>
      </c>
      <c r="Q191" s="17"/>
      <c r="R191" s="17" t="s">
        <v>805</v>
      </c>
      <c r="S191" s="17"/>
      <c r="T191" s="17" t="s">
        <v>1125</v>
      </c>
      <c r="U191" s="17" t="s">
        <v>1125</v>
      </c>
      <c r="V191" s="17" t="s">
        <v>415</v>
      </c>
      <c r="W191" s="45" t="e">
        <f>VLOOKUP(V191,'Actor and Actress Success'!$A$1:$B$72,2,FALSE)</f>
        <v>#N/A</v>
      </c>
      <c r="X191" s="35">
        <v>1</v>
      </c>
      <c r="Y191" s="35"/>
      <c r="Z191" s="17" t="s">
        <v>918</v>
      </c>
      <c r="AA191" s="17"/>
      <c r="AB191" s="45">
        <f>VLOOKUP(Z191,'Actor and Actress Success'!$A$1:$B$72,2,FALSE)</f>
        <v>36.111111111111107</v>
      </c>
      <c r="AC191" s="35">
        <v>1</v>
      </c>
      <c r="AD191" s="17" t="s">
        <v>1126</v>
      </c>
      <c r="AE191" s="17"/>
      <c r="AF191" s="45" t="e">
        <f>VLOOKUP(AD191,'Actor and Actress Success'!$A$1:$B$72,2,FALSE)</f>
        <v>#N/A</v>
      </c>
      <c r="AG191" s="35">
        <v>1</v>
      </c>
      <c r="AH191" s="17" t="s">
        <v>1127</v>
      </c>
      <c r="AI191" s="17"/>
      <c r="AJ191" s="34">
        <v>1</v>
      </c>
      <c r="AK191" s="45" t="e">
        <f>VLOOKUP(AH191,'Actor and Actress Success'!$A$1:$B$72,2,FALSE)</f>
        <v>#N/A</v>
      </c>
      <c r="AP191" s="40" t="s">
        <v>1910</v>
      </c>
    </row>
    <row r="192" spans="1:42" ht="29.25" thickBot="1">
      <c r="A192">
        <v>192</v>
      </c>
      <c r="B192" s="8" t="s">
        <v>274</v>
      </c>
      <c r="C192" s="10">
        <v>2005</v>
      </c>
      <c r="D192" s="12">
        <v>38702</v>
      </c>
      <c r="E192" s="12"/>
      <c r="F192" s="10" t="s">
        <v>178</v>
      </c>
      <c r="G192" s="10" t="s">
        <v>178</v>
      </c>
      <c r="H192" s="22" t="s">
        <v>408</v>
      </c>
      <c r="I192" s="22">
        <v>350</v>
      </c>
      <c r="J192" s="22">
        <v>274</v>
      </c>
      <c r="K192" s="10">
        <v>50</v>
      </c>
      <c r="L192" s="20">
        <v>100000000</v>
      </c>
      <c r="M192" s="1">
        <v>327100000</v>
      </c>
      <c r="N192" s="20">
        <v>422532440</v>
      </c>
      <c r="O192" s="20"/>
      <c r="P192" s="17" t="s">
        <v>1128</v>
      </c>
      <c r="Q192" s="17"/>
      <c r="R192" s="17" t="s">
        <v>805</v>
      </c>
      <c r="S192" s="17"/>
      <c r="T192" s="17" t="s">
        <v>1129</v>
      </c>
      <c r="U192" s="17" t="s">
        <v>1125</v>
      </c>
      <c r="V192" s="17" t="s">
        <v>802</v>
      </c>
      <c r="W192" s="45">
        <f>VLOOKUP(V192,'Actor and Actress Success'!$A$1:$B$72,2,FALSE)</f>
        <v>35.714285714285715</v>
      </c>
      <c r="X192" s="35">
        <v>1</v>
      </c>
      <c r="Y192" s="35"/>
      <c r="Z192" s="17" t="s">
        <v>803</v>
      </c>
      <c r="AA192" s="17"/>
      <c r="AB192" s="45">
        <f>VLOOKUP(Z192,'Actor and Actress Success'!$A$1:$B$72,2,FALSE)</f>
        <v>45</v>
      </c>
      <c r="AC192" s="35">
        <v>1</v>
      </c>
      <c r="AD192" s="17" t="s">
        <v>928</v>
      </c>
      <c r="AE192" s="17"/>
      <c r="AF192" s="45" t="e">
        <f>VLOOKUP(AD192,'Actor and Actress Success'!$A$1:$B$72,2,FALSE)</f>
        <v>#N/A</v>
      </c>
      <c r="AG192" s="35">
        <v>1</v>
      </c>
      <c r="AH192" s="17" t="s">
        <v>415</v>
      </c>
      <c r="AI192" s="17"/>
      <c r="AK192" s="45" t="e">
        <f>VLOOKUP(AH192,'Actor and Actress Success'!$A$1:$B$72,2,FALSE)</f>
        <v>#N/A</v>
      </c>
      <c r="AP192" s="40" t="s">
        <v>1911</v>
      </c>
    </row>
    <row r="193" spans="1:42" ht="29.25" thickBot="1">
      <c r="A193">
        <v>193</v>
      </c>
      <c r="B193" s="8" t="s">
        <v>275</v>
      </c>
      <c r="C193" s="10">
        <v>2009</v>
      </c>
      <c r="D193" s="12">
        <v>40088</v>
      </c>
      <c r="E193" s="12"/>
      <c r="F193" s="10" t="s">
        <v>178</v>
      </c>
      <c r="G193" s="10" t="s">
        <v>178</v>
      </c>
      <c r="H193" s="22" t="s">
        <v>6</v>
      </c>
      <c r="I193" s="22">
        <v>500</v>
      </c>
      <c r="J193" s="22">
        <v>276</v>
      </c>
      <c r="K193" s="10">
        <v>87.89</v>
      </c>
      <c r="L193" s="20">
        <v>180000000</v>
      </c>
      <c r="M193" s="1">
        <v>471075000</v>
      </c>
      <c r="N193" s="20">
        <v>382427980</v>
      </c>
      <c r="O193" s="20"/>
      <c r="P193" s="17" t="s">
        <v>1130</v>
      </c>
      <c r="Q193" s="17"/>
      <c r="R193" s="17" t="s">
        <v>1133</v>
      </c>
      <c r="S193" s="17"/>
      <c r="T193" s="17" t="s">
        <v>1130</v>
      </c>
      <c r="U193" s="17" t="s">
        <v>949</v>
      </c>
      <c r="V193" s="17" t="s">
        <v>912</v>
      </c>
      <c r="W193" s="45">
        <f>VLOOKUP(V193,'Actor and Actress Success'!$A$1:$B$72,2,FALSE)</f>
        <v>56.25</v>
      </c>
      <c r="X193" s="35">
        <v>1</v>
      </c>
      <c r="Y193" s="35"/>
      <c r="Z193" s="17" t="s">
        <v>1131</v>
      </c>
      <c r="AA193" s="17"/>
      <c r="AB193" s="45" t="e">
        <f>VLOOKUP(Z193,'Actor and Actress Success'!$A$1:$B$72,2,FALSE)</f>
        <v>#N/A</v>
      </c>
      <c r="AC193" s="35">
        <v>1</v>
      </c>
      <c r="AD193" s="17" t="s">
        <v>411</v>
      </c>
      <c r="AE193" s="17"/>
      <c r="AF193" s="45" t="e">
        <f>VLOOKUP(AD193,'Actor and Actress Success'!$A$1:$B$72,2,FALSE)</f>
        <v>#N/A</v>
      </c>
      <c r="AG193" s="35"/>
      <c r="AH193" s="17" t="s">
        <v>1132</v>
      </c>
      <c r="AI193" s="17"/>
      <c r="AK193" s="45" t="e">
        <f>VLOOKUP(AH193,'Actor and Actress Success'!$A$1:$B$72,2,FALSE)</f>
        <v>#N/A</v>
      </c>
      <c r="AP193" s="40" t="s">
        <v>1912</v>
      </c>
    </row>
    <row r="194" spans="1:42">
      <c r="A194">
        <v>194</v>
      </c>
      <c r="B194" s="8" t="s">
        <v>276</v>
      </c>
      <c r="C194" s="10">
        <v>2002</v>
      </c>
      <c r="D194" s="12">
        <v>37414</v>
      </c>
      <c r="E194" s="12"/>
      <c r="F194" s="10" t="s">
        <v>178</v>
      </c>
      <c r="G194" s="10" t="s">
        <v>178</v>
      </c>
      <c r="H194" s="22" t="s">
        <v>56</v>
      </c>
      <c r="I194" s="22">
        <v>150</v>
      </c>
      <c r="J194" s="22">
        <v>279</v>
      </c>
      <c r="K194" s="10">
        <v>0</v>
      </c>
      <c r="L194" s="20">
        <v>57500000</v>
      </c>
      <c r="M194" s="20">
        <v>165400000</v>
      </c>
      <c r="N194" s="20">
        <v>354178880</v>
      </c>
      <c r="O194" s="20"/>
      <c r="P194" s="17" t="s">
        <v>800</v>
      </c>
      <c r="Q194" s="17"/>
      <c r="R194" s="17" t="s">
        <v>1134</v>
      </c>
      <c r="S194" s="17"/>
      <c r="T194" s="17" t="s">
        <v>1858</v>
      </c>
      <c r="U194" s="17" t="s">
        <v>1135</v>
      </c>
      <c r="V194" s="17" t="s">
        <v>795</v>
      </c>
      <c r="W194" s="45" t="e">
        <f>VLOOKUP(V194,'Actor and Actress Success'!$A$1:$B$72,2,FALSE)</f>
        <v>#N/A</v>
      </c>
      <c r="X194" s="35">
        <v>1</v>
      </c>
      <c r="Y194" s="35"/>
      <c r="Z194" s="17" t="s">
        <v>1028</v>
      </c>
      <c r="AA194" s="17"/>
      <c r="AB194" s="45" t="e">
        <f>VLOOKUP(Z194,'Actor and Actress Success'!$A$1:$B$72,2,FALSE)</f>
        <v>#N/A</v>
      </c>
      <c r="AC194" s="35">
        <v>1</v>
      </c>
      <c r="AD194" s="17" t="s">
        <v>1136</v>
      </c>
      <c r="AE194" s="17"/>
      <c r="AF194" s="45" t="e">
        <f>VLOOKUP(AD194,'Actor and Actress Success'!$A$1:$B$72,2,FALSE)</f>
        <v>#N/A</v>
      </c>
      <c r="AG194" s="35">
        <v>1</v>
      </c>
      <c r="AH194" s="17" t="s">
        <v>570</v>
      </c>
      <c r="AI194" s="17"/>
      <c r="AK194" s="45" t="e">
        <f>VLOOKUP(AH194,'Actor and Actress Success'!$A$1:$B$72,2,FALSE)</f>
        <v>#N/A</v>
      </c>
      <c r="AP194" s="21" t="s">
        <v>1913</v>
      </c>
    </row>
    <row r="195" spans="1:42">
      <c r="A195">
        <v>195</v>
      </c>
      <c r="B195" s="8" t="s">
        <v>277</v>
      </c>
      <c r="C195" s="10">
        <v>2006</v>
      </c>
      <c r="D195" s="12">
        <v>39031</v>
      </c>
      <c r="E195" s="12"/>
      <c r="F195" s="10" t="s">
        <v>178</v>
      </c>
      <c r="G195" s="10" t="s">
        <v>178</v>
      </c>
      <c r="H195" s="22" t="s">
        <v>439</v>
      </c>
      <c r="I195" s="22">
        <v>450</v>
      </c>
      <c r="J195" s="22">
        <v>285</v>
      </c>
      <c r="K195" s="10">
        <v>0</v>
      </c>
      <c r="L195" s="20">
        <v>95000000</v>
      </c>
      <c r="M195" s="20">
        <v>207325000</v>
      </c>
      <c r="N195" s="20">
        <v>329912440</v>
      </c>
      <c r="O195" s="20"/>
      <c r="P195" s="17" t="s">
        <v>1048</v>
      </c>
      <c r="Q195" s="17"/>
      <c r="R195" s="17" t="s">
        <v>801</v>
      </c>
      <c r="S195" s="17"/>
      <c r="T195" s="17" t="s">
        <v>1137</v>
      </c>
      <c r="U195" s="17" t="s">
        <v>1138</v>
      </c>
      <c r="V195" s="17" t="s">
        <v>78</v>
      </c>
      <c r="W195" s="45">
        <f>VLOOKUP(V195,'Actor and Actress Success'!$A$1:$B$72,2,FALSE)</f>
        <v>15.238095238095239</v>
      </c>
      <c r="X195" s="35">
        <v>1</v>
      </c>
      <c r="Y195" s="35"/>
      <c r="Z195" s="17" t="s">
        <v>79</v>
      </c>
      <c r="AA195" s="17">
        <f>'Star Economic history'!Q8</f>
        <v>106191666.66666667</v>
      </c>
      <c r="AB195" s="45">
        <f>VLOOKUP(Z195,'Actor and Actress Success'!$A$1:$B$72,2,FALSE)</f>
        <v>26.373626373626376</v>
      </c>
      <c r="AC195" s="35">
        <v>1</v>
      </c>
      <c r="AD195" s="17" t="s">
        <v>928</v>
      </c>
      <c r="AE195" s="17"/>
      <c r="AF195" s="45" t="e">
        <f>VLOOKUP(AD195,'Actor and Actress Success'!$A$1:$B$72,2,FALSE)</f>
        <v>#N/A</v>
      </c>
      <c r="AG195" s="35">
        <v>1</v>
      </c>
      <c r="AH195" s="17" t="s">
        <v>808</v>
      </c>
      <c r="AI195" s="17"/>
      <c r="AJ195" s="34">
        <v>1</v>
      </c>
      <c r="AK195" s="45" t="e">
        <f>VLOOKUP(AH195,'Actor and Actress Success'!$A$1:$B$72,2,FALSE)</f>
        <v>#N/A</v>
      </c>
      <c r="AP195" s="21" t="s">
        <v>1914</v>
      </c>
    </row>
    <row r="196" spans="1:42">
      <c r="A196">
        <v>196</v>
      </c>
      <c r="B196" s="8" t="s">
        <v>278</v>
      </c>
      <c r="C196" s="10">
        <v>2004</v>
      </c>
      <c r="D196" s="12">
        <v>38044</v>
      </c>
      <c r="E196" s="12"/>
      <c r="F196" s="10" t="s">
        <v>178</v>
      </c>
      <c r="G196" s="10" t="s">
        <v>178</v>
      </c>
      <c r="H196" s="22" t="s">
        <v>6</v>
      </c>
      <c r="I196" s="22">
        <v>230</v>
      </c>
      <c r="J196" s="22">
        <v>294</v>
      </c>
      <c r="K196" s="10">
        <v>0</v>
      </c>
      <c r="L196" s="20">
        <v>65000000</v>
      </c>
      <c r="M196" s="20">
        <v>179300000</v>
      </c>
      <c r="N196" s="1">
        <v>304719800</v>
      </c>
      <c r="O196" s="1"/>
      <c r="P196" s="17" t="s">
        <v>936</v>
      </c>
      <c r="Q196" s="17"/>
      <c r="R196" s="17" t="s">
        <v>801</v>
      </c>
      <c r="S196" s="17"/>
      <c r="T196" s="17" t="s">
        <v>816</v>
      </c>
      <c r="U196" s="17" t="s">
        <v>1139</v>
      </c>
      <c r="V196" s="17" t="s">
        <v>931</v>
      </c>
      <c r="W196" s="45">
        <f>VLOOKUP(V196,'Actor and Actress Success'!$A$1:$B$72,2,FALSE)</f>
        <v>31.428571428571427</v>
      </c>
      <c r="X196" s="35">
        <v>1</v>
      </c>
      <c r="Y196" s="35"/>
      <c r="Z196" s="17" t="s">
        <v>966</v>
      </c>
      <c r="AA196" s="17"/>
      <c r="AB196" s="45" t="e">
        <f>VLOOKUP(Z196,'Actor and Actress Success'!$A$1:$B$72,2,FALSE)</f>
        <v>#N/A</v>
      </c>
      <c r="AC196" s="35">
        <v>1</v>
      </c>
      <c r="AD196" s="17" t="s">
        <v>1113</v>
      </c>
      <c r="AE196" s="17"/>
      <c r="AF196" s="45">
        <f>VLOOKUP(AD196,'Actor and Actress Success'!$A$1:$B$72,2,FALSE)</f>
        <v>39.285714285714285</v>
      </c>
      <c r="AG196" s="35">
        <v>1</v>
      </c>
      <c r="AH196" s="17" t="s">
        <v>420</v>
      </c>
      <c r="AI196" s="17"/>
      <c r="AK196" s="45" t="e">
        <f>VLOOKUP(AH196,'Actor and Actress Success'!$A$1:$B$72,2,FALSE)</f>
        <v>#N/A</v>
      </c>
    </row>
    <row r="197" spans="1:42">
      <c r="A197">
        <v>197</v>
      </c>
      <c r="B197" s="8" t="s">
        <v>279</v>
      </c>
      <c r="C197" s="10">
        <v>2004</v>
      </c>
      <c r="D197" s="12">
        <v>38191</v>
      </c>
      <c r="E197" s="12"/>
      <c r="F197" s="10" t="s">
        <v>178</v>
      </c>
      <c r="G197" s="10" t="s">
        <v>178</v>
      </c>
      <c r="H197" s="22" t="s">
        <v>6</v>
      </c>
      <c r="I197" s="22">
        <v>270</v>
      </c>
      <c r="J197" s="22">
        <v>289</v>
      </c>
      <c r="K197" s="10">
        <v>0</v>
      </c>
      <c r="L197" s="20">
        <v>55000000</v>
      </c>
      <c r="M197" s="20">
        <v>138106250</v>
      </c>
      <c r="N197" s="1">
        <v>298977360</v>
      </c>
      <c r="O197" s="1"/>
      <c r="P197" s="17" t="s">
        <v>720</v>
      </c>
      <c r="Q197" s="17"/>
      <c r="R197" s="17" t="s">
        <v>950</v>
      </c>
      <c r="S197" s="17"/>
      <c r="T197" s="17" t="s">
        <v>1140</v>
      </c>
      <c r="U197" s="17" t="s">
        <v>1141</v>
      </c>
      <c r="V197" s="17" t="s">
        <v>1051</v>
      </c>
      <c r="W197" s="45" t="e">
        <f>VLOOKUP(V197,'Actor and Actress Success'!$A$1:$B$72,2,FALSE)</f>
        <v>#N/A</v>
      </c>
      <c r="X197" s="35">
        <v>1</v>
      </c>
      <c r="Y197" s="35"/>
      <c r="Z197" s="17" t="s">
        <v>1142</v>
      </c>
      <c r="AA197" s="17"/>
      <c r="AB197" s="45" t="e">
        <f>VLOOKUP(Z197,'Actor and Actress Success'!$A$1:$B$72,2,FALSE)</f>
        <v>#N/A</v>
      </c>
      <c r="AC197" s="35"/>
      <c r="AD197" s="17" t="s">
        <v>1143</v>
      </c>
      <c r="AE197" s="17"/>
      <c r="AF197" s="45" t="e">
        <f>VLOOKUP(AD197,'Actor and Actress Success'!$A$1:$B$72,2,FALSE)</f>
        <v>#N/A</v>
      </c>
      <c r="AG197" s="35"/>
      <c r="AH197" s="17" t="s">
        <v>405</v>
      </c>
      <c r="AI197" s="17"/>
      <c r="AK197" s="45" t="e">
        <f>VLOOKUP(AH197,'Actor and Actress Success'!$A$1:$B$72,2,FALSE)</f>
        <v>#N/A</v>
      </c>
    </row>
    <row r="198" spans="1:42">
      <c r="A198">
        <v>198</v>
      </c>
      <c r="B198" s="8" t="s">
        <v>280</v>
      </c>
      <c r="C198" s="10">
        <v>2001</v>
      </c>
      <c r="D198" s="12">
        <v>37253</v>
      </c>
      <c r="E198" s="12"/>
      <c r="F198" s="10" t="s">
        <v>178</v>
      </c>
      <c r="G198" s="10" t="s">
        <v>178</v>
      </c>
      <c r="H198" s="22" t="s">
        <v>439</v>
      </c>
      <c r="I198" s="22">
        <v>100</v>
      </c>
      <c r="J198" s="22">
        <v>290</v>
      </c>
      <c r="K198" s="10">
        <v>0</v>
      </c>
      <c r="L198" s="20">
        <v>25000000</v>
      </c>
      <c r="M198" s="20">
        <v>88440000</v>
      </c>
      <c r="N198" s="20">
        <v>293883260</v>
      </c>
      <c r="O198" s="20"/>
      <c r="P198" s="17" t="s">
        <v>1144</v>
      </c>
      <c r="Q198" s="17"/>
      <c r="R198" s="17" t="s">
        <v>765</v>
      </c>
      <c r="S198" s="17"/>
      <c r="T198" s="17" t="s">
        <v>1144</v>
      </c>
      <c r="U198" s="17" t="s">
        <v>1144</v>
      </c>
      <c r="V198" s="17" t="s">
        <v>790</v>
      </c>
      <c r="W198" s="45" t="e">
        <f>VLOOKUP(V198,'Actor and Actress Success'!$A$1:$B$72,2,FALSE)</f>
        <v>#N/A</v>
      </c>
      <c r="X198" s="35">
        <v>1</v>
      </c>
      <c r="Y198" s="35"/>
      <c r="Z198" s="17" t="s">
        <v>1145</v>
      </c>
      <c r="AA198" s="17"/>
      <c r="AB198" s="45" t="e">
        <f>VLOOKUP(Z198,'Actor and Actress Success'!$A$1:$B$72,2,FALSE)</f>
        <v>#N/A</v>
      </c>
      <c r="AC198" s="35"/>
      <c r="AD198" s="17" t="s">
        <v>1146</v>
      </c>
      <c r="AE198" s="17"/>
      <c r="AF198" s="45" t="e">
        <f>VLOOKUP(AD198,'Actor and Actress Success'!$A$1:$B$72,2,FALSE)</f>
        <v>#N/A</v>
      </c>
      <c r="AG198" s="35">
        <v>1</v>
      </c>
      <c r="AH198" s="17" t="s">
        <v>1147</v>
      </c>
      <c r="AI198" s="17"/>
      <c r="AK198" s="45" t="e">
        <f>VLOOKUP(AH198,'Actor and Actress Success'!$A$1:$B$72,2,FALSE)</f>
        <v>#N/A</v>
      </c>
    </row>
    <row r="199" spans="1:42">
      <c r="A199">
        <v>199</v>
      </c>
      <c r="B199" s="8" t="s">
        <v>281</v>
      </c>
      <c r="C199" s="10">
        <v>2007</v>
      </c>
      <c r="D199" s="12">
        <v>39227</v>
      </c>
      <c r="E199" s="12"/>
      <c r="F199" s="10" t="s">
        <v>178</v>
      </c>
      <c r="G199" s="10" t="s">
        <v>178</v>
      </c>
      <c r="H199" s="22" t="s">
        <v>547</v>
      </c>
      <c r="I199" s="22">
        <v>250</v>
      </c>
      <c r="J199" s="22">
        <v>292</v>
      </c>
      <c r="K199" s="10">
        <v>0</v>
      </c>
      <c r="L199" s="20">
        <v>110000000</v>
      </c>
      <c r="M199" s="20">
        <v>322200000</v>
      </c>
      <c r="N199" s="20">
        <v>293234920</v>
      </c>
      <c r="O199" s="20"/>
      <c r="P199" s="17" t="s">
        <v>1123</v>
      </c>
      <c r="Q199" s="17"/>
      <c r="R199" s="17" t="s">
        <v>1124</v>
      </c>
      <c r="S199" s="17"/>
      <c r="T199" s="17" t="s">
        <v>1123</v>
      </c>
      <c r="U199" s="17" t="s">
        <v>1123</v>
      </c>
      <c r="V199" s="17" t="s">
        <v>497</v>
      </c>
      <c r="W199" s="45">
        <f>VLOOKUP(V199,'Actor and Actress Success'!$A$1:$B$72,2,FALSE)</f>
        <v>33.333333333333329</v>
      </c>
      <c r="X199" s="35">
        <v>1</v>
      </c>
      <c r="Y199" s="35"/>
      <c r="Z199" s="17" t="s">
        <v>394</v>
      </c>
      <c r="AA199" s="17"/>
      <c r="AB199" s="45" t="e">
        <f>VLOOKUP(Z199,'Actor and Actress Success'!$A$1:$B$72,2,FALSE)</f>
        <v>#N/A</v>
      </c>
      <c r="AC199" s="35">
        <v>1</v>
      </c>
      <c r="AD199" s="17" t="s">
        <v>453</v>
      </c>
      <c r="AE199" s="17"/>
      <c r="AF199" s="45" t="e">
        <f>VLOOKUP(AD199,'Actor and Actress Success'!$A$1:$B$72,2,FALSE)</f>
        <v>#N/A</v>
      </c>
      <c r="AG199" s="35"/>
      <c r="AH199" s="17" t="s">
        <v>493</v>
      </c>
      <c r="AI199" s="17"/>
      <c r="AK199" s="45" t="e">
        <f>VLOOKUP(AH199,'Actor and Actress Success'!$A$1:$B$72,2,FALSE)</f>
        <v>#N/A</v>
      </c>
    </row>
    <row r="200" spans="1:42">
      <c r="A200">
        <v>200</v>
      </c>
      <c r="B200" s="8" t="s">
        <v>282</v>
      </c>
      <c r="C200" s="10">
        <v>2004</v>
      </c>
      <c r="D200" s="12">
        <v>38044</v>
      </c>
      <c r="E200" s="12"/>
      <c r="F200" s="10" t="s">
        <v>178</v>
      </c>
      <c r="G200" s="10" t="s">
        <v>178</v>
      </c>
      <c r="H200" s="22" t="s">
        <v>6</v>
      </c>
      <c r="I200" s="22">
        <v>230</v>
      </c>
      <c r="J200" s="22">
        <v>294</v>
      </c>
      <c r="K200" s="10">
        <v>0</v>
      </c>
      <c r="L200" s="20">
        <v>45000000</v>
      </c>
      <c r="M200" s="20">
        <v>128600000</v>
      </c>
      <c r="N200" s="20">
        <v>272488040</v>
      </c>
      <c r="O200" s="20"/>
      <c r="P200" s="17" t="s">
        <v>833</v>
      </c>
      <c r="Q200" s="17"/>
      <c r="R200" s="17" t="s">
        <v>812</v>
      </c>
      <c r="S200" s="17"/>
      <c r="T200" s="17" t="s">
        <v>1148</v>
      </c>
      <c r="U200" s="17" t="s">
        <v>1148</v>
      </c>
      <c r="V200" s="17" t="s">
        <v>415</v>
      </c>
      <c r="W200" s="45" t="e">
        <f>VLOOKUP(V200,'Actor and Actress Success'!$A$1:$B$72,2,FALSE)</f>
        <v>#N/A</v>
      </c>
      <c r="X200" s="35">
        <v>1</v>
      </c>
      <c r="Y200" s="35"/>
      <c r="Z200" s="17" t="s">
        <v>1117</v>
      </c>
      <c r="AA200" s="17"/>
      <c r="AB200" s="45" t="e">
        <f>VLOOKUP(Z200,'Actor and Actress Success'!$A$1:$B$72,2,FALSE)</f>
        <v>#N/A</v>
      </c>
      <c r="AC200" s="35"/>
      <c r="AD200" s="17" t="s">
        <v>1149</v>
      </c>
      <c r="AE200" s="17"/>
      <c r="AF200" s="45" t="e">
        <f>VLOOKUP(AD200,'Actor and Actress Success'!$A$1:$B$72,2,FALSE)</f>
        <v>#N/A</v>
      </c>
      <c r="AG200" s="35"/>
      <c r="AH200" s="17" t="s">
        <v>1150</v>
      </c>
      <c r="AI200" s="17"/>
      <c r="AK200" s="45" t="e">
        <f>VLOOKUP(AH200,'Actor and Actress Success'!$A$1:$B$72,2,FALSE)</f>
        <v>#N/A</v>
      </c>
    </row>
    <row r="201" spans="1:42">
      <c r="A201">
        <v>201</v>
      </c>
      <c r="B201" s="8" t="s">
        <v>283</v>
      </c>
      <c r="C201" s="10">
        <v>2014</v>
      </c>
      <c r="D201" s="12">
        <v>41992</v>
      </c>
      <c r="E201" s="12"/>
      <c r="F201" s="10" t="s">
        <v>47</v>
      </c>
      <c r="G201" s="10" t="s">
        <v>82</v>
      </c>
      <c r="H201" s="22" t="s">
        <v>6</v>
      </c>
      <c r="I201" s="22">
        <v>3600</v>
      </c>
      <c r="J201" s="22">
        <v>7</v>
      </c>
      <c r="K201" s="10">
        <v>64.08</v>
      </c>
      <c r="L201" s="20">
        <v>1350000000</v>
      </c>
      <c r="M201" s="20">
        <v>7429790000</v>
      </c>
      <c r="N201" s="20">
        <v>3377250000</v>
      </c>
      <c r="O201" s="20"/>
      <c r="P201" s="17" t="s">
        <v>786</v>
      </c>
      <c r="Q201" s="17"/>
      <c r="R201" s="17" t="s">
        <v>1151</v>
      </c>
      <c r="S201" s="17"/>
      <c r="T201" s="17" t="s">
        <v>1857</v>
      </c>
      <c r="U201" s="17" t="s">
        <v>1152</v>
      </c>
      <c r="V201" s="17" t="s">
        <v>73</v>
      </c>
      <c r="W201" s="45">
        <f>VLOOKUP(V201,'Actor and Actress Success'!$A$1:$B$72,2,FALSE)</f>
        <v>65.384615384615387</v>
      </c>
      <c r="X201" s="35">
        <v>1</v>
      </c>
      <c r="Y201" s="35"/>
      <c r="Z201" s="17" t="s">
        <v>813</v>
      </c>
      <c r="AA201" s="17"/>
      <c r="AB201" s="45">
        <f>VLOOKUP(Z201,'Actor and Actress Success'!$A$1:$B$72,2,FALSE)</f>
        <v>60</v>
      </c>
      <c r="AC201" s="35">
        <v>1</v>
      </c>
      <c r="AD201" s="17" t="s">
        <v>511</v>
      </c>
      <c r="AE201" s="17"/>
      <c r="AF201" s="45">
        <f>VLOOKUP(AD201,'Actor and Actress Success'!$A$1:$B$72,2,FALSE)</f>
        <v>27.397260273972602</v>
      </c>
      <c r="AG201" s="35"/>
      <c r="AH201" s="17" t="s">
        <v>516</v>
      </c>
      <c r="AI201" s="17"/>
      <c r="AK201" s="45" t="e">
        <f>VLOOKUP(AH201,'Actor and Actress Success'!$A$1:$B$72,2,FALSE)</f>
        <v>#N/A</v>
      </c>
    </row>
    <row r="202" spans="1:42">
      <c r="A202">
        <v>202</v>
      </c>
      <c r="B202" s="8" t="s">
        <v>284</v>
      </c>
      <c r="C202" s="10">
        <v>2015</v>
      </c>
      <c r="D202" s="12">
        <v>42202</v>
      </c>
      <c r="E202" s="12"/>
      <c r="F202" s="10" t="s">
        <v>47</v>
      </c>
      <c r="G202" s="10" t="s">
        <v>82</v>
      </c>
      <c r="H202" s="22" t="s">
        <v>428</v>
      </c>
      <c r="I202" s="22">
        <v>4100</v>
      </c>
      <c r="J202" s="22">
        <v>8</v>
      </c>
      <c r="K202" s="10">
        <v>69.150000000000006</v>
      </c>
      <c r="L202" s="20">
        <v>1250000000</v>
      </c>
      <c r="M202" s="20">
        <v>6039940000</v>
      </c>
      <c r="N202" s="20">
        <v>3280322540</v>
      </c>
      <c r="O202" s="20"/>
      <c r="P202" s="17" t="s">
        <v>1030</v>
      </c>
      <c r="Q202" s="17"/>
      <c r="R202" s="17" t="s">
        <v>801</v>
      </c>
      <c r="S202" s="17"/>
      <c r="T202" s="17" t="s">
        <v>1856</v>
      </c>
      <c r="U202" s="17" t="s">
        <v>1153</v>
      </c>
      <c r="V202" s="17" t="s">
        <v>16</v>
      </c>
      <c r="W202" s="45">
        <f>VLOOKUP(V202,'Actor and Actress Success'!$A$1:$B$72,2,FALSE)</f>
        <v>50.819672131147541</v>
      </c>
      <c r="X202" s="35">
        <v>1</v>
      </c>
      <c r="Y202" s="35"/>
      <c r="Z202" s="17" t="s">
        <v>788</v>
      </c>
      <c r="AA202" s="17"/>
      <c r="AB202" s="45">
        <f>VLOOKUP(Z202,'Actor and Actress Success'!$A$1:$B$72,2,FALSE)</f>
        <v>45.652173913043477</v>
      </c>
      <c r="AC202" s="35">
        <v>1</v>
      </c>
      <c r="AD202" s="17" t="s">
        <v>1154</v>
      </c>
      <c r="AE202" s="17"/>
      <c r="AF202" s="45" t="e">
        <f>VLOOKUP(AD202,'Actor and Actress Success'!$A$1:$B$72,2,FALSE)</f>
        <v>#N/A</v>
      </c>
      <c r="AG202" s="35"/>
      <c r="AH202" s="17" t="s">
        <v>1155</v>
      </c>
      <c r="AI202" s="17"/>
      <c r="AK202" s="45" t="e">
        <f>VLOOKUP(AH202,'Actor and Actress Success'!$A$1:$B$72,2,FALSE)</f>
        <v>#N/A</v>
      </c>
    </row>
    <row r="203" spans="1:42">
      <c r="A203">
        <v>203</v>
      </c>
      <c r="B203" s="8" t="s">
        <v>285</v>
      </c>
      <c r="C203" s="10">
        <v>2013</v>
      </c>
      <c r="D203" s="12">
        <v>41628</v>
      </c>
      <c r="E203" s="12"/>
      <c r="F203" s="10" t="s">
        <v>47</v>
      </c>
      <c r="G203" s="10" t="s">
        <v>82</v>
      </c>
      <c r="H203" s="22" t="s">
        <v>50</v>
      </c>
      <c r="I203" s="22">
        <v>3650</v>
      </c>
      <c r="J203" s="22">
        <v>10</v>
      </c>
      <c r="K203" s="10">
        <v>39.06</v>
      </c>
      <c r="L203" s="20">
        <v>1750000000</v>
      </c>
      <c r="M203" s="1">
        <v>5398760000</v>
      </c>
      <c r="N203" s="20">
        <v>2759427660</v>
      </c>
      <c r="O203" s="20"/>
      <c r="P203" s="17" t="s">
        <v>917</v>
      </c>
      <c r="Q203" s="17"/>
      <c r="R203" s="17" t="s">
        <v>801</v>
      </c>
      <c r="S203" s="17"/>
      <c r="T203" s="17" t="s">
        <v>1855</v>
      </c>
      <c r="U203" s="17" t="s">
        <v>917</v>
      </c>
      <c r="V203" s="17" t="s">
        <v>73</v>
      </c>
      <c r="W203" s="45">
        <f>VLOOKUP(V203,'Actor and Actress Success'!$A$1:$B$72,2,FALSE)</f>
        <v>65.384615384615387</v>
      </c>
      <c r="X203" s="35">
        <v>1</v>
      </c>
      <c r="Y203" s="35"/>
      <c r="Z203" s="17" t="s">
        <v>802</v>
      </c>
      <c r="AA203" s="17"/>
      <c r="AB203" s="45">
        <f>VLOOKUP(Z203,'Actor and Actress Success'!$A$1:$B$72,2,FALSE)</f>
        <v>35.714285714285715</v>
      </c>
      <c r="AC203" s="35">
        <v>1</v>
      </c>
      <c r="AD203" s="17" t="s">
        <v>831</v>
      </c>
      <c r="AE203" s="17"/>
      <c r="AF203" s="45">
        <f>VLOOKUP(AD203,'Actor and Actress Success'!$A$1:$B$72,2,FALSE)</f>
        <v>73.076923076923066</v>
      </c>
      <c r="AG203" s="35">
        <v>1</v>
      </c>
      <c r="AH203" s="17" t="s">
        <v>795</v>
      </c>
      <c r="AI203" s="17"/>
      <c r="AJ203" s="34">
        <v>1</v>
      </c>
      <c r="AK203" s="45" t="e">
        <f>VLOOKUP(AH203,'Actor and Actress Success'!$A$1:$B$72,2,FALSE)</f>
        <v>#N/A</v>
      </c>
    </row>
    <row r="204" spans="1:42">
      <c r="A204">
        <v>204</v>
      </c>
      <c r="B204" s="8" t="s">
        <v>286</v>
      </c>
      <c r="C204" s="10">
        <v>2016</v>
      </c>
      <c r="D204" s="12">
        <v>42557</v>
      </c>
      <c r="E204" s="12"/>
      <c r="F204" s="10" t="s">
        <v>82</v>
      </c>
      <c r="G204" s="10" t="s">
        <v>82</v>
      </c>
      <c r="H204" s="22" t="s">
        <v>428</v>
      </c>
      <c r="I204" s="22">
        <v>4350</v>
      </c>
      <c r="J204" s="22"/>
      <c r="K204" s="10">
        <v>85.57</v>
      </c>
      <c r="L204" s="20">
        <v>1450000000</v>
      </c>
      <c r="M204" s="1">
        <v>5834875000</v>
      </c>
      <c r="N204" s="20">
        <v>3006725000</v>
      </c>
      <c r="O204" s="20"/>
      <c r="P204" s="17" t="s">
        <v>1156</v>
      </c>
      <c r="Q204" s="17"/>
      <c r="R204" s="17" t="s">
        <v>805</v>
      </c>
      <c r="S204" s="17"/>
      <c r="T204" s="17" t="s">
        <v>1156</v>
      </c>
      <c r="U204" s="17" t="s">
        <v>1156</v>
      </c>
      <c r="V204" s="17" t="s">
        <v>16</v>
      </c>
      <c r="W204" s="45">
        <f>VLOOKUP(V204,'Actor and Actress Success'!$A$1:$B$72,2,FALSE)</f>
        <v>50.819672131147541</v>
      </c>
      <c r="X204" s="35">
        <v>1</v>
      </c>
      <c r="Y204" s="35"/>
      <c r="Z204" s="17" t="s">
        <v>813</v>
      </c>
      <c r="AA204" s="17"/>
      <c r="AB204" s="45">
        <f>VLOOKUP(Z204,'Actor and Actress Success'!$A$1:$B$72,2,FALSE)</f>
        <v>60</v>
      </c>
      <c r="AC204" s="35">
        <v>1</v>
      </c>
      <c r="AD204" s="17" t="s">
        <v>1157</v>
      </c>
      <c r="AE204" s="17"/>
      <c r="AF204" s="45" t="e">
        <f>VLOOKUP(AD204,'Actor and Actress Success'!$A$1:$B$72,2,FALSE)</f>
        <v>#N/A</v>
      </c>
      <c r="AG204" s="35"/>
      <c r="AH204" s="17" t="s">
        <v>1158</v>
      </c>
      <c r="AI204" s="17"/>
      <c r="AK204" s="45" t="e">
        <f>VLOOKUP(AH204,'Actor and Actress Success'!$A$1:$B$72,2,FALSE)</f>
        <v>#N/A</v>
      </c>
    </row>
    <row r="205" spans="1:42">
      <c r="A205">
        <v>205</v>
      </c>
      <c r="B205" s="8" t="s">
        <v>287</v>
      </c>
      <c r="C205" s="10">
        <v>2013</v>
      </c>
      <c r="D205" s="12">
        <v>41494</v>
      </c>
      <c r="E205" s="12"/>
      <c r="F205" s="10" t="s">
        <v>82</v>
      </c>
      <c r="G205" s="10" t="s">
        <v>82</v>
      </c>
      <c r="H205" s="22" t="s">
        <v>428</v>
      </c>
      <c r="I205" s="22">
        <v>3600</v>
      </c>
      <c r="J205" s="22">
        <v>18</v>
      </c>
      <c r="K205" s="10">
        <v>53.18</v>
      </c>
      <c r="L205" s="20">
        <v>1150000000</v>
      </c>
      <c r="M205" s="1">
        <v>3959242500</v>
      </c>
      <c r="N205" s="20">
        <v>2336524740</v>
      </c>
      <c r="O205" s="20"/>
      <c r="P205" s="17" t="s">
        <v>977</v>
      </c>
      <c r="Q205" s="17"/>
      <c r="R205" s="17" t="s">
        <v>1162</v>
      </c>
      <c r="S205" s="17"/>
      <c r="T205" s="17" t="s">
        <v>1854</v>
      </c>
      <c r="U205" s="17" t="s">
        <v>1159</v>
      </c>
      <c r="V205" s="37" t="s">
        <v>58</v>
      </c>
      <c r="W205" s="45">
        <f>VLOOKUP(V205,'Actor and Actress Success'!$A$1:$B$72,2,FALSE)</f>
        <v>66.666666666666657</v>
      </c>
      <c r="X205" s="35">
        <v>1</v>
      </c>
      <c r="Y205" s="35"/>
      <c r="Z205" s="37" t="s">
        <v>806</v>
      </c>
      <c r="AA205" s="37"/>
      <c r="AB205" s="45">
        <f>VLOOKUP(Z205,'Actor and Actress Success'!$A$1:$B$72,2,FALSE)</f>
        <v>57.142857142857139</v>
      </c>
      <c r="AC205" s="35">
        <v>1</v>
      </c>
      <c r="AD205" s="17" t="s">
        <v>1160</v>
      </c>
      <c r="AE205" s="17"/>
      <c r="AF205" s="45" t="e">
        <f>VLOOKUP(AD205,'Actor and Actress Success'!$A$1:$B$72,2,FALSE)</f>
        <v>#N/A</v>
      </c>
      <c r="AG205" s="35"/>
      <c r="AH205" s="17" t="s">
        <v>1161</v>
      </c>
      <c r="AI205" s="17"/>
      <c r="AK205" s="45" t="e">
        <f>VLOOKUP(AH205,'Actor and Actress Success'!$A$1:$B$72,2,FALSE)</f>
        <v>#N/A</v>
      </c>
    </row>
    <row r="206" spans="1:42">
      <c r="A206">
        <v>206</v>
      </c>
      <c r="B206" s="8" t="s">
        <v>288</v>
      </c>
      <c r="C206" s="10">
        <v>2010</v>
      </c>
      <c r="D206" s="12">
        <v>40431</v>
      </c>
      <c r="E206" s="12"/>
      <c r="F206" s="10" t="s">
        <v>82</v>
      </c>
      <c r="G206" s="10" t="s">
        <v>82</v>
      </c>
      <c r="H206" s="22" t="s">
        <v>50</v>
      </c>
      <c r="I206" s="22">
        <v>1850</v>
      </c>
      <c r="J206" s="22">
        <v>19</v>
      </c>
      <c r="K206" s="10">
        <v>66.349999999999994</v>
      </c>
      <c r="L206" s="20">
        <v>410000000</v>
      </c>
      <c r="M206" s="1">
        <v>2192700000</v>
      </c>
      <c r="N206" s="20">
        <v>2323465320</v>
      </c>
      <c r="O206" s="20"/>
      <c r="P206" s="17" t="s">
        <v>1163</v>
      </c>
      <c r="Q206" s="17"/>
      <c r="R206" s="17" t="s">
        <v>1166</v>
      </c>
      <c r="S206" s="17"/>
      <c r="T206" s="17" t="s">
        <v>1853</v>
      </c>
      <c r="U206" s="17" t="s">
        <v>1164</v>
      </c>
      <c r="V206" s="17" t="s">
        <v>16</v>
      </c>
      <c r="W206" s="45">
        <f>VLOOKUP(V206,'Actor and Actress Success'!$A$1:$B$72,2,FALSE)</f>
        <v>50.819672131147541</v>
      </c>
      <c r="X206" s="35">
        <v>1</v>
      </c>
      <c r="Y206" s="35"/>
      <c r="Z206" s="17" t="s">
        <v>1165</v>
      </c>
      <c r="AA206" s="17"/>
      <c r="AB206" s="45">
        <f>VLOOKUP(Z206,'Actor and Actress Success'!$A$1:$B$72,2,FALSE)</f>
        <v>37.5</v>
      </c>
      <c r="AC206" s="35">
        <v>1</v>
      </c>
      <c r="AD206" s="17" t="s">
        <v>959</v>
      </c>
      <c r="AE206" s="17"/>
      <c r="AF206" s="45">
        <f>VLOOKUP(AD206,'Actor and Actress Success'!$A$1:$B$72,2,FALSE)</f>
        <v>21.739130434782609</v>
      </c>
      <c r="AG206" s="35"/>
      <c r="AH206" s="17" t="s">
        <v>424</v>
      </c>
      <c r="AI206" s="17"/>
      <c r="AK206" s="45" t="e">
        <f>VLOOKUP(AH206,'Actor and Actress Success'!$A$1:$B$72,2,FALSE)</f>
        <v>#N/A</v>
      </c>
    </row>
    <row r="207" spans="1:42">
      <c r="A207">
        <v>207</v>
      </c>
      <c r="B207" s="8" t="s">
        <v>289</v>
      </c>
      <c r="C207" s="10">
        <v>2012</v>
      </c>
      <c r="D207" s="12">
        <v>41136</v>
      </c>
      <c r="E207" s="12"/>
      <c r="F207" s="10" t="s">
        <v>82</v>
      </c>
      <c r="G207" s="10" t="s">
        <v>82</v>
      </c>
      <c r="H207" s="22" t="s">
        <v>50</v>
      </c>
      <c r="I207" s="22">
        <v>3200</v>
      </c>
      <c r="J207" s="22">
        <v>20</v>
      </c>
      <c r="K207" s="10">
        <v>63.49</v>
      </c>
      <c r="L207" s="20">
        <v>920000000</v>
      </c>
      <c r="M207" s="1">
        <v>3083150000</v>
      </c>
      <c r="N207" s="1">
        <v>2291326180</v>
      </c>
      <c r="O207" s="1"/>
      <c r="P207" s="17" t="s">
        <v>1030</v>
      </c>
      <c r="Q207" s="17"/>
      <c r="R207" s="17" t="s">
        <v>1168</v>
      </c>
      <c r="S207" s="17"/>
      <c r="T207" s="17" t="s">
        <v>62</v>
      </c>
      <c r="U207" s="17" t="s">
        <v>1030</v>
      </c>
      <c r="V207" s="17" t="s">
        <v>16</v>
      </c>
      <c r="W207" s="45">
        <f>VLOOKUP(V207,'Actor and Actress Success'!$A$1:$B$72,2,FALSE)</f>
        <v>50.819672131147541</v>
      </c>
      <c r="X207" s="35">
        <v>1</v>
      </c>
      <c r="Y207" s="35"/>
      <c r="Z207" s="17" t="s">
        <v>831</v>
      </c>
      <c r="AA207" s="17"/>
      <c r="AB207" s="45">
        <f>VLOOKUP(Z207,'Actor and Actress Success'!$A$1:$B$72,2,FALSE)</f>
        <v>73.076923076923066</v>
      </c>
      <c r="AC207" s="35">
        <v>1</v>
      </c>
      <c r="AD207" s="17" t="s">
        <v>1065</v>
      </c>
      <c r="AE207" s="17"/>
      <c r="AF207" s="45" t="e">
        <f>VLOOKUP(AD207,'Actor and Actress Success'!$A$1:$B$72,2,FALSE)</f>
        <v>#N/A</v>
      </c>
      <c r="AG207" s="35"/>
      <c r="AH207" s="17" t="s">
        <v>1167</v>
      </c>
      <c r="AI207" s="17"/>
      <c r="AK207" s="45" t="e">
        <f>VLOOKUP(AH207,'Actor and Actress Success'!$A$1:$B$72,2,FALSE)</f>
        <v>#N/A</v>
      </c>
    </row>
    <row r="208" spans="1:42">
      <c r="A208">
        <v>208</v>
      </c>
      <c r="B208" s="8" t="s">
        <v>290</v>
      </c>
      <c r="C208" s="10">
        <v>2014</v>
      </c>
      <c r="D208" s="12">
        <v>41845</v>
      </c>
      <c r="E208" s="12"/>
      <c r="F208" s="10" t="s">
        <v>82</v>
      </c>
      <c r="G208" s="10" t="s">
        <v>82</v>
      </c>
      <c r="H208" s="22" t="s">
        <v>50</v>
      </c>
      <c r="I208" s="22">
        <v>3800</v>
      </c>
      <c r="J208" s="22">
        <v>21</v>
      </c>
      <c r="K208" s="10">
        <v>62.88</v>
      </c>
      <c r="L208" s="1">
        <v>1400000000</v>
      </c>
      <c r="M208" s="1">
        <v>3518000000</v>
      </c>
      <c r="N208" s="1">
        <v>2240663040</v>
      </c>
      <c r="O208" s="1"/>
      <c r="P208" s="17" t="s">
        <v>1169</v>
      </c>
      <c r="Q208" s="17"/>
      <c r="R208" s="17" t="s">
        <v>1171</v>
      </c>
      <c r="S208" s="17"/>
      <c r="T208" s="17" t="s">
        <v>1172</v>
      </c>
      <c r="U208" s="17"/>
      <c r="V208" s="17" t="s">
        <v>16</v>
      </c>
      <c r="W208" s="45">
        <f>VLOOKUP(V208,'Actor and Actress Success'!$A$1:$B$72,2,FALSE)</f>
        <v>50.819672131147541</v>
      </c>
      <c r="X208" s="35">
        <v>1</v>
      </c>
      <c r="Y208" s="35"/>
      <c r="Z208" s="17" t="s">
        <v>1170</v>
      </c>
      <c r="AA208" s="17"/>
      <c r="AB208" s="45" t="e">
        <f>VLOOKUP(Z208,'Actor and Actress Success'!$A$1:$B$72,2,FALSE)</f>
        <v>#N/A</v>
      </c>
      <c r="AC208" s="35">
        <v>1</v>
      </c>
      <c r="AD208" s="17" t="s">
        <v>1158</v>
      </c>
      <c r="AE208" s="17"/>
      <c r="AF208" s="45" t="e">
        <f>VLOOKUP(AD208,'Actor and Actress Success'!$A$1:$B$72,2,FALSE)</f>
        <v>#N/A</v>
      </c>
      <c r="AG208" s="35"/>
      <c r="AH208" s="17" t="s">
        <v>555</v>
      </c>
      <c r="AI208" s="17"/>
      <c r="AK208" s="45">
        <f>VLOOKUP(AH208,'Actor and Actress Success'!$A$1:$B$72,2,FALSE)</f>
        <v>11.607142857142858</v>
      </c>
    </row>
    <row r="209" spans="1:37">
      <c r="A209">
        <v>209</v>
      </c>
      <c r="B209" s="8" t="s">
        <v>291</v>
      </c>
      <c r="C209" s="10">
        <v>2011</v>
      </c>
      <c r="D209" s="12">
        <v>40786</v>
      </c>
      <c r="E209" s="12"/>
      <c r="F209" s="10" t="s">
        <v>82</v>
      </c>
      <c r="G209" s="10" t="s">
        <v>82</v>
      </c>
      <c r="H209" s="22" t="s">
        <v>50</v>
      </c>
      <c r="I209" s="22">
        <v>2750</v>
      </c>
      <c r="J209" s="22">
        <v>23</v>
      </c>
      <c r="K209" s="10">
        <v>60.27</v>
      </c>
      <c r="L209" s="20">
        <v>700000000</v>
      </c>
      <c r="M209" s="1">
        <v>2343900000</v>
      </c>
      <c r="N209" s="20">
        <v>2051347760</v>
      </c>
      <c r="O209" s="20"/>
      <c r="P209" s="17" t="s">
        <v>1038</v>
      </c>
      <c r="Q209" s="17"/>
      <c r="R209" s="17" t="s">
        <v>1173</v>
      </c>
      <c r="S209" s="17"/>
      <c r="T209" s="17"/>
      <c r="U209" s="17" t="s">
        <v>1174</v>
      </c>
      <c r="V209" s="17" t="s">
        <v>16</v>
      </c>
      <c r="W209" s="45">
        <f>VLOOKUP(V209,'Actor and Actress Success'!$A$1:$B$72,2,FALSE)</f>
        <v>50.819672131147541</v>
      </c>
      <c r="X209" s="35">
        <v>1</v>
      </c>
      <c r="Y209" s="35"/>
      <c r="Z209" s="17" t="s">
        <v>788</v>
      </c>
      <c r="AA209" s="17"/>
      <c r="AB209" s="45">
        <f>VLOOKUP(Z209,'Actor and Actress Success'!$A$1:$B$72,2,FALSE)</f>
        <v>45.652173913043477</v>
      </c>
      <c r="AC209" s="35">
        <v>1</v>
      </c>
      <c r="AD209" s="17" t="s">
        <v>437</v>
      </c>
      <c r="AE209" s="17"/>
      <c r="AF209" s="45" t="e">
        <f>VLOOKUP(AD209,'Actor and Actress Success'!$A$1:$B$72,2,FALSE)</f>
        <v>#N/A</v>
      </c>
      <c r="AG209" s="35"/>
      <c r="AH209" s="17" t="s">
        <v>872</v>
      </c>
      <c r="AI209" s="17"/>
      <c r="AK209" s="45" t="e">
        <f>VLOOKUP(AH209,'Actor and Actress Success'!$A$1:$B$72,2,FALSE)</f>
        <v>#N/A</v>
      </c>
    </row>
    <row r="210" spans="1:37">
      <c r="A210">
        <v>210</v>
      </c>
      <c r="B210" s="8" t="s">
        <v>292</v>
      </c>
      <c r="C210" s="10">
        <v>2013</v>
      </c>
      <c r="D210" s="12">
        <v>41579</v>
      </c>
      <c r="E210" s="12"/>
      <c r="F210" s="10" t="s">
        <v>82</v>
      </c>
      <c r="G210" s="10" t="s">
        <v>82</v>
      </c>
      <c r="H210" s="22" t="s">
        <v>50</v>
      </c>
      <c r="I210" s="22">
        <v>3500</v>
      </c>
      <c r="J210" s="22">
        <v>24</v>
      </c>
      <c r="K210" s="10">
        <v>33.71</v>
      </c>
      <c r="L210" s="20">
        <v>950000000</v>
      </c>
      <c r="M210" s="1">
        <v>2915240000</v>
      </c>
      <c r="N210" s="20">
        <v>2020875780</v>
      </c>
      <c r="O210" s="20"/>
      <c r="P210" s="17" t="s">
        <v>385</v>
      </c>
      <c r="Q210" s="17"/>
      <c r="R210" s="17" t="s">
        <v>387</v>
      </c>
      <c r="S210" s="17"/>
      <c r="T210" s="17" t="s">
        <v>385</v>
      </c>
      <c r="U210" s="17" t="s">
        <v>892</v>
      </c>
      <c r="V210" s="17" t="s">
        <v>794</v>
      </c>
      <c r="W210" s="45">
        <f>VLOOKUP(V210,'Actor and Actress Success'!$A$1:$B$72,2,FALSE)</f>
        <v>54.54545454545454</v>
      </c>
      <c r="X210" s="35">
        <v>1</v>
      </c>
      <c r="Y210" s="35"/>
      <c r="Z210" s="17" t="s">
        <v>803</v>
      </c>
      <c r="AA210" s="17"/>
      <c r="AB210" s="45">
        <f>VLOOKUP(Z210,'Actor and Actress Success'!$A$1:$B$72,2,FALSE)</f>
        <v>45</v>
      </c>
      <c r="AC210" s="35">
        <v>1</v>
      </c>
      <c r="AD210" s="17" t="s">
        <v>1113</v>
      </c>
      <c r="AE210" s="17"/>
      <c r="AF210" s="45">
        <f>VLOOKUP(AD210,'Actor and Actress Success'!$A$1:$B$72,2,FALSE)</f>
        <v>39.285714285714285</v>
      </c>
      <c r="AG210" s="35">
        <v>1</v>
      </c>
      <c r="AH210" s="17" t="s">
        <v>1035</v>
      </c>
      <c r="AI210" s="17"/>
      <c r="AK210" s="45" t="e">
        <f>VLOOKUP(AH210,'Actor and Actress Success'!$A$1:$B$72,2,FALSE)</f>
        <v>#N/A</v>
      </c>
    </row>
    <row r="211" spans="1:37">
      <c r="A211">
        <v>211</v>
      </c>
      <c r="B211" s="8" t="s">
        <v>293</v>
      </c>
      <c r="C211" s="10">
        <v>2012</v>
      </c>
      <c r="D211" s="12">
        <v>41264</v>
      </c>
      <c r="E211" s="12"/>
      <c r="F211" s="10" t="s">
        <v>82</v>
      </c>
      <c r="G211" s="10" t="s">
        <v>82</v>
      </c>
      <c r="H211" s="22" t="s">
        <v>50</v>
      </c>
      <c r="I211" s="22">
        <v>3400</v>
      </c>
      <c r="J211" s="22">
        <v>28</v>
      </c>
      <c r="K211" s="10">
        <v>62.27</v>
      </c>
      <c r="L211" s="1">
        <v>840000000</v>
      </c>
      <c r="M211" s="1">
        <v>2492350000</v>
      </c>
      <c r="N211" s="1">
        <v>1901303360</v>
      </c>
      <c r="O211" s="1"/>
      <c r="P211" s="17" t="s">
        <v>1175</v>
      </c>
      <c r="Q211" s="17"/>
      <c r="R211" s="17" t="s">
        <v>829</v>
      </c>
      <c r="S211" s="17"/>
      <c r="T211" s="17" t="s">
        <v>541</v>
      </c>
      <c r="U211" s="17" t="s">
        <v>541</v>
      </c>
      <c r="V211" s="17" t="s">
        <v>16</v>
      </c>
      <c r="W211" s="45">
        <f>VLOOKUP(V211,'Actor and Actress Success'!$A$1:$B$72,2,FALSE)</f>
        <v>50.819672131147541</v>
      </c>
      <c r="X211" s="35">
        <v>1</v>
      </c>
      <c r="Y211" s="35"/>
      <c r="Z211" s="17" t="s">
        <v>1165</v>
      </c>
      <c r="AA211" s="17"/>
      <c r="AB211" s="45">
        <f>VLOOKUP(Z211,'Actor and Actress Success'!$A$1:$B$72,2,FALSE)</f>
        <v>37.5</v>
      </c>
      <c r="AC211" s="35">
        <v>1</v>
      </c>
      <c r="AD211" s="17" t="s">
        <v>960</v>
      </c>
      <c r="AE211" s="17"/>
      <c r="AF211" s="45" t="e">
        <f>VLOOKUP(AD211,'Actor and Actress Success'!$A$1:$B$72,2,FALSE)</f>
        <v>#N/A</v>
      </c>
      <c r="AG211" s="35"/>
      <c r="AH211" s="17" t="s">
        <v>959</v>
      </c>
      <c r="AI211" s="17"/>
      <c r="AK211" s="45">
        <f>VLOOKUP(AH211,'Actor and Actress Success'!$A$1:$B$72,2,FALSE)</f>
        <v>21.739130434782609</v>
      </c>
    </row>
    <row r="212" spans="1:37">
      <c r="A212">
        <v>212</v>
      </c>
      <c r="B212" s="8" t="s">
        <v>294</v>
      </c>
      <c r="C212" s="10">
        <v>2013</v>
      </c>
      <c r="D212" s="12">
        <v>41425</v>
      </c>
      <c r="E212" s="12"/>
      <c r="F212" s="10" t="s">
        <v>82</v>
      </c>
      <c r="G212" s="10" t="s">
        <v>82</v>
      </c>
      <c r="H212" s="22" t="s">
        <v>56</v>
      </c>
      <c r="I212" s="22">
        <v>2900</v>
      </c>
      <c r="J212" s="22">
        <v>29</v>
      </c>
      <c r="K212" s="10">
        <v>46.87</v>
      </c>
      <c r="L212" s="20">
        <v>750000000</v>
      </c>
      <c r="M212" s="20">
        <v>2956130000</v>
      </c>
      <c r="N212" s="20">
        <v>1876851680</v>
      </c>
      <c r="O212" s="20"/>
      <c r="P212" s="17" t="s">
        <v>1130</v>
      </c>
      <c r="Q212" s="17"/>
      <c r="R212" s="17" t="s">
        <v>801</v>
      </c>
      <c r="S212" s="17"/>
      <c r="T212" s="17" t="s">
        <v>1130</v>
      </c>
      <c r="U212" s="17" t="s">
        <v>1130</v>
      </c>
      <c r="V212" s="37" t="s">
        <v>912</v>
      </c>
      <c r="W212" s="45">
        <f>VLOOKUP(V212,'Actor and Actress Success'!$A$1:$B$72,2,FALSE)</f>
        <v>56.25</v>
      </c>
      <c r="X212" s="35">
        <v>1</v>
      </c>
      <c r="Y212" s="35"/>
      <c r="Z212" s="37" t="s">
        <v>806</v>
      </c>
      <c r="AA212" s="37"/>
      <c r="AB212" s="45">
        <f>VLOOKUP(Z212,'Actor and Actress Success'!$A$1:$B$72,2,FALSE)</f>
        <v>57.142857142857139</v>
      </c>
      <c r="AC212" s="35">
        <v>1</v>
      </c>
      <c r="AD212" s="17" t="s">
        <v>1176</v>
      </c>
      <c r="AE212" s="17"/>
      <c r="AF212" s="45" t="e">
        <f>VLOOKUP(AD212,'Actor and Actress Success'!$A$1:$B$72,2,FALSE)</f>
        <v>#N/A</v>
      </c>
      <c r="AG212" s="35">
        <v>1</v>
      </c>
      <c r="AH212" s="17" t="s">
        <v>1177</v>
      </c>
      <c r="AI212" s="17"/>
      <c r="AJ212" s="34">
        <v>1</v>
      </c>
      <c r="AK212" s="45" t="e">
        <f>VLOOKUP(AH212,'Actor and Actress Success'!$A$1:$B$72,2,FALSE)</f>
        <v>#N/A</v>
      </c>
    </row>
    <row r="213" spans="1:37">
      <c r="A213">
        <v>213</v>
      </c>
      <c r="B213" s="8" t="s">
        <v>295</v>
      </c>
      <c r="C213" s="10">
        <v>2012</v>
      </c>
      <c r="D213" s="12">
        <v>41061</v>
      </c>
      <c r="E213" s="12"/>
      <c r="F213" s="10" t="s">
        <v>82</v>
      </c>
      <c r="G213" s="10" t="s">
        <v>82</v>
      </c>
      <c r="H213" s="22" t="s">
        <v>50</v>
      </c>
      <c r="I213" s="22">
        <v>2800</v>
      </c>
      <c r="J213" s="22">
        <v>30</v>
      </c>
      <c r="K213" s="10">
        <v>61.25</v>
      </c>
      <c r="L213" s="20">
        <v>7700000000</v>
      </c>
      <c r="M213" s="20">
        <v>1984775000</v>
      </c>
      <c r="N213" s="20">
        <v>1861198900</v>
      </c>
      <c r="O213" s="20"/>
      <c r="P213" s="17" t="s">
        <v>955</v>
      </c>
      <c r="Q213" s="17"/>
      <c r="R213" s="17" t="s">
        <v>829</v>
      </c>
      <c r="S213" s="17"/>
      <c r="T213" s="17" t="s">
        <v>1153</v>
      </c>
      <c r="U213" s="17" t="s">
        <v>957</v>
      </c>
      <c r="V213" s="17" t="s">
        <v>397</v>
      </c>
      <c r="W213" s="45">
        <f>VLOOKUP(V213,'Actor and Actress Success'!$A$1:$B$72,2,FALSE)</f>
        <v>44.117647058823529</v>
      </c>
      <c r="X213" s="35">
        <v>1</v>
      </c>
      <c r="Y213" s="35">
        <f>'Star Economic history'!W6</f>
        <v>412541666.66666669</v>
      </c>
      <c r="Z213" s="17" t="s">
        <v>1165</v>
      </c>
      <c r="AA213" s="17"/>
      <c r="AB213" s="45">
        <f>VLOOKUP(Z213,'Actor and Actress Success'!$A$1:$B$72,2,FALSE)</f>
        <v>37.5</v>
      </c>
      <c r="AC213" s="35">
        <v>1</v>
      </c>
      <c r="AD213" s="17" t="s">
        <v>1178</v>
      </c>
      <c r="AE213" s="17"/>
      <c r="AF213" s="45" t="e">
        <f>VLOOKUP(AD213,'Actor and Actress Success'!$A$1:$B$72,2,FALSE)</f>
        <v>#N/A</v>
      </c>
      <c r="AG213" s="35"/>
      <c r="AH213" s="17" t="s">
        <v>1117</v>
      </c>
      <c r="AI213" s="17"/>
      <c r="AK213" s="45" t="e">
        <f>VLOOKUP(AH213,'Actor and Actress Success'!$A$1:$B$72,2,FALSE)</f>
        <v>#N/A</v>
      </c>
    </row>
    <row r="214" spans="1:37">
      <c r="A214">
        <v>214</v>
      </c>
      <c r="B214" s="8" t="s">
        <v>296</v>
      </c>
      <c r="C214" s="10">
        <v>2011</v>
      </c>
      <c r="D214" s="12">
        <v>40697</v>
      </c>
      <c r="E214" s="12"/>
      <c r="F214" s="10" t="s">
        <v>82</v>
      </c>
      <c r="G214" s="10" t="s">
        <v>82</v>
      </c>
      <c r="H214" s="22" t="s">
        <v>439</v>
      </c>
      <c r="I214" s="22">
        <v>2200</v>
      </c>
      <c r="J214" s="22">
        <v>34</v>
      </c>
      <c r="K214" s="10">
        <v>61.45</v>
      </c>
      <c r="L214" s="20">
        <v>610000000</v>
      </c>
      <c r="M214" s="20">
        <v>1833987500</v>
      </c>
      <c r="N214" s="20">
        <v>1709024240</v>
      </c>
      <c r="O214" s="20"/>
      <c r="P214" s="17" t="s">
        <v>503</v>
      </c>
      <c r="Q214" s="17"/>
      <c r="R214" s="17" t="s">
        <v>801</v>
      </c>
      <c r="S214" s="17"/>
      <c r="T214" s="17" t="s">
        <v>1179</v>
      </c>
      <c r="U214" s="17" t="s">
        <v>1180</v>
      </c>
      <c r="V214" s="17" t="s">
        <v>16</v>
      </c>
      <c r="W214" s="45">
        <f>VLOOKUP(V214,'Actor and Actress Success'!$A$1:$B$72,2,FALSE)</f>
        <v>50.819672131147541</v>
      </c>
      <c r="X214" s="35">
        <v>1</v>
      </c>
      <c r="Y214" s="35"/>
      <c r="Z214" s="17" t="s">
        <v>797</v>
      </c>
      <c r="AA214" s="17"/>
      <c r="AB214" s="45">
        <f>VLOOKUP(Z214,'Actor and Actress Success'!$A$1:$B$72,2,FALSE)</f>
        <v>71.428571428571431</v>
      </c>
      <c r="AC214" s="35">
        <v>1</v>
      </c>
      <c r="AD214" s="17" t="s">
        <v>453</v>
      </c>
      <c r="AE214" s="17"/>
      <c r="AF214" s="45" t="e">
        <f>VLOOKUP(AD214,'Actor and Actress Success'!$A$1:$B$72,2,FALSE)</f>
        <v>#N/A</v>
      </c>
      <c r="AG214" s="35"/>
      <c r="AH214" s="17" t="s">
        <v>872</v>
      </c>
      <c r="AI214" s="17"/>
      <c r="AK214" s="45" t="e">
        <f>VLOOKUP(AH214,'Actor and Actress Success'!$A$1:$B$72,2,FALSE)</f>
        <v>#N/A</v>
      </c>
    </row>
    <row r="215" spans="1:37">
      <c r="A215">
        <v>215</v>
      </c>
      <c r="B215" s="8" t="s">
        <v>297</v>
      </c>
      <c r="C215" s="10">
        <v>2010</v>
      </c>
      <c r="D215" s="12">
        <v>40487</v>
      </c>
      <c r="E215" s="12"/>
      <c r="F215" s="10" t="s">
        <v>82</v>
      </c>
      <c r="G215" s="10" t="s">
        <v>82</v>
      </c>
      <c r="H215" s="22" t="s">
        <v>439</v>
      </c>
      <c r="I215" s="22">
        <v>1700</v>
      </c>
      <c r="J215" s="22">
        <v>37</v>
      </c>
      <c r="K215" s="10">
        <v>56.82</v>
      </c>
      <c r="L215" s="20">
        <v>500000000</v>
      </c>
      <c r="M215" s="20">
        <v>1695635000</v>
      </c>
      <c r="N215" s="20">
        <v>1640485440</v>
      </c>
      <c r="O215" s="20"/>
      <c r="P215" s="17" t="s">
        <v>977</v>
      </c>
      <c r="Q215" s="17"/>
      <c r="R215" s="17" t="s">
        <v>801</v>
      </c>
      <c r="S215" s="17"/>
      <c r="T215" s="17" t="s">
        <v>979</v>
      </c>
      <c r="U215" s="17" t="s">
        <v>1159</v>
      </c>
      <c r="V215" s="17" t="s">
        <v>555</v>
      </c>
      <c r="W215" s="45">
        <f>VLOOKUP(V215,'Actor and Actress Success'!$A$1:$B$72,2,FALSE)</f>
        <v>11.607142857142858</v>
      </c>
      <c r="X215" s="35"/>
      <c r="Y215" s="35"/>
      <c r="Z215" s="17" t="s">
        <v>429</v>
      </c>
      <c r="AA215" s="17"/>
      <c r="AB215" s="45">
        <f>VLOOKUP(Z215,'Actor and Actress Success'!$A$1:$B$72,2,FALSE)</f>
        <v>39.285714285714285</v>
      </c>
      <c r="AC215" s="35">
        <v>1</v>
      </c>
      <c r="AD215" s="17" t="s">
        <v>788</v>
      </c>
      <c r="AE215" s="17"/>
      <c r="AF215" s="45">
        <f>VLOOKUP(AD215,'Actor and Actress Success'!$A$1:$B$72,2,FALSE)</f>
        <v>45.652173913043477</v>
      </c>
      <c r="AG215" s="35">
        <v>1</v>
      </c>
      <c r="AH215" s="17" t="s">
        <v>550</v>
      </c>
      <c r="AI215" s="17"/>
      <c r="AJ215" s="34">
        <v>1</v>
      </c>
      <c r="AK215" s="45" t="e">
        <f>VLOOKUP(AH215,'Actor and Actress Success'!$A$1:$B$72,2,FALSE)</f>
        <v>#N/A</v>
      </c>
    </row>
    <row r="216" spans="1:37">
      <c r="A216">
        <v>216</v>
      </c>
      <c r="B216" s="8" t="s">
        <v>298</v>
      </c>
      <c r="C216" s="10">
        <v>2015</v>
      </c>
      <c r="D216" s="12">
        <v>42146</v>
      </c>
      <c r="E216" s="12"/>
      <c r="F216" s="10" t="s">
        <v>82</v>
      </c>
      <c r="G216" s="10" t="s">
        <v>82</v>
      </c>
      <c r="H216" s="22" t="s">
        <v>547</v>
      </c>
      <c r="I216" s="22">
        <v>2150</v>
      </c>
      <c r="J216" s="22">
        <v>41</v>
      </c>
      <c r="K216" s="10">
        <v>56.45</v>
      </c>
      <c r="L216" s="20">
        <v>390000000</v>
      </c>
      <c r="M216" s="20">
        <v>2436435000</v>
      </c>
      <c r="N216" s="20">
        <v>1488475000</v>
      </c>
      <c r="O216" s="20"/>
      <c r="P216" s="17" t="s">
        <v>1181</v>
      </c>
      <c r="Q216" s="17"/>
      <c r="R216" s="17" t="s">
        <v>1184</v>
      </c>
      <c r="S216" s="17"/>
      <c r="T216" s="17" t="s">
        <v>1182</v>
      </c>
      <c r="U216" s="17" t="s">
        <v>1182</v>
      </c>
      <c r="V216" s="17" t="s">
        <v>789</v>
      </c>
      <c r="W216" s="45" t="e">
        <f>VLOOKUP(V216,'Actor and Actress Success'!$A$1:$B$72,2,FALSE)</f>
        <v>#N/A</v>
      </c>
      <c r="X216" s="35">
        <v>1</v>
      </c>
      <c r="Y216" s="35"/>
      <c r="Z216" s="17" t="s">
        <v>1113</v>
      </c>
      <c r="AA216" s="17"/>
      <c r="AB216" s="45">
        <f>VLOOKUP(Z216,'Actor and Actress Success'!$A$1:$B$72,2,FALSE)</f>
        <v>39.285714285714285</v>
      </c>
      <c r="AC216" s="35">
        <v>1</v>
      </c>
      <c r="AD216" s="17" t="s">
        <v>1028</v>
      </c>
      <c r="AE216" s="17"/>
      <c r="AF216" s="45" t="e">
        <f>VLOOKUP(AD216,'Actor and Actress Success'!$A$1:$B$72,2,FALSE)</f>
        <v>#N/A</v>
      </c>
      <c r="AG216" s="35"/>
      <c r="AH216" s="17" t="s">
        <v>1183</v>
      </c>
      <c r="AI216" s="17"/>
      <c r="AK216" s="45" t="e">
        <f>VLOOKUP(AH216,'Actor and Actress Success'!$A$1:$B$72,2,FALSE)</f>
        <v>#N/A</v>
      </c>
    </row>
    <row r="217" spans="1:37">
      <c r="A217">
        <v>217</v>
      </c>
      <c r="B217" s="8" t="s">
        <v>299</v>
      </c>
      <c r="C217" s="10">
        <v>2013</v>
      </c>
      <c r="D217" s="12">
        <v>41390</v>
      </c>
      <c r="E217" s="12"/>
      <c r="F217" s="10" t="s">
        <v>82</v>
      </c>
      <c r="G217" s="10" t="s">
        <v>82</v>
      </c>
      <c r="H217" s="22" t="s">
        <v>56</v>
      </c>
      <c r="I217" s="22">
        <v>1150</v>
      </c>
      <c r="J217" s="22">
        <v>44</v>
      </c>
      <c r="K217" s="10">
        <v>67.62</v>
      </c>
      <c r="L217" s="20">
        <v>150000000</v>
      </c>
      <c r="M217" s="20">
        <v>1093800000</v>
      </c>
      <c r="N217" s="20">
        <v>912677480</v>
      </c>
      <c r="O217" s="20"/>
      <c r="P217" s="17" t="s">
        <v>1185</v>
      </c>
      <c r="Q217" s="17"/>
      <c r="R217" s="17" t="s">
        <v>1190</v>
      </c>
      <c r="S217" s="17"/>
      <c r="T217" s="17" t="s">
        <v>1186</v>
      </c>
      <c r="U217" s="17" t="s">
        <v>1186</v>
      </c>
      <c r="V217" s="17" t="s">
        <v>1176</v>
      </c>
      <c r="W217" s="45" t="e">
        <f>VLOOKUP(V217,'Actor and Actress Success'!$A$1:$B$72,2,FALSE)</f>
        <v>#N/A</v>
      </c>
      <c r="X217" s="35">
        <v>1</v>
      </c>
      <c r="Y217" s="35"/>
      <c r="Z217" s="17" t="s">
        <v>1187</v>
      </c>
      <c r="AA217" s="17"/>
      <c r="AB217" s="45">
        <f>VLOOKUP(Z217,'Actor and Actress Success'!$A$1:$B$72,2,FALSE)</f>
        <v>45.454545454545453</v>
      </c>
      <c r="AC217" s="35">
        <v>1</v>
      </c>
      <c r="AD217" s="17" t="s">
        <v>1188</v>
      </c>
      <c r="AE217" s="17"/>
      <c r="AF217" s="45" t="e">
        <f>VLOOKUP(AD217,'Actor and Actress Success'!$A$1:$B$72,2,FALSE)</f>
        <v>#N/A</v>
      </c>
      <c r="AG217" s="35"/>
      <c r="AH217" s="17" t="s">
        <v>1189</v>
      </c>
      <c r="AI217" s="17"/>
      <c r="AK217" s="45" t="e">
        <f>VLOOKUP(AH217,'Actor and Actress Success'!$A$1:$B$72,2,FALSE)</f>
        <v>#N/A</v>
      </c>
    </row>
    <row r="218" spans="1:37">
      <c r="A218">
        <v>218</v>
      </c>
      <c r="B218" s="8" t="s">
        <v>300</v>
      </c>
      <c r="C218" s="10">
        <v>2014</v>
      </c>
      <c r="D218" s="12">
        <v>41936</v>
      </c>
      <c r="E218" s="12"/>
      <c r="F218" s="10" t="s">
        <v>176</v>
      </c>
      <c r="G218" s="10" t="s">
        <v>176</v>
      </c>
      <c r="H218" s="22" t="s">
        <v>428</v>
      </c>
      <c r="I218" s="22">
        <v>3850</v>
      </c>
      <c r="J218" s="22">
        <v>49</v>
      </c>
      <c r="K218" s="10">
        <v>45.37</v>
      </c>
      <c r="L218" s="20">
        <v>1500000000</v>
      </c>
      <c r="M218" s="20">
        <v>3452620000</v>
      </c>
      <c r="N218" s="20">
        <v>1827207360</v>
      </c>
      <c r="O218" s="20"/>
      <c r="P218" s="17" t="s">
        <v>804</v>
      </c>
      <c r="Q218" s="17"/>
      <c r="R218" s="17" t="s">
        <v>805</v>
      </c>
      <c r="S218" s="17"/>
      <c r="T218" s="17" t="s">
        <v>1191</v>
      </c>
      <c r="U218" s="17" t="s">
        <v>804</v>
      </c>
      <c r="V218" s="37" t="s">
        <v>58</v>
      </c>
      <c r="W218" s="45">
        <f>VLOOKUP(V218,'Actor and Actress Success'!$A$1:$B$72,2,FALSE)</f>
        <v>66.666666666666657</v>
      </c>
      <c r="X218" s="35">
        <v>1</v>
      </c>
      <c r="Y218" s="35"/>
      <c r="Z218" s="37" t="s">
        <v>806</v>
      </c>
      <c r="AA218" s="37"/>
      <c r="AB218" s="45">
        <f>VLOOKUP(Z218,'Actor and Actress Success'!$A$1:$B$72,2,FALSE)</f>
        <v>57.142857142857139</v>
      </c>
      <c r="AC218" s="35">
        <v>1</v>
      </c>
      <c r="AD218" s="17" t="s">
        <v>802</v>
      </c>
      <c r="AE218" s="17"/>
      <c r="AF218" s="45">
        <f>VLOOKUP(AD218,'Actor and Actress Success'!$A$1:$B$72,2,FALSE)</f>
        <v>35.714285714285715</v>
      </c>
      <c r="AG218" s="35">
        <v>1</v>
      </c>
      <c r="AH218" s="17" t="s">
        <v>811</v>
      </c>
      <c r="AI218" s="17"/>
      <c r="AK218" s="45" t="e">
        <f>VLOOKUP(AH218,'Actor and Actress Success'!$A$1:$B$72,2,FALSE)</f>
        <v>#N/A</v>
      </c>
    </row>
    <row r="219" spans="1:37">
      <c r="A219">
        <v>219</v>
      </c>
      <c r="B219" s="8" t="s">
        <v>301</v>
      </c>
      <c r="C219" s="10">
        <v>2014</v>
      </c>
      <c r="D219" s="12">
        <v>41866</v>
      </c>
      <c r="E219" s="12"/>
      <c r="F219" s="10" t="s">
        <v>176</v>
      </c>
      <c r="G219" s="10" t="s">
        <v>176</v>
      </c>
      <c r="H219" s="22" t="s">
        <v>50</v>
      </c>
      <c r="I219" s="22">
        <v>3500</v>
      </c>
      <c r="J219" s="22">
        <v>56</v>
      </c>
      <c r="K219" s="10">
        <v>52.55</v>
      </c>
      <c r="L219" s="20">
        <v>1050000000</v>
      </c>
      <c r="M219" s="20">
        <v>2165697500</v>
      </c>
      <c r="N219" s="20">
        <v>1567778740</v>
      </c>
      <c r="O219" s="20"/>
      <c r="P219" s="17" t="s">
        <v>977</v>
      </c>
      <c r="Q219" s="17"/>
      <c r="R219" s="17" t="s">
        <v>1194</v>
      </c>
      <c r="S219" s="17"/>
      <c r="T219" s="17" t="s">
        <v>979</v>
      </c>
      <c r="U219" s="17" t="s">
        <v>1192</v>
      </c>
      <c r="V219" s="17" t="s">
        <v>429</v>
      </c>
      <c r="W219" s="45">
        <f>VLOOKUP(V219,'Actor and Actress Success'!$A$1:$B$72,2,FALSE)</f>
        <v>39.285714285714285</v>
      </c>
      <c r="X219" s="35">
        <v>1</v>
      </c>
      <c r="Y219" s="35">
        <f>'Star Economic history'!Y4</f>
        <v>487775000</v>
      </c>
      <c r="Z219" s="17" t="s">
        <v>788</v>
      </c>
      <c r="AA219" s="17"/>
      <c r="AB219" s="45">
        <f>VLOOKUP(Z219,'Actor and Actress Success'!$A$1:$B$72,2,FALSE)</f>
        <v>45.652173913043477</v>
      </c>
      <c r="AC219" s="35">
        <v>1</v>
      </c>
      <c r="AD219" s="17" t="s">
        <v>1193</v>
      </c>
      <c r="AE219" s="17"/>
      <c r="AF219" s="45" t="e">
        <f>VLOOKUP(AD219,'Actor and Actress Success'!$A$1:$B$72,2,FALSE)</f>
        <v>#N/A</v>
      </c>
      <c r="AG219" s="35"/>
      <c r="AH219" s="17" t="s">
        <v>411</v>
      </c>
      <c r="AI219" s="17"/>
      <c r="AK219" s="45" t="e">
        <f>VLOOKUP(AH219,'Actor and Actress Success'!$A$1:$B$72,2,FALSE)</f>
        <v>#N/A</v>
      </c>
    </row>
    <row r="220" spans="1:37">
      <c r="A220">
        <v>220</v>
      </c>
      <c r="B220" s="8" t="s">
        <v>302</v>
      </c>
      <c r="C220" s="10">
        <v>2012</v>
      </c>
      <c r="D220" s="12">
        <v>40934</v>
      </c>
      <c r="E220" s="12"/>
      <c r="F220" s="10" t="s">
        <v>176</v>
      </c>
      <c r="G220" s="10" t="s">
        <v>176</v>
      </c>
      <c r="H220" s="22" t="s">
        <v>50</v>
      </c>
      <c r="I220" s="22">
        <v>2600</v>
      </c>
      <c r="J220" s="22">
        <v>57</v>
      </c>
      <c r="K220" s="10">
        <v>48.47</v>
      </c>
      <c r="L220" s="20">
        <v>710000000</v>
      </c>
      <c r="M220" s="1">
        <v>1943275000</v>
      </c>
      <c r="N220" s="20">
        <v>1565185380</v>
      </c>
      <c r="O220" s="20"/>
      <c r="P220" s="17" t="s">
        <v>1195</v>
      </c>
      <c r="Q220" s="17"/>
      <c r="R220" s="17" t="s">
        <v>1196</v>
      </c>
      <c r="S220" s="17"/>
      <c r="T220" s="17"/>
      <c r="U220" s="17" t="s">
        <v>889</v>
      </c>
      <c r="V220" s="17" t="s">
        <v>724</v>
      </c>
      <c r="W220" s="45">
        <f>VLOOKUP(V220,'Actor and Actress Success'!$A$1:$B$72,2,FALSE)</f>
        <v>26.086956521739129</v>
      </c>
      <c r="X220" s="35">
        <v>1</v>
      </c>
      <c r="Y220" s="35">
        <f>'Star Economic history'!W7</f>
        <v>168542500</v>
      </c>
      <c r="Z220" s="17" t="s">
        <v>511</v>
      </c>
      <c r="AA220" s="17"/>
      <c r="AB220" s="45">
        <f>VLOOKUP(Z220,'Actor and Actress Success'!$A$1:$B$72,2,FALSE)</f>
        <v>27.397260273972602</v>
      </c>
      <c r="AC220" s="35">
        <v>1</v>
      </c>
      <c r="AD220" s="17" t="s">
        <v>794</v>
      </c>
      <c r="AE220" s="17"/>
      <c r="AF220" s="45">
        <f>VLOOKUP(AD220,'Actor and Actress Success'!$A$1:$B$72,2,FALSE)</f>
        <v>54.54545454545454</v>
      </c>
      <c r="AG220" s="35"/>
      <c r="AH220" s="17" t="s">
        <v>803</v>
      </c>
      <c r="AI220" s="17"/>
      <c r="AK220" s="45">
        <f>VLOOKUP(AH220,'Actor and Actress Success'!$A$1:$B$72,2,FALSE)</f>
        <v>45</v>
      </c>
    </row>
    <row r="221" spans="1:37">
      <c r="A221">
        <v>221</v>
      </c>
      <c r="B221" s="8" t="s">
        <v>303</v>
      </c>
      <c r="C221" s="10">
        <v>2011</v>
      </c>
      <c r="D221" s="12">
        <v>40746</v>
      </c>
      <c r="E221" s="12"/>
      <c r="F221" s="10" t="s">
        <v>176</v>
      </c>
      <c r="G221" s="10" t="s">
        <v>176</v>
      </c>
      <c r="H221" s="22" t="s">
        <v>50</v>
      </c>
      <c r="I221" s="22">
        <v>2050</v>
      </c>
      <c r="J221" s="22">
        <v>60</v>
      </c>
      <c r="K221" s="10">
        <v>67.95</v>
      </c>
      <c r="L221" s="1">
        <v>410000000</v>
      </c>
      <c r="M221" s="1">
        <v>1413035000</v>
      </c>
      <c r="N221" s="20">
        <v>1478307820</v>
      </c>
      <c r="O221" s="20"/>
      <c r="P221" s="17" t="s">
        <v>977</v>
      </c>
      <c r="Q221" s="17"/>
      <c r="R221" s="17" t="s">
        <v>1196</v>
      </c>
      <c r="S221" s="17"/>
      <c r="T221" s="17" t="s">
        <v>1197</v>
      </c>
      <c r="U221" s="17" t="s">
        <v>1159</v>
      </c>
      <c r="V221" s="17" t="s">
        <v>429</v>
      </c>
      <c r="W221" s="45">
        <f>VLOOKUP(V221,'Actor and Actress Success'!$A$1:$B$72,2,FALSE)</f>
        <v>39.285714285714285</v>
      </c>
      <c r="X221" s="35">
        <v>1</v>
      </c>
      <c r="Y221" s="35">
        <f>'Star Economic history'!V4</f>
        <v>507366666.66666669</v>
      </c>
      <c r="Z221" s="17" t="s">
        <v>1198</v>
      </c>
      <c r="AA221" s="17"/>
      <c r="AB221" s="45" t="e">
        <f>VLOOKUP(Z221,'Actor and Actress Success'!$A$1:$B$72,2,FALSE)</f>
        <v>#N/A</v>
      </c>
      <c r="AC221" s="35">
        <v>1</v>
      </c>
      <c r="AD221" s="17" t="s">
        <v>960</v>
      </c>
      <c r="AE221" s="17"/>
      <c r="AF221" s="45" t="e">
        <f>VLOOKUP(AD221,'Actor and Actress Success'!$A$1:$B$72,2,FALSE)</f>
        <v>#N/A</v>
      </c>
      <c r="AG221" s="35"/>
      <c r="AH221" s="17" t="s">
        <v>1126</v>
      </c>
      <c r="AI221" s="17"/>
      <c r="AK221" s="45" t="e">
        <f>VLOOKUP(AH221,'Actor and Actress Success'!$A$1:$B$72,2,FALSE)</f>
        <v>#N/A</v>
      </c>
    </row>
    <row r="222" spans="1:37">
      <c r="A222">
        <v>222</v>
      </c>
      <c r="B222" s="8" t="s">
        <v>304</v>
      </c>
      <c r="C222" s="10">
        <v>2012</v>
      </c>
      <c r="D222" s="12">
        <v>41005</v>
      </c>
      <c r="E222" s="12"/>
      <c r="F222" s="10" t="s">
        <v>176</v>
      </c>
      <c r="G222" s="10" t="s">
        <v>176</v>
      </c>
      <c r="H222" s="22" t="s">
        <v>439</v>
      </c>
      <c r="I222" s="22">
        <v>2650</v>
      </c>
      <c r="J222" s="22">
        <v>62</v>
      </c>
      <c r="K222" s="10">
        <v>53.57</v>
      </c>
      <c r="L222" s="1">
        <v>720000000</v>
      </c>
      <c r="M222" s="1">
        <v>1884050000</v>
      </c>
      <c r="N222" s="20">
        <v>1459876440</v>
      </c>
      <c r="O222" s="20"/>
      <c r="P222" s="17" t="s">
        <v>968</v>
      </c>
      <c r="Q222" s="17"/>
      <c r="R222" s="17" t="s">
        <v>829</v>
      </c>
      <c r="S222" s="17"/>
      <c r="T222" s="17" t="s">
        <v>1169</v>
      </c>
      <c r="U222" s="17" t="s">
        <v>1159</v>
      </c>
      <c r="V222" s="17" t="s">
        <v>397</v>
      </c>
      <c r="W222" s="45">
        <f>VLOOKUP(V222,'Actor and Actress Success'!$A$1:$B$72,2,FALSE)</f>
        <v>44.117647058823529</v>
      </c>
      <c r="X222" s="35">
        <v>1</v>
      </c>
      <c r="Y222" s="35">
        <f>'Star Economic history'!W6</f>
        <v>412541666.66666669</v>
      </c>
      <c r="Z222" s="17" t="s">
        <v>918</v>
      </c>
      <c r="AA222" s="17"/>
      <c r="AB222" s="45">
        <f>VLOOKUP(Z222,'Actor and Actress Success'!$A$1:$B$72,2,FALSE)</f>
        <v>36.111111111111107</v>
      </c>
      <c r="AC222" s="35">
        <v>1</v>
      </c>
      <c r="AD222" s="17" t="s">
        <v>724</v>
      </c>
      <c r="AE222" s="17">
        <f>'Star Economic history'!W7</f>
        <v>168542500</v>
      </c>
      <c r="AF222" s="45">
        <f>VLOOKUP(AD222,'Actor and Actress Success'!$A$1:$B$72,2,FALSE)</f>
        <v>26.086956521739129</v>
      </c>
      <c r="AG222" s="35"/>
      <c r="AH222" s="17" t="s">
        <v>1199</v>
      </c>
      <c r="AI222" s="17"/>
      <c r="AK222" s="45">
        <f>VLOOKUP(AH222,'Actor and Actress Success'!$A$1:$B$72,2,FALSE)</f>
        <v>25</v>
      </c>
    </row>
    <row r="223" spans="1:37">
      <c r="A223">
        <v>223</v>
      </c>
      <c r="B223" s="8" t="s">
        <v>305</v>
      </c>
      <c r="C223" s="10">
        <v>2010</v>
      </c>
      <c r="D223" s="12">
        <v>40333</v>
      </c>
      <c r="E223" s="12"/>
      <c r="F223" s="10" t="s">
        <v>176</v>
      </c>
      <c r="G223" s="10" t="s">
        <v>176</v>
      </c>
      <c r="H223" s="22" t="s">
        <v>408</v>
      </c>
      <c r="I223" s="22">
        <v>1750</v>
      </c>
      <c r="J223" s="22">
        <v>66</v>
      </c>
      <c r="K223" s="10">
        <v>61.32</v>
      </c>
      <c r="L223" s="1">
        <v>610000000</v>
      </c>
      <c r="M223" s="20">
        <v>1455040000</v>
      </c>
      <c r="N223" s="20">
        <v>1422309768</v>
      </c>
      <c r="O223" s="20"/>
      <c r="P223" s="17" t="s">
        <v>1116</v>
      </c>
      <c r="Q223" s="17"/>
      <c r="R223" s="17" t="s">
        <v>1200</v>
      </c>
      <c r="S223" s="17"/>
      <c r="T223" s="17" t="s">
        <v>1116</v>
      </c>
      <c r="U223" s="17" t="s">
        <v>505</v>
      </c>
      <c r="V223" s="17" t="s">
        <v>415</v>
      </c>
      <c r="W223" s="45" t="e">
        <f>VLOOKUP(V223,'Actor and Actress Success'!$A$1:$B$72,2,FALSE)</f>
        <v>#N/A</v>
      </c>
      <c r="X223" s="35">
        <v>1</v>
      </c>
      <c r="Y223" s="35"/>
      <c r="Z223" s="17" t="s">
        <v>429</v>
      </c>
      <c r="AA223" s="17"/>
      <c r="AB223" s="45">
        <f>VLOOKUP(Z223,'Actor and Actress Success'!$A$1:$B$72,2,FALSE)</f>
        <v>39.285714285714285</v>
      </c>
      <c r="AC223" s="35">
        <v>1</v>
      </c>
      <c r="AD223" s="17" t="s">
        <v>912</v>
      </c>
      <c r="AE223" s="17"/>
      <c r="AF223" s="45">
        <f>VLOOKUP(AD223,'Actor and Actress Success'!$A$1:$B$72,2,FALSE)</f>
        <v>56.25</v>
      </c>
      <c r="AG223" s="35">
        <v>1</v>
      </c>
      <c r="AH223" s="17" t="s">
        <v>831</v>
      </c>
      <c r="AI223" s="17"/>
      <c r="AJ223" s="34">
        <v>1</v>
      </c>
      <c r="AK223" s="45">
        <f>VLOOKUP(AH223,'Actor and Actress Success'!$A$1:$B$72,2,FALSE)</f>
        <v>73.076923076923066</v>
      </c>
    </row>
    <row r="224" spans="1:37">
      <c r="A224">
        <v>224</v>
      </c>
      <c r="B224" s="8" t="s">
        <v>306</v>
      </c>
      <c r="C224" s="10">
        <v>2016</v>
      </c>
      <c r="D224" s="12">
        <v>42594</v>
      </c>
      <c r="E224" s="12"/>
      <c r="F224" s="10" t="s">
        <v>176</v>
      </c>
      <c r="G224" s="10" t="s">
        <v>176</v>
      </c>
      <c r="H224" s="22" t="s">
        <v>6</v>
      </c>
      <c r="I224" s="22">
        <v>2350</v>
      </c>
      <c r="J224" s="22"/>
      <c r="K224" s="10">
        <v>72.22</v>
      </c>
      <c r="L224" s="20">
        <v>730000000</v>
      </c>
      <c r="M224" s="20">
        <v>2140070000</v>
      </c>
      <c r="N224" s="20">
        <v>1244500000</v>
      </c>
      <c r="O224" s="20"/>
      <c r="P224" s="17" t="s">
        <v>1201</v>
      </c>
      <c r="Q224" s="17"/>
      <c r="R224" s="17" t="s">
        <v>1206</v>
      </c>
      <c r="S224" s="17"/>
      <c r="T224" s="17" t="s">
        <v>1202</v>
      </c>
      <c r="U224" s="17" t="s">
        <v>1202</v>
      </c>
      <c r="V224" s="17" t="s">
        <v>397</v>
      </c>
      <c r="W224" s="45">
        <f>VLOOKUP(V224,'Actor and Actress Success'!$A$1:$B$72,2,FALSE)</f>
        <v>44.117647058823529</v>
      </c>
      <c r="X224" s="35">
        <v>1</v>
      </c>
      <c r="Y224" s="35">
        <f>'Star Economic history'!AA6</f>
        <v>761950000</v>
      </c>
      <c r="Z224" s="17" t="s">
        <v>1203</v>
      </c>
      <c r="AA224" s="17"/>
      <c r="AB224" s="45" t="e">
        <f>VLOOKUP(Z224,'Actor and Actress Success'!$A$1:$B$72,2,FALSE)</f>
        <v>#N/A</v>
      </c>
      <c r="AC224" s="35">
        <v>1</v>
      </c>
      <c r="AD224" s="17" t="s">
        <v>1204</v>
      </c>
      <c r="AE224" s="17"/>
      <c r="AF224" s="45" t="e">
        <f>VLOOKUP(AD224,'Actor and Actress Success'!$A$1:$B$72,2,FALSE)</f>
        <v>#N/A</v>
      </c>
      <c r="AG224" s="35"/>
      <c r="AH224" s="17" t="s">
        <v>1205</v>
      </c>
      <c r="AI224" s="17"/>
      <c r="AK224" s="45" t="e">
        <f>VLOOKUP(AH224,'Actor and Actress Success'!$A$1:$B$72,2,FALSE)</f>
        <v>#N/A</v>
      </c>
    </row>
    <row r="225" spans="1:37">
      <c r="A225">
        <v>225</v>
      </c>
      <c r="B225" s="8" t="s">
        <v>307</v>
      </c>
      <c r="C225" s="10">
        <v>2016</v>
      </c>
      <c r="D225" s="12">
        <v>42391</v>
      </c>
      <c r="E225" s="12"/>
      <c r="F225" s="10" t="s">
        <v>176</v>
      </c>
      <c r="G225" s="10" t="s">
        <v>176</v>
      </c>
      <c r="H225" s="22" t="s">
        <v>6</v>
      </c>
      <c r="I225" s="22">
        <v>1950</v>
      </c>
      <c r="J225" s="22">
        <v>78</v>
      </c>
      <c r="K225" s="10">
        <v>83</v>
      </c>
      <c r="L225" s="20">
        <v>680000000</v>
      </c>
      <c r="M225" s="20">
        <v>2099725000</v>
      </c>
      <c r="N225" s="20">
        <v>1234650000</v>
      </c>
      <c r="O225" s="20"/>
      <c r="P225" s="22" t="s">
        <v>1207</v>
      </c>
      <c r="Q225" s="22"/>
      <c r="R225" s="22" t="s">
        <v>1211</v>
      </c>
      <c r="S225" s="22"/>
      <c r="T225" s="22" t="s">
        <v>1850</v>
      </c>
      <c r="U225" s="22" t="s">
        <v>1207</v>
      </c>
      <c r="V225" s="22" t="s">
        <v>397</v>
      </c>
      <c r="W225" s="45">
        <f>VLOOKUP(V225,'Actor and Actress Success'!$A$1:$B$72,2,FALSE)</f>
        <v>44.117647058823529</v>
      </c>
      <c r="X225" s="35">
        <v>1</v>
      </c>
      <c r="Y225" s="35">
        <f>'Star Economic history'!AA6</f>
        <v>761950000</v>
      </c>
      <c r="Z225" s="22" t="s">
        <v>1208</v>
      </c>
      <c r="AA225" s="22"/>
      <c r="AB225" s="45" t="e">
        <f>VLOOKUP(Z225,'Actor and Actress Success'!$A$1:$B$72,2,FALSE)</f>
        <v>#N/A</v>
      </c>
      <c r="AC225" s="35">
        <v>1</v>
      </c>
      <c r="AD225" s="22" t="s">
        <v>1209</v>
      </c>
      <c r="AE225" s="22"/>
      <c r="AF225" s="45" t="e">
        <f>VLOOKUP(AD225,'Actor and Actress Success'!$A$1:$B$72,2,FALSE)</f>
        <v>#N/A</v>
      </c>
      <c r="AG225" s="35"/>
      <c r="AH225" s="22" t="s">
        <v>1210</v>
      </c>
      <c r="AI225" s="22"/>
      <c r="AK225" s="45" t="e">
        <f>VLOOKUP(AH225,'Actor and Actress Success'!$A$1:$B$72,2,FALSE)</f>
        <v>#N/A</v>
      </c>
    </row>
    <row r="226" spans="1:37">
      <c r="A226">
        <v>226</v>
      </c>
      <c r="B226" s="8" t="s">
        <v>308</v>
      </c>
      <c r="C226" s="10">
        <v>2003</v>
      </c>
      <c r="D226" s="12">
        <v>37814</v>
      </c>
      <c r="E226" s="12"/>
      <c r="F226" s="10" t="s">
        <v>176</v>
      </c>
      <c r="G226" s="10" t="s">
        <v>176</v>
      </c>
      <c r="H226" s="22" t="s">
        <v>6</v>
      </c>
      <c r="I226" s="22">
        <v>1650</v>
      </c>
      <c r="J226" s="22">
        <v>81</v>
      </c>
      <c r="K226" s="10">
        <v>60.91</v>
      </c>
      <c r="L226" s="20">
        <v>530000000</v>
      </c>
      <c r="M226" s="20">
        <v>1637800000</v>
      </c>
      <c r="N226" s="20">
        <v>1145616780</v>
      </c>
      <c r="O226" s="20"/>
      <c r="P226" s="17" t="s">
        <v>951</v>
      </c>
      <c r="Q226" s="17"/>
      <c r="R226" s="17" t="s">
        <v>900</v>
      </c>
      <c r="S226" s="17"/>
      <c r="T226" s="17" t="s">
        <v>1212</v>
      </c>
      <c r="U226" s="17" t="s">
        <v>1212</v>
      </c>
      <c r="V226" s="17" t="s">
        <v>1213</v>
      </c>
      <c r="W226" s="45" t="e">
        <f>VLOOKUP(V226,'Actor and Actress Success'!$A$1:$B$72,2,FALSE)</f>
        <v>#N/A</v>
      </c>
      <c r="X226" s="35">
        <v>1</v>
      </c>
      <c r="Y226" s="35"/>
      <c r="Z226" s="17" t="s">
        <v>1214</v>
      </c>
      <c r="AA226" s="17"/>
      <c r="AB226" s="45">
        <f>VLOOKUP(Z226,'Actor and Actress Success'!$A$1:$B$72,2,FALSE)</f>
        <v>35.714285714285715</v>
      </c>
      <c r="AC226" s="35">
        <v>1</v>
      </c>
      <c r="AD226" s="17" t="s">
        <v>1215</v>
      </c>
      <c r="AE226" s="17"/>
      <c r="AF226" s="45" t="e">
        <f>VLOOKUP(AD226,'Actor and Actress Success'!$A$1:$B$72,2,FALSE)</f>
        <v>#N/A</v>
      </c>
      <c r="AG226" s="35"/>
      <c r="AH226" s="17" t="s">
        <v>960</v>
      </c>
      <c r="AI226" s="17"/>
      <c r="AK226" s="45" t="e">
        <f>VLOOKUP(AH226,'Actor and Actress Success'!$A$1:$B$72,2,FALSE)</f>
        <v>#N/A</v>
      </c>
    </row>
    <row r="227" spans="1:37">
      <c r="A227">
        <v>227</v>
      </c>
      <c r="B227" s="8" t="s">
        <v>309</v>
      </c>
      <c r="C227" s="10">
        <v>2015</v>
      </c>
      <c r="D227" s="12">
        <v>42174</v>
      </c>
      <c r="E227" s="12"/>
      <c r="F227" s="10" t="s">
        <v>176</v>
      </c>
      <c r="G227" s="10" t="s">
        <v>176</v>
      </c>
      <c r="H227" s="22" t="s">
        <v>6</v>
      </c>
      <c r="I227" s="22">
        <v>2500</v>
      </c>
      <c r="J227" s="22">
        <v>82</v>
      </c>
      <c r="K227" s="10">
        <v>45.25</v>
      </c>
      <c r="L227" s="20">
        <v>650000000</v>
      </c>
      <c r="M227" s="20">
        <v>1583195000</v>
      </c>
      <c r="N227" s="20">
        <v>1127926360</v>
      </c>
      <c r="O227" s="20"/>
      <c r="P227" s="17" t="s">
        <v>1216</v>
      </c>
      <c r="Q227" s="17"/>
      <c r="R227" s="17" t="s">
        <v>1217</v>
      </c>
      <c r="S227" s="17"/>
      <c r="T227" s="17" t="s">
        <v>1221</v>
      </c>
      <c r="U227" s="17" t="s">
        <v>1216</v>
      </c>
      <c r="V227" s="17" t="s">
        <v>1218</v>
      </c>
      <c r="W227" s="45" t="e">
        <f>VLOOKUP(V227,'Actor and Actress Success'!$A$1:$B$72,2,FALSE)</f>
        <v>#N/A</v>
      </c>
      <c r="X227" s="35">
        <v>1</v>
      </c>
      <c r="Y227" s="35"/>
      <c r="Z227" s="17" t="s">
        <v>1220</v>
      </c>
      <c r="AA227" s="17"/>
      <c r="AB227" s="45">
        <f>VLOOKUP(Z227,'Actor and Actress Success'!$A$1:$B$72,2,FALSE)</f>
        <v>88.888888888888886</v>
      </c>
      <c r="AC227" s="35">
        <v>1</v>
      </c>
      <c r="AD227" s="17" t="s">
        <v>1187</v>
      </c>
      <c r="AE227" s="17"/>
      <c r="AF227" s="45">
        <f>VLOOKUP(AD227,'Actor and Actress Success'!$A$1:$B$72,2,FALSE)</f>
        <v>45.454545454545453</v>
      </c>
      <c r="AG227" s="35"/>
      <c r="AH227" s="17" t="s">
        <v>1219</v>
      </c>
      <c r="AI227" s="17"/>
      <c r="AK227" s="45" t="e">
        <f>VLOOKUP(AH227,'Actor and Actress Success'!$A$1:$B$72,2,FALSE)</f>
        <v>#N/A</v>
      </c>
    </row>
    <row r="228" spans="1:37">
      <c r="A228">
        <v>228</v>
      </c>
      <c r="B228" s="8" t="s">
        <v>310</v>
      </c>
      <c r="C228" s="10">
        <v>2013</v>
      </c>
      <c r="D228" s="12">
        <v>41530</v>
      </c>
      <c r="E228" s="12"/>
      <c r="F228" s="10" t="s">
        <v>176</v>
      </c>
      <c r="G228" s="10" t="s">
        <v>176</v>
      </c>
      <c r="H228" s="22" t="s">
        <v>439</v>
      </c>
      <c r="I228" s="22">
        <v>2100</v>
      </c>
      <c r="J228" s="22">
        <v>83</v>
      </c>
      <c r="K228" s="10">
        <v>33.33</v>
      </c>
      <c r="L228" s="20">
        <v>340000000</v>
      </c>
      <c r="M228" s="20">
        <v>1305110000</v>
      </c>
      <c r="N228" s="20">
        <v>1124314180</v>
      </c>
      <c r="O228" s="20"/>
      <c r="P228" s="17" t="s">
        <v>404</v>
      </c>
      <c r="Q228" s="17"/>
      <c r="R228" s="17" t="s">
        <v>1222</v>
      </c>
      <c r="S228" s="17"/>
      <c r="T228" s="17" t="s">
        <v>1851</v>
      </c>
      <c r="U228" s="17" t="s">
        <v>969</v>
      </c>
      <c r="V228" s="17" t="s">
        <v>1035</v>
      </c>
      <c r="W228" s="45" t="e">
        <f>VLOOKUP(V228,'Actor and Actress Success'!$A$1:$B$72,2,FALSE)</f>
        <v>#N/A</v>
      </c>
      <c r="X228" s="35">
        <v>1</v>
      </c>
      <c r="Y228" s="35"/>
      <c r="Z228" s="17" t="s">
        <v>1036</v>
      </c>
      <c r="AA228" s="17"/>
      <c r="AB228" s="45" t="e">
        <f>VLOOKUP(Z228,'Actor and Actress Success'!$A$1:$B$72,2,FALSE)</f>
        <v>#N/A</v>
      </c>
      <c r="AC228" s="35">
        <v>1</v>
      </c>
      <c r="AD228" s="17" t="s">
        <v>928</v>
      </c>
      <c r="AE228" s="17"/>
      <c r="AF228" s="45" t="e">
        <f>VLOOKUP(AD228,'Actor and Actress Success'!$A$1:$B$72,2,FALSE)</f>
        <v>#N/A</v>
      </c>
      <c r="AG228" s="35">
        <v>1</v>
      </c>
      <c r="AH228" s="17" t="s">
        <v>923</v>
      </c>
      <c r="AI228" s="17"/>
      <c r="AJ228" s="34">
        <v>1</v>
      </c>
      <c r="AK228" s="45" t="e">
        <f>VLOOKUP(AH228,'Actor and Actress Success'!$A$1:$B$72,2,FALSE)</f>
        <v>#N/A</v>
      </c>
    </row>
    <row r="229" spans="1:37">
      <c r="A229">
        <v>229</v>
      </c>
      <c r="B229" s="8" t="s">
        <v>311</v>
      </c>
      <c r="C229" s="10">
        <v>2012</v>
      </c>
      <c r="D229" s="12">
        <v>41166</v>
      </c>
      <c r="E229" s="12"/>
      <c r="F229" s="10" t="s">
        <v>176</v>
      </c>
      <c r="G229" s="10" t="s">
        <v>176</v>
      </c>
      <c r="H229" s="22" t="s">
        <v>6</v>
      </c>
      <c r="I229" s="22">
        <v>1250</v>
      </c>
      <c r="J229" s="22">
        <v>84</v>
      </c>
      <c r="K229" s="10">
        <v>57.57</v>
      </c>
      <c r="L229" s="20">
        <v>500000000</v>
      </c>
      <c r="M229" s="20">
        <v>1747380000</v>
      </c>
      <c r="N229" s="20">
        <v>1115793140</v>
      </c>
      <c r="O229" s="20"/>
      <c r="P229" s="17" t="s">
        <v>936</v>
      </c>
      <c r="Q229" s="17"/>
      <c r="R229" s="17" t="s">
        <v>801</v>
      </c>
      <c r="S229" s="17"/>
      <c r="T229" s="17" t="s">
        <v>936</v>
      </c>
      <c r="U229" s="17" t="s">
        <v>936</v>
      </c>
      <c r="V229" s="17" t="s">
        <v>912</v>
      </c>
      <c r="W229" s="45">
        <f>VLOOKUP(V229,'Actor and Actress Success'!$A$1:$B$72,2,FALSE)</f>
        <v>56.25</v>
      </c>
      <c r="X229" s="35">
        <v>1</v>
      </c>
      <c r="Y229" s="35"/>
      <c r="Z229" s="17" t="s">
        <v>803</v>
      </c>
      <c r="AA229" s="17"/>
      <c r="AB229" s="45">
        <f>VLOOKUP(Z229,'Actor and Actress Success'!$A$1:$B$72,2,FALSE)</f>
        <v>45</v>
      </c>
      <c r="AC229" s="35">
        <v>1</v>
      </c>
      <c r="AD229" s="17" t="s">
        <v>1203</v>
      </c>
      <c r="AE229" s="17"/>
      <c r="AF229" s="45" t="e">
        <f>VLOOKUP(AD229,'Actor and Actress Success'!$A$1:$B$72,2,FALSE)</f>
        <v>#N/A</v>
      </c>
      <c r="AG229" s="35">
        <v>1</v>
      </c>
      <c r="AH229" s="17" t="s">
        <v>1224</v>
      </c>
      <c r="AI229" s="17"/>
      <c r="AK229" s="45" t="e">
        <f>VLOOKUP(AH229,'Actor and Actress Success'!$A$1:$B$72,2,FALSE)</f>
        <v>#N/A</v>
      </c>
    </row>
    <row r="230" spans="1:37">
      <c r="A230">
        <v>230</v>
      </c>
      <c r="B230" s="8" t="s">
        <v>312</v>
      </c>
      <c r="C230" s="10">
        <v>2011</v>
      </c>
      <c r="D230" s="12">
        <v>40879</v>
      </c>
      <c r="E230" s="12"/>
      <c r="F230" s="10" t="s">
        <v>176</v>
      </c>
      <c r="G230" s="10" t="s">
        <v>176</v>
      </c>
      <c r="H230" s="22" t="s">
        <v>6</v>
      </c>
      <c r="I230" s="22">
        <v>1600</v>
      </c>
      <c r="J230" s="22">
        <v>86</v>
      </c>
      <c r="K230" s="10">
        <v>56</v>
      </c>
      <c r="L230" s="20">
        <v>280000000</v>
      </c>
      <c r="M230" s="20">
        <v>1169997500</v>
      </c>
      <c r="N230" s="1">
        <v>1060128520</v>
      </c>
      <c r="O230" s="1"/>
      <c r="P230" s="17" t="s">
        <v>506</v>
      </c>
      <c r="Q230" s="17"/>
      <c r="R230" s="17" t="s">
        <v>805</v>
      </c>
      <c r="S230" s="17"/>
      <c r="T230" s="17" t="s">
        <v>1125</v>
      </c>
      <c r="U230" s="17" t="s">
        <v>1125</v>
      </c>
      <c r="V230" s="17" t="s">
        <v>396</v>
      </c>
      <c r="W230" s="45" t="e">
        <f>VLOOKUP(V230,'Actor and Actress Success'!$A$1:$B$72,2,FALSE)</f>
        <v>#N/A</v>
      </c>
      <c r="X230" s="35">
        <v>1</v>
      </c>
      <c r="Y230" s="35"/>
      <c r="Z230" s="17" t="s">
        <v>810</v>
      </c>
      <c r="AA230" s="17"/>
      <c r="AB230" s="45">
        <f>VLOOKUP(Z230,'Actor and Actress Success'!$A$1:$B$72,2,FALSE)</f>
        <v>40.909090909090914</v>
      </c>
      <c r="AC230" s="35">
        <v>1</v>
      </c>
      <c r="AD230" s="17" t="s">
        <v>931</v>
      </c>
      <c r="AE230" s="17"/>
      <c r="AF230" s="45">
        <f>VLOOKUP(AD230,'Actor and Actress Success'!$A$1:$B$72,2,FALSE)</f>
        <v>31.428571428571427</v>
      </c>
      <c r="AG230" s="35">
        <v>1</v>
      </c>
      <c r="AH230" s="17" t="s">
        <v>909</v>
      </c>
      <c r="AI230" s="17"/>
      <c r="AK230" s="45" t="e">
        <f>VLOOKUP(AH230,'Actor and Actress Success'!$A$1:$B$72,2,FALSE)</f>
        <v>#N/A</v>
      </c>
    </row>
    <row r="231" spans="1:37">
      <c r="A231">
        <v>231</v>
      </c>
      <c r="B231" s="8" t="s">
        <v>313</v>
      </c>
      <c r="C231" s="10">
        <v>2014</v>
      </c>
      <c r="D231" s="12">
        <v>41817</v>
      </c>
      <c r="E231" s="12"/>
      <c r="F231" s="10" t="s">
        <v>176</v>
      </c>
      <c r="G231" s="10" t="s">
        <v>176</v>
      </c>
      <c r="H231" s="22" t="s">
        <v>408</v>
      </c>
      <c r="I231" s="22">
        <v>2500</v>
      </c>
      <c r="J231" s="22">
        <v>88</v>
      </c>
      <c r="K231" s="10">
        <v>52.32</v>
      </c>
      <c r="L231" s="20">
        <v>390000000</v>
      </c>
      <c r="M231" s="1">
        <v>1531800000</v>
      </c>
      <c r="N231" s="1">
        <v>1040956180</v>
      </c>
      <c r="O231" s="1"/>
      <c r="P231" s="17" t="s">
        <v>1185</v>
      </c>
      <c r="Q231" s="17"/>
      <c r="R231" s="17" t="s">
        <v>1227</v>
      </c>
      <c r="S231" s="17"/>
      <c r="T231" s="17" t="s">
        <v>1223</v>
      </c>
      <c r="U231" s="17" t="s">
        <v>1223</v>
      </c>
      <c r="V231" s="17" t="s">
        <v>928</v>
      </c>
      <c r="W231" s="45" t="e">
        <f>VLOOKUP(V231,'Actor and Actress Success'!$A$1:$B$72,2,FALSE)</f>
        <v>#N/A</v>
      </c>
      <c r="X231" s="35">
        <v>1</v>
      </c>
      <c r="Y231" s="35"/>
      <c r="Z231" s="17" t="s">
        <v>1225</v>
      </c>
      <c r="AA231" s="17"/>
      <c r="AB231" s="45" t="e">
        <f>VLOOKUP(Z231,'Actor and Actress Success'!$A$1:$B$72,2,FALSE)</f>
        <v>#N/A</v>
      </c>
      <c r="AC231" s="35">
        <v>1</v>
      </c>
      <c r="AD231" s="17" t="s">
        <v>1187</v>
      </c>
      <c r="AE231" s="17"/>
      <c r="AF231" s="45">
        <f>VLOOKUP(AD231,'Actor and Actress Success'!$A$1:$B$72,2,FALSE)</f>
        <v>45.454545454545453</v>
      </c>
      <c r="AG231" s="35">
        <v>1</v>
      </c>
      <c r="AH231" s="17" t="s">
        <v>1226</v>
      </c>
      <c r="AI231" s="17"/>
      <c r="AK231" s="45" t="e">
        <f>VLOOKUP(AH231,'Actor and Actress Success'!$A$1:$B$72,2,FALSE)</f>
        <v>#N/A</v>
      </c>
    </row>
    <row r="232" spans="1:37">
      <c r="A232">
        <v>232</v>
      </c>
      <c r="B232" s="8" t="s">
        <v>314</v>
      </c>
      <c r="C232" s="10">
        <v>2014</v>
      </c>
      <c r="D232" s="12">
        <v>41747</v>
      </c>
      <c r="E232" s="12"/>
      <c r="F232" s="10" t="s">
        <v>176</v>
      </c>
      <c r="G232" s="10" t="s">
        <v>176</v>
      </c>
      <c r="H232" s="22" t="s">
        <v>56</v>
      </c>
      <c r="I232" s="22">
        <v>1900</v>
      </c>
      <c r="J232" s="22">
        <v>91</v>
      </c>
      <c r="K232" s="10">
        <v>56.07</v>
      </c>
      <c r="L232" s="1">
        <v>450000000</v>
      </c>
      <c r="M232" s="1">
        <v>1729900000</v>
      </c>
      <c r="N232" s="1">
        <v>1018600000</v>
      </c>
      <c r="O232" s="1"/>
      <c r="P232" s="17" t="s">
        <v>1185</v>
      </c>
      <c r="Q232" s="17"/>
      <c r="R232" s="17" t="s">
        <v>1227</v>
      </c>
      <c r="S232" s="17"/>
      <c r="T232" s="17" t="s">
        <v>1223</v>
      </c>
      <c r="U232" s="17" t="s">
        <v>1223</v>
      </c>
      <c r="V232" s="17" t="s">
        <v>1333</v>
      </c>
      <c r="W232" s="45" t="e">
        <f>VLOOKUP(V232,'Actor and Actress Success'!$A$1:$B$72,2,FALSE)</f>
        <v>#N/A</v>
      </c>
      <c r="X232" s="35">
        <v>1</v>
      </c>
      <c r="Y232" s="35"/>
      <c r="Z232" s="17" t="s">
        <v>1284</v>
      </c>
      <c r="AA232" s="17"/>
      <c r="AB232" s="45">
        <f>VLOOKUP(Z232,'Actor and Actress Success'!$A$1:$B$72,2,FALSE)</f>
        <v>77.777777777777786</v>
      </c>
      <c r="AC232" s="35">
        <v>1</v>
      </c>
      <c r="AD232" s="17"/>
      <c r="AE232" s="17"/>
      <c r="AF232" s="45" t="e">
        <f>VLOOKUP(AD232,'Actor and Actress Success'!$A$1:$B$72,2,FALSE)</f>
        <v>#N/A</v>
      </c>
      <c r="AG232" s="35"/>
      <c r="AH232" s="17"/>
      <c r="AI232" s="17"/>
      <c r="AK232" s="45" t="e">
        <f>VLOOKUP(AH232,'Actor and Actress Success'!$A$1:$B$72,2,FALSE)</f>
        <v>#N/A</v>
      </c>
    </row>
    <row r="233" spans="1:37">
      <c r="A233">
        <v>233</v>
      </c>
      <c r="B233" s="8" t="s">
        <v>315</v>
      </c>
      <c r="C233" s="10">
        <v>2012</v>
      </c>
      <c r="D233" s="12">
        <v>41180</v>
      </c>
      <c r="E233" s="12"/>
      <c r="F233" s="10" t="s">
        <v>176</v>
      </c>
      <c r="G233" s="10" t="s">
        <v>176</v>
      </c>
      <c r="H233" s="22" t="s">
        <v>439</v>
      </c>
      <c r="I233" s="22">
        <v>1200</v>
      </c>
      <c r="J233" s="22">
        <v>92</v>
      </c>
      <c r="K233" s="10">
        <v>79.78</v>
      </c>
      <c r="L233" s="1">
        <v>250000000</v>
      </c>
      <c r="M233" s="1">
        <v>1215775000</v>
      </c>
      <c r="N233" s="1">
        <v>1011317780</v>
      </c>
      <c r="O233" s="1"/>
      <c r="P233" s="17" t="s">
        <v>1228</v>
      </c>
      <c r="Q233" s="17"/>
      <c r="R233" s="17" t="s">
        <v>1229</v>
      </c>
      <c r="S233" s="17"/>
      <c r="U233" s="17" t="s">
        <v>1230</v>
      </c>
      <c r="V233" s="17" t="s">
        <v>555</v>
      </c>
      <c r="W233" s="45">
        <f>VLOOKUP(V233,'Actor and Actress Success'!$A$1:$B$72,2,FALSE)</f>
        <v>11.607142857142858</v>
      </c>
      <c r="X233" s="35">
        <v>1</v>
      </c>
      <c r="Y233" s="35">
        <f>'Star Economic history'!W9</f>
        <v>0</v>
      </c>
      <c r="Z233" s="17" t="s">
        <v>397</v>
      </c>
      <c r="AA233" s="17">
        <f>'Star Economic history'!W6</f>
        <v>412541666.66666669</v>
      </c>
      <c r="AB233" s="45">
        <f>VLOOKUP(Z233,'Actor and Actress Success'!$A$1:$B$72,2,FALSE)</f>
        <v>44.117647058823529</v>
      </c>
      <c r="AC233" s="35">
        <v>1</v>
      </c>
      <c r="AD233" s="17" t="s">
        <v>453</v>
      </c>
      <c r="AE233" s="17"/>
      <c r="AF233" s="45" t="e">
        <f>VLOOKUP(AD233,'Actor and Actress Success'!$A$1:$B$72,2,FALSE)</f>
        <v>#N/A</v>
      </c>
      <c r="AG233" s="35">
        <v>1</v>
      </c>
      <c r="AH233" s="17" t="s">
        <v>546</v>
      </c>
      <c r="AI233" s="17"/>
      <c r="AK233" s="45" t="e">
        <f>VLOOKUP(AH233,'Actor and Actress Success'!$A$1:$B$72,2,FALSE)</f>
        <v>#N/A</v>
      </c>
    </row>
    <row r="234" spans="1:37">
      <c r="A234">
        <v>234</v>
      </c>
      <c r="B234" s="8" t="s">
        <v>316</v>
      </c>
      <c r="C234" s="10">
        <v>2012</v>
      </c>
      <c r="D234" s="12">
        <v>41159</v>
      </c>
      <c r="E234" s="12"/>
      <c r="F234" s="10" t="s">
        <v>176</v>
      </c>
      <c r="G234" s="10" t="s">
        <v>176</v>
      </c>
      <c r="H234" s="22" t="s">
        <v>757</v>
      </c>
      <c r="I234" s="22">
        <v>2100</v>
      </c>
      <c r="J234" s="22">
        <v>94</v>
      </c>
      <c r="K234" s="10">
        <v>51.25</v>
      </c>
      <c r="L234" s="1">
        <v>310000000</v>
      </c>
      <c r="M234" s="1">
        <v>952662500</v>
      </c>
      <c r="N234" s="1">
        <v>881464540</v>
      </c>
      <c r="O234" s="1"/>
      <c r="P234" s="17" t="s">
        <v>520</v>
      </c>
      <c r="Q234" s="17"/>
      <c r="R234" s="17" t="s">
        <v>1232</v>
      </c>
      <c r="S234" s="17"/>
      <c r="T234" s="17" t="s">
        <v>1186</v>
      </c>
      <c r="U234" s="17" t="s">
        <v>1186</v>
      </c>
      <c r="V234" s="17" t="s">
        <v>818</v>
      </c>
      <c r="W234" s="45">
        <f>VLOOKUP(V234,'Actor and Actress Success'!$A$1:$B$72,2,FALSE)</f>
        <v>30</v>
      </c>
      <c r="X234" s="35">
        <v>1</v>
      </c>
      <c r="Y234" s="35"/>
      <c r="Z234" s="17" t="s">
        <v>931</v>
      </c>
      <c r="AA234" s="17"/>
      <c r="AB234" s="45">
        <f>VLOOKUP(Z234,'Actor and Actress Success'!$A$1:$B$72,2,FALSE)</f>
        <v>31.428571428571427</v>
      </c>
      <c r="AC234" s="35">
        <v>1</v>
      </c>
      <c r="AD234" s="17" t="s">
        <v>1205</v>
      </c>
      <c r="AE234" s="17"/>
      <c r="AF234" s="45" t="e">
        <f>VLOOKUP(AD234,'Actor and Actress Success'!$A$1:$B$72,2,FALSE)</f>
        <v>#N/A</v>
      </c>
      <c r="AG234" s="35">
        <v>1</v>
      </c>
      <c r="AH234" s="17" t="s">
        <v>1231</v>
      </c>
      <c r="AI234" s="17"/>
      <c r="AK234" s="45" t="e">
        <f>VLOOKUP(AH234,'Actor and Actress Success'!$A$1:$B$72,2,FALSE)</f>
        <v>#N/A</v>
      </c>
    </row>
    <row r="235" spans="1:37">
      <c r="A235">
        <v>235</v>
      </c>
      <c r="B235" s="8" t="s">
        <v>317</v>
      </c>
      <c r="C235" s="10">
        <v>2011</v>
      </c>
      <c r="D235" s="12">
        <v>40732</v>
      </c>
      <c r="E235" s="12"/>
      <c r="F235" s="10" t="s">
        <v>176</v>
      </c>
      <c r="G235" s="10" t="s">
        <v>176</v>
      </c>
      <c r="H235" s="22" t="s">
        <v>408</v>
      </c>
      <c r="I235" s="22">
        <v>1300</v>
      </c>
      <c r="J235" s="22">
        <v>99</v>
      </c>
      <c r="K235" s="10">
        <v>65</v>
      </c>
      <c r="L235" s="1">
        <v>130000000</v>
      </c>
      <c r="M235" s="1">
        <v>678450000</v>
      </c>
      <c r="N235" s="1">
        <v>614626320</v>
      </c>
      <c r="O235" s="1"/>
      <c r="P235" s="17" t="s">
        <v>1185</v>
      </c>
      <c r="Q235" s="17"/>
      <c r="R235" s="17" t="s">
        <v>1235</v>
      </c>
      <c r="S235" s="17"/>
      <c r="T235" s="17" t="s">
        <v>816</v>
      </c>
      <c r="U235" s="17" t="s">
        <v>1186</v>
      </c>
      <c r="V235" s="17" t="s">
        <v>931</v>
      </c>
      <c r="W235" s="45">
        <f>VLOOKUP(V235,'Actor and Actress Success'!$A$1:$B$72,2,FALSE)</f>
        <v>31.428571428571427</v>
      </c>
      <c r="X235" s="35">
        <v>1</v>
      </c>
      <c r="Y235" s="35"/>
      <c r="Z235" s="17" t="s">
        <v>1170</v>
      </c>
      <c r="AA235" s="17"/>
      <c r="AB235" s="45" t="e">
        <f>VLOOKUP(Z235,'Actor and Actress Success'!$A$1:$B$72,2,FALSE)</f>
        <v>#N/A</v>
      </c>
      <c r="AC235" s="35">
        <v>1</v>
      </c>
      <c r="AD235" s="17" t="s">
        <v>1233</v>
      </c>
      <c r="AE235" s="17"/>
      <c r="AF235" s="45" t="e">
        <f>VLOOKUP(AD235,'Actor and Actress Success'!$A$1:$B$72,2,FALSE)</f>
        <v>#N/A</v>
      </c>
      <c r="AG235" s="35"/>
      <c r="AH235" s="17" t="s">
        <v>1234</v>
      </c>
      <c r="AI235" s="17"/>
      <c r="AK235" s="45" t="e">
        <f>VLOOKUP(AH235,'Actor and Actress Success'!$A$1:$B$72,2,FALSE)</f>
        <v>#N/A</v>
      </c>
    </row>
    <row r="236" spans="1:37">
      <c r="A236">
        <v>236</v>
      </c>
      <c r="B236" s="8" t="s">
        <v>318</v>
      </c>
      <c r="C236" s="10">
        <v>2015</v>
      </c>
      <c r="D236" s="12">
        <v>42293</v>
      </c>
      <c r="E236" s="12"/>
      <c r="F236" s="10" t="s">
        <v>176</v>
      </c>
      <c r="G236" s="10" t="s">
        <v>176</v>
      </c>
      <c r="H236" s="22" t="s">
        <v>439</v>
      </c>
      <c r="I236" s="22">
        <v>1400</v>
      </c>
      <c r="J236" s="22">
        <v>100</v>
      </c>
      <c r="K236" s="10">
        <v>47.73</v>
      </c>
      <c r="L236" s="1">
        <v>220000000</v>
      </c>
      <c r="M236" s="20">
        <v>881767500</v>
      </c>
      <c r="N236" s="20">
        <v>603825000</v>
      </c>
      <c r="O236" s="20"/>
      <c r="P236" s="12" t="s">
        <v>1236</v>
      </c>
      <c r="Q236" s="12"/>
      <c r="R236" s="12" t="s">
        <v>1241</v>
      </c>
      <c r="S236" s="12"/>
      <c r="T236" s="12" t="s">
        <v>1242</v>
      </c>
      <c r="U236" s="12" t="s">
        <v>1236</v>
      </c>
      <c r="V236" s="12" t="s">
        <v>1237</v>
      </c>
      <c r="W236" s="45" t="e">
        <f>VLOOKUP(V236,'Actor and Actress Success'!$A$1:$B$72,2,FALSE)</f>
        <v>#N/A</v>
      </c>
      <c r="X236" s="35">
        <v>1</v>
      </c>
      <c r="Y236" s="35"/>
      <c r="Z236" s="12" t="s">
        <v>1238</v>
      </c>
      <c r="AA236" s="12"/>
      <c r="AB236" s="45" t="e">
        <f>VLOOKUP(Z236,'Actor and Actress Success'!$A$1:$B$72,2,FALSE)</f>
        <v>#N/A</v>
      </c>
      <c r="AC236" s="35">
        <v>1</v>
      </c>
      <c r="AD236" s="12" t="s">
        <v>1239</v>
      </c>
      <c r="AE236" s="12"/>
      <c r="AF236" s="45" t="e">
        <f>VLOOKUP(AD236,'Actor and Actress Success'!$A$1:$B$72,2,FALSE)</f>
        <v>#N/A</v>
      </c>
      <c r="AG236" s="36"/>
      <c r="AH236" s="12" t="s">
        <v>1240</v>
      </c>
      <c r="AI236" s="12"/>
      <c r="AK236" s="45" t="e">
        <f>VLOOKUP(AH236,'Actor and Actress Success'!$A$1:$B$72,2,FALSE)</f>
        <v>#N/A</v>
      </c>
    </row>
    <row r="237" spans="1:37">
      <c r="A237">
        <v>237</v>
      </c>
      <c r="B237" s="8" t="s">
        <v>319</v>
      </c>
      <c r="C237" s="10">
        <v>2015</v>
      </c>
      <c r="D237" s="12">
        <v>42320</v>
      </c>
      <c r="E237" s="12"/>
      <c r="F237" s="10" t="s">
        <v>177</v>
      </c>
      <c r="G237" s="10" t="s">
        <v>177</v>
      </c>
      <c r="H237" s="22" t="s">
        <v>6</v>
      </c>
      <c r="I237" s="22">
        <v>4200</v>
      </c>
      <c r="J237" s="22">
        <v>103</v>
      </c>
      <c r="K237" s="10">
        <v>58.57</v>
      </c>
      <c r="L237" s="1">
        <v>1800000000</v>
      </c>
      <c r="M237" s="20">
        <v>3654575000</v>
      </c>
      <c r="N237" s="20">
        <v>2108309060</v>
      </c>
      <c r="O237" s="20"/>
      <c r="P237" s="17" t="s">
        <v>392</v>
      </c>
      <c r="Q237" s="17">
        <f>724650000+391750000+177950000+315625000</f>
        <v>1609975000</v>
      </c>
      <c r="R237" s="17" t="s">
        <v>950</v>
      </c>
      <c r="S237" s="17"/>
      <c r="T237" s="17" t="s">
        <v>392</v>
      </c>
      <c r="U237" s="17" t="s">
        <v>392</v>
      </c>
      <c r="V237" s="17" t="s">
        <v>16</v>
      </c>
      <c r="W237" s="45">
        <f>VLOOKUP(V237,'Actor and Actress Success'!$A$1:$B$72,2,FALSE)</f>
        <v>50.819672131147541</v>
      </c>
      <c r="X237" s="35">
        <v>1</v>
      </c>
      <c r="Y237" s="35"/>
      <c r="Z237" s="17" t="s">
        <v>1214</v>
      </c>
      <c r="AA237" s="17"/>
      <c r="AB237" s="45">
        <f>VLOOKUP(Z237,'Actor and Actress Success'!$A$1:$B$72,2,FALSE)</f>
        <v>35.714285714285715</v>
      </c>
      <c r="AC237" s="35">
        <v>1</v>
      </c>
      <c r="AD237" s="17" t="s">
        <v>1032</v>
      </c>
      <c r="AE237" s="17"/>
      <c r="AF237" s="45" t="e">
        <f>VLOOKUP(AD237,'Actor and Actress Success'!$A$1:$B$72,2,FALSE)</f>
        <v>#N/A</v>
      </c>
      <c r="AG237" s="35"/>
      <c r="AH237" s="17" t="s">
        <v>411</v>
      </c>
      <c r="AI237" s="17"/>
      <c r="AK237" s="45" t="e">
        <f>VLOOKUP(AH237,'Actor and Actress Success'!$A$1:$B$72,2,FALSE)</f>
        <v>#N/A</v>
      </c>
    </row>
    <row r="238" spans="1:37">
      <c r="A238">
        <v>238</v>
      </c>
      <c r="B238" s="8" t="s">
        <v>320</v>
      </c>
      <c r="C238" s="10">
        <v>2015</v>
      </c>
      <c r="D238" s="12">
        <v>42356</v>
      </c>
      <c r="E238" s="12"/>
      <c r="F238" s="10" t="s">
        <v>177</v>
      </c>
      <c r="G238" s="10" t="s">
        <v>177</v>
      </c>
      <c r="H238" s="22" t="s">
        <v>6</v>
      </c>
      <c r="I238" s="22">
        <v>2700</v>
      </c>
      <c r="J238" s="22">
        <v>105</v>
      </c>
      <c r="K238" s="10">
        <v>63.27</v>
      </c>
      <c r="L238" s="1">
        <v>1450000000</v>
      </c>
      <c r="M238" s="20">
        <v>3582025000</v>
      </c>
      <c r="N238" s="20">
        <v>1837500000</v>
      </c>
      <c r="O238" s="20"/>
      <c r="P238" s="17" t="s">
        <v>491</v>
      </c>
      <c r="Q238" s="17"/>
      <c r="R238" s="17" t="s">
        <v>491</v>
      </c>
      <c r="S238" s="17"/>
      <c r="T238" s="17" t="s">
        <v>1246</v>
      </c>
      <c r="U238" s="17" t="s">
        <v>1243</v>
      </c>
      <c r="V238" s="37" t="s">
        <v>1244</v>
      </c>
      <c r="W238" s="45">
        <f>VLOOKUP(V238,'Actor and Actress Success'!$A$1:$B$72,2,FALSE)</f>
        <v>55.555555555555557</v>
      </c>
      <c r="X238" s="35">
        <v>1</v>
      </c>
      <c r="Y238" s="35"/>
      <c r="Z238" s="37" t="s">
        <v>806</v>
      </c>
      <c r="AA238" s="37"/>
      <c r="AB238" s="45">
        <f>VLOOKUP(Z238,'Actor and Actress Success'!$A$1:$B$72,2,FALSE)</f>
        <v>57.142857142857139</v>
      </c>
      <c r="AC238" s="35">
        <v>1</v>
      </c>
      <c r="AD238" s="17" t="s">
        <v>803</v>
      </c>
      <c r="AE238" s="17"/>
      <c r="AF238" s="45">
        <f>VLOOKUP(AD238,'Actor and Actress Success'!$A$1:$B$72,2,FALSE)</f>
        <v>45</v>
      </c>
      <c r="AG238" s="35"/>
      <c r="AH238" s="17" t="s">
        <v>1245</v>
      </c>
      <c r="AI238" s="17"/>
      <c r="AK238" s="45" t="e">
        <f>VLOOKUP(AH238,'Actor and Actress Success'!$A$1:$B$72,2,FALSE)</f>
        <v>#N/A</v>
      </c>
    </row>
    <row r="239" spans="1:37">
      <c r="A239">
        <v>239</v>
      </c>
      <c r="B239" s="8" t="s">
        <v>321</v>
      </c>
      <c r="C239" s="10">
        <v>2011</v>
      </c>
      <c r="D239" s="12">
        <v>40842</v>
      </c>
      <c r="E239" s="12"/>
      <c r="F239" s="10" t="s">
        <v>177</v>
      </c>
      <c r="G239" s="10" t="s">
        <v>177</v>
      </c>
      <c r="H239" s="22" t="s">
        <v>50</v>
      </c>
      <c r="I239" s="22">
        <v>2900</v>
      </c>
      <c r="J239" s="22">
        <v>110</v>
      </c>
      <c r="K239" s="10">
        <v>44.2</v>
      </c>
      <c r="L239" s="1">
        <v>1300000000</v>
      </c>
      <c r="M239" s="20">
        <v>2073862500</v>
      </c>
      <c r="N239" s="20">
        <v>1495813000</v>
      </c>
      <c r="O239" s="20"/>
      <c r="P239" s="17" t="s">
        <v>1247</v>
      </c>
      <c r="Q239" s="17"/>
      <c r="R239" s="17" t="s">
        <v>805</v>
      </c>
      <c r="S239" s="17"/>
      <c r="T239" s="17" t="s">
        <v>1249</v>
      </c>
      <c r="U239" s="17" t="s">
        <v>1247</v>
      </c>
      <c r="V239" s="17" t="s">
        <v>58</v>
      </c>
      <c r="W239" s="45">
        <f>VLOOKUP(V239,'Actor and Actress Success'!$A$1:$B$72,2,FALSE)</f>
        <v>66.666666666666657</v>
      </c>
      <c r="X239" s="35">
        <v>1</v>
      </c>
      <c r="Y239" s="35"/>
      <c r="Z239" s="17" t="s">
        <v>788</v>
      </c>
      <c r="AA239" s="17"/>
      <c r="AB239" s="45">
        <f>VLOOKUP(Z239,'Actor and Actress Success'!$A$1:$B$72,2,FALSE)</f>
        <v>45.652173913043477</v>
      </c>
      <c r="AC239" s="35">
        <v>1</v>
      </c>
      <c r="AD239" s="17" t="s">
        <v>807</v>
      </c>
      <c r="AE239" s="17"/>
      <c r="AF239" s="45" t="e">
        <f>VLOOKUP(AD239,'Actor and Actress Success'!$A$1:$B$72,2,FALSE)</f>
        <v>#N/A</v>
      </c>
      <c r="AG239" s="35"/>
      <c r="AH239" s="17" t="s">
        <v>1248</v>
      </c>
      <c r="AI239" s="17"/>
      <c r="AK239" s="45" t="e">
        <f>VLOOKUP(AH239,'Actor and Actress Success'!$A$1:$B$72,2,FALSE)</f>
        <v>#N/A</v>
      </c>
    </row>
    <row r="240" spans="1:37">
      <c r="A240">
        <v>240</v>
      </c>
      <c r="B240" s="8" t="s">
        <v>322</v>
      </c>
      <c r="C240" s="10">
        <v>2011</v>
      </c>
      <c r="D240" s="12">
        <v>40900</v>
      </c>
      <c r="E240" s="12"/>
      <c r="F240" s="10" t="s">
        <v>177</v>
      </c>
      <c r="G240" s="10" t="s">
        <v>177</v>
      </c>
      <c r="H240" s="22" t="s">
        <v>50</v>
      </c>
      <c r="I240" s="22">
        <v>2850</v>
      </c>
      <c r="J240" s="22">
        <v>112</v>
      </c>
      <c r="K240" s="10">
        <v>54.27</v>
      </c>
      <c r="L240" s="1">
        <v>760000000</v>
      </c>
      <c r="M240" s="1">
        <v>2028100000</v>
      </c>
      <c r="N240" s="1">
        <v>1382538740</v>
      </c>
      <c r="O240" s="1"/>
      <c r="P240" s="17" t="s">
        <v>962</v>
      </c>
      <c r="Q240" s="17"/>
      <c r="R240" s="17" t="s">
        <v>900</v>
      </c>
      <c r="S240" s="17"/>
      <c r="T240" s="17" t="s">
        <v>1250</v>
      </c>
      <c r="U240" s="17" t="s">
        <v>962</v>
      </c>
      <c r="V240" s="17" t="s">
        <v>58</v>
      </c>
      <c r="W240" s="45">
        <f>VLOOKUP(V240,'Actor and Actress Success'!$A$1:$B$72,2,FALSE)</f>
        <v>66.666666666666657</v>
      </c>
      <c r="X240" s="35">
        <v>1</v>
      </c>
      <c r="Y240" s="35"/>
      <c r="Z240" s="17" t="s">
        <v>803</v>
      </c>
      <c r="AA240" s="17"/>
      <c r="AB240" s="45">
        <f>VLOOKUP(Z240,'Actor and Actress Success'!$A$1:$B$72,2,FALSE)</f>
        <v>45</v>
      </c>
      <c r="AC240" s="35">
        <v>1</v>
      </c>
      <c r="AD240" s="17" t="s">
        <v>830</v>
      </c>
      <c r="AE240" s="17"/>
      <c r="AF240" s="45">
        <f>VLOOKUP(AD240,'Actor and Actress Success'!$A$1:$B$72,2,FALSE)</f>
        <v>32</v>
      </c>
      <c r="AG240" s="35"/>
      <c r="AH240" s="17" t="s">
        <v>811</v>
      </c>
      <c r="AI240" s="17"/>
      <c r="AK240" s="45" t="e">
        <f>VLOOKUP(AH240,'Actor and Actress Success'!$A$1:$B$72,2,FALSE)</f>
        <v>#N/A</v>
      </c>
    </row>
    <row r="241" spans="1:37">
      <c r="A241">
        <v>241</v>
      </c>
      <c r="B241" s="8" t="s">
        <v>323</v>
      </c>
      <c r="C241" s="10">
        <v>2012</v>
      </c>
      <c r="D241" s="12">
        <v>41096</v>
      </c>
      <c r="E241" s="12"/>
      <c r="F241" s="10" t="s">
        <v>177</v>
      </c>
      <c r="G241" s="10" t="s">
        <v>177</v>
      </c>
      <c r="H241" s="22" t="s">
        <v>439</v>
      </c>
      <c r="I241" s="22">
        <v>2500</v>
      </c>
      <c r="J241" s="22">
        <v>113</v>
      </c>
      <c r="K241" s="10">
        <v>68.67</v>
      </c>
      <c r="L241" s="1">
        <v>660000000</v>
      </c>
      <c r="M241" s="1">
        <v>1596640000</v>
      </c>
      <c r="N241" s="1">
        <v>1331690360</v>
      </c>
      <c r="O241" s="1"/>
      <c r="P241" s="17" t="s">
        <v>977</v>
      </c>
      <c r="Q241" s="17"/>
      <c r="R241" s="17" t="s">
        <v>1252</v>
      </c>
      <c r="S241" s="17"/>
      <c r="U241" s="17" t="s">
        <v>1159</v>
      </c>
      <c r="V241" s="17" t="s">
        <v>429</v>
      </c>
      <c r="W241" s="45">
        <f>VLOOKUP(V241,'Actor and Actress Success'!$A$1:$B$72,2,FALSE)</f>
        <v>39.285714285714285</v>
      </c>
      <c r="X241" s="35">
        <v>1</v>
      </c>
      <c r="Y241" s="35">
        <f>'Star Economic history'!W4</f>
        <v>533116666.66666669</v>
      </c>
      <c r="Z241" s="17" t="s">
        <v>802</v>
      </c>
      <c r="AA241" s="17"/>
      <c r="AB241" s="45">
        <f>VLOOKUP(Z241,'Actor and Actress Success'!$A$1:$B$72,2,FALSE)</f>
        <v>35.714285714285715</v>
      </c>
      <c r="AC241" s="35">
        <v>1</v>
      </c>
      <c r="AD241" s="17" t="s">
        <v>797</v>
      </c>
      <c r="AE241" s="17"/>
      <c r="AF241" s="45">
        <f>VLOOKUP(AD241,'Actor and Actress Success'!$A$1:$B$72,2,FALSE)</f>
        <v>71.428571428571431</v>
      </c>
      <c r="AG241" s="35">
        <v>1</v>
      </c>
      <c r="AH241" s="17" t="s">
        <v>1251</v>
      </c>
      <c r="AI241" s="17"/>
      <c r="AJ241" s="34">
        <v>1</v>
      </c>
      <c r="AK241" s="45" t="e">
        <f>VLOOKUP(AH241,'Actor and Actress Success'!$A$1:$B$72,2,FALSE)</f>
        <v>#N/A</v>
      </c>
    </row>
    <row r="242" spans="1:37">
      <c r="A242">
        <v>242</v>
      </c>
      <c r="B242" s="8" t="s">
        <v>324</v>
      </c>
      <c r="C242" s="10">
        <v>2014</v>
      </c>
      <c r="D242" s="12">
        <v>41796</v>
      </c>
      <c r="E242" s="12"/>
      <c r="F242" s="10" t="s">
        <v>177</v>
      </c>
      <c r="G242" s="10" t="s">
        <v>177</v>
      </c>
      <c r="H242" s="22" t="s">
        <v>408</v>
      </c>
      <c r="I242" s="22">
        <v>3300</v>
      </c>
      <c r="J242" s="22">
        <v>114</v>
      </c>
      <c r="K242" s="10">
        <v>55.21</v>
      </c>
      <c r="L242" s="1">
        <v>860000000</v>
      </c>
      <c r="M242" s="1">
        <v>1764220000</v>
      </c>
      <c r="N242" s="1">
        <v>1294642360</v>
      </c>
      <c r="O242" s="1"/>
      <c r="P242" s="17" t="s">
        <v>796</v>
      </c>
      <c r="Q242" s="17"/>
      <c r="R242" s="17" t="s">
        <v>801</v>
      </c>
      <c r="S242" s="17"/>
      <c r="T242" s="17" t="s">
        <v>796</v>
      </c>
      <c r="U242" s="17" t="s">
        <v>796</v>
      </c>
      <c r="V242" s="17" t="s">
        <v>397</v>
      </c>
      <c r="W242" s="45">
        <f>VLOOKUP(V242,'Actor and Actress Success'!$A$1:$B$72,2,FALSE)</f>
        <v>44.117647058823529</v>
      </c>
      <c r="X242" s="35">
        <v>1</v>
      </c>
      <c r="Y242" s="35">
        <f>'Star Economic history'!Y6</f>
        <v>579516666.66666663</v>
      </c>
      <c r="Z242" s="17" t="s">
        <v>1165</v>
      </c>
      <c r="AA242" s="17"/>
      <c r="AB242" s="45">
        <f>VLOOKUP(Z242,'Actor and Actress Success'!$A$1:$B$72,2,FALSE)</f>
        <v>37.5</v>
      </c>
      <c r="AC242" s="35">
        <v>1</v>
      </c>
      <c r="AD242" s="17" t="s">
        <v>1253</v>
      </c>
      <c r="AE242" s="17"/>
      <c r="AF242" s="45" t="e">
        <f>VLOOKUP(AD242,'Actor and Actress Success'!$A$1:$B$72,2,FALSE)</f>
        <v>#N/A</v>
      </c>
      <c r="AG242" s="35"/>
      <c r="AH242" s="17" t="s">
        <v>1254</v>
      </c>
      <c r="AI242" s="17"/>
      <c r="AK242" s="45" t="e">
        <f>VLOOKUP(AH242,'Actor and Actress Success'!$A$1:$B$72,2,FALSE)</f>
        <v>#N/A</v>
      </c>
    </row>
    <row r="243" spans="1:37">
      <c r="A243">
        <v>243</v>
      </c>
      <c r="B243" s="8" t="s">
        <v>325</v>
      </c>
      <c r="C243" s="10">
        <v>2013</v>
      </c>
      <c r="D243" s="12">
        <v>41593</v>
      </c>
      <c r="E243" s="12"/>
      <c r="F243" s="10" t="s">
        <v>177</v>
      </c>
      <c r="G243" s="10" t="s">
        <v>177</v>
      </c>
      <c r="H243" s="22" t="s">
        <v>56</v>
      </c>
      <c r="I243" s="22">
        <v>3000</v>
      </c>
      <c r="J243" s="22">
        <v>116</v>
      </c>
      <c r="K243" s="10">
        <v>46.74</v>
      </c>
      <c r="L243" s="20">
        <v>880000000</v>
      </c>
      <c r="M243" s="1">
        <v>2014805000</v>
      </c>
      <c r="N243" s="20">
        <v>1271302120</v>
      </c>
      <c r="O243" s="20"/>
      <c r="P243" s="17" t="s">
        <v>491</v>
      </c>
      <c r="Q243" s="17"/>
      <c r="R243" s="17" t="s">
        <v>491</v>
      </c>
      <c r="S243" s="17"/>
      <c r="U243" s="17" t="s">
        <v>1255</v>
      </c>
      <c r="V243" s="37" t="s">
        <v>1244</v>
      </c>
      <c r="W243" s="45">
        <f>VLOOKUP(V243,'Actor and Actress Success'!$A$1:$B$72,2,FALSE)</f>
        <v>55.555555555555557</v>
      </c>
      <c r="X243" s="35">
        <v>1</v>
      </c>
      <c r="Y243" s="35"/>
      <c r="Z243" s="37" t="s">
        <v>806</v>
      </c>
      <c r="AA243" s="37"/>
      <c r="AB243" s="45">
        <f>VLOOKUP(Z243,'Actor and Actress Success'!$A$1:$B$72,2,FALSE)</f>
        <v>57.142857142857139</v>
      </c>
      <c r="AC243" s="35">
        <v>1</v>
      </c>
      <c r="AD243" s="17" t="s">
        <v>1132</v>
      </c>
      <c r="AE243" s="17"/>
      <c r="AF243" s="45" t="e">
        <f>VLOOKUP(AD243,'Actor and Actress Success'!$A$1:$B$72,2,FALSE)</f>
        <v>#N/A</v>
      </c>
      <c r="AG243" s="35"/>
      <c r="AH243" s="17" t="s">
        <v>1256</v>
      </c>
      <c r="AI243" s="17"/>
      <c r="AK243" s="45" t="e">
        <f>VLOOKUP(AH243,'Actor and Actress Success'!$A$1:$B$72,2,FALSE)</f>
        <v>#N/A</v>
      </c>
    </row>
    <row r="244" spans="1:37">
      <c r="A244">
        <v>244</v>
      </c>
      <c r="B244" s="8" t="s">
        <v>326</v>
      </c>
      <c r="C244" s="10">
        <v>2012</v>
      </c>
      <c r="D244" s="12">
        <v>41226</v>
      </c>
      <c r="E244" s="12"/>
      <c r="F244" s="10" t="s">
        <v>177</v>
      </c>
      <c r="G244" s="10" t="s">
        <v>177</v>
      </c>
      <c r="H244" s="22" t="s">
        <v>56</v>
      </c>
      <c r="I244" s="22">
        <v>2450</v>
      </c>
      <c r="J244" s="22">
        <v>124</v>
      </c>
      <c r="K244" s="10">
        <v>50.88</v>
      </c>
      <c r="L244" s="20">
        <v>780000000</v>
      </c>
      <c r="M244" s="20">
        <v>2102642500</v>
      </c>
      <c r="N244" s="20">
        <v>1182016440</v>
      </c>
      <c r="O244" s="20"/>
      <c r="P244" s="17" t="s">
        <v>390</v>
      </c>
      <c r="Q244" s="17"/>
      <c r="R244" s="17" t="s">
        <v>418</v>
      </c>
      <c r="S244" s="17"/>
      <c r="T244" s="17" t="s">
        <v>62</v>
      </c>
      <c r="U244" s="17" t="s">
        <v>62</v>
      </c>
      <c r="V244" s="17" t="s">
        <v>58</v>
      </c>
      <c r="W244" s="45">
        <f>VLOOKUP(V244,'Actor and Actress Success'!$A$1:$B$72,2,FALSE)</f>
        <v>66.666666666666657</v>
      </c>
      <c r="X244" s="35">
        <v>1</v>
      </c>
      <c r="Y244" s="35"/>
      <c r="Z244" s="17" t="s">
        <v>831</v>
      </c>
      <c r="AA244" s="17"/>
      <c r="AB244" s="45">
        <f>VLOOKUP(Z244,'Actor and Actress Success'!$A$1:$B$72,2,FALSE)</f>
        <v>73.076923076923066</v>
      </c>
      <c r="AC244" s="35">
        <v>1</v>
      </c>
      <c r="AD244" s="17" t="s">
        <v>813</v>
      </c>
      <c r="AE244" s="17"/>
      <c r="AF244" s="45">
        <f>VLOOKUP(AD244,'Actor and Actress Success'!$A$1:$B$72,2,FALSE)</f>
        <v>60</v>
      </c>
      <c r="AG244" s="35">
        <v>1</v>
      </c>
      <c r="AH244" s="17" t="s">
        <v>1073</v>
      </c>
      <c r="AI244" s="17"/>
      <c r="AK244" s="45" t="e">
        <f>VLOOKUP(AH244,'Actor and Actress Success'!$A$1:$B$72,2,FALSE)</f>
        <v>#N/A</v>
      </c>
    </row>
    <row r="245" spans="1:37">
      <c r="A245">
        <v>245</v>
      </c>
      <c r="B245" s="8" t="s">
        <v>327</v>
      </c>
      <c r="C245" s="10">
        <v>2012</v>
      </c>
      <c r="D245" s="12">
        <v>41226</v>
      </c>
      <c r="E245" s="12"/>
      <c r="F245" s="10" t="s">
        <v>177</v>
      </c>
      <c r="G245" s="10" t="s">
        <v>177</v>
      </c>
      <c r="H245" s="22" t="s">
        <v>439</v>
      </c>
      <c r="I245" s="22">
        <v>2000</v>
      </c>
      <c r="J245" s="22">
        <v>127</v>
      </c>
      <c r="K245" s="10">
        <v>60.38</v>
      </c>
      <c r="L245" s="20">
        <v>670000000</v>
      </c>
      <c r="M245" s="20">
        <v>1351247500</v>
      </c>
      <c r="N245" s="20">
        <v>1143208660</v>
      </c>
      <c r="O245" s="20"/>
      <c r="P245" s="17" t="s">
        <v>1257</v>
      </c>
      <c r="Q245" s="17"/>
      <c r="R245" s="17" t="s">
        <v>1258</v>
      </c>
      <c r="S245" s="17"/>
      <c r="U245" s="17" t="s">
        <v>1257</v>
      </c>
      <c r="V245" s="17" t="s">
        <v>511</v>
      </c>
      <c r="W245" s="45">
        <f>VLOOKUP(V245,'Actor and Actress Success'!$A$1:$B$72,2,FALSE)</f>
        <v>27.397260273972602</v>
      </c>
      <c r="X245" s="35">
        <v>1</v>
      </c>
      <c r="Y245" s="35"/>
      <c r="Z245" s="17" t="s">
        <v>429</v>
      </c>
      <c r="AA245" s="17"/>
      <c r="AB245" s="45">
        <f>VLOOKUP(Z245,'Actor and Actress Success'!$A$1:$B$72,2,FALSE)</f>
        <v>39.285714285714285</v>
      </c>
      <c r="AC245" s="35">
        <v>1</v>
      </c>
      <c r="AD245" s="17" t="s">
        <v>410</v>
      </c>
      <c r="AE245" s="17"/>
      <c r="AF245" s="45">
        <f>VLOOKUP(AD245,'Actor and Actress Success'!$A$1:$B$72,2,FALSE)</f>
        <v>27.659574468085108</v>
      </c>
      <c r="AG245" s="35">
        <v>1</v>
      </c>
      <c r="AH245" s="17" t="s">
        <v>1165</v>
      </c>
      <c r="AI245" s="17"/>
      <c r="AJ245" s="34">
        <v>1</v>
      </c>
      <c r="AK245" s="45">
        <f>VLOOKUP(AH245,'Actor and Actress Success'!$A$1:$B$72,2,FALSE)</f>
        <v>37.5</v>
      </c>
    </row>
    <row r="246" spans="1:37">
      <c r="A246">
        <v>246</v>
      </c>
      <c r="B246" s="8" t="s">
        <v>328</v>
      </c>
      <c r="C246" s="10">
        <v>2010</v>
      </c>
      <c r="D246" s="12">
        <v>40298</v>
      </c>
      <c r="E246" s="12"/>
      <c r="F246" s="10" t="s">
        <v>177</v>
      </c>
      <c r="G246" s="10" t="s">
        <v>177</v>
      </c>
      <c r="H246" s="22" t="s">
        <v>439</v>
      </c>
      <c r="I246" s="22">
        <v>1700</v>
      </c>
      <c r="J246" s="22">
        <v>132</v>
      </c>
      <c r="K246" s="10">
        <v>56.67</v>
      </c>
      <c r="L246" s="20">
        <v>470000000</v>
      </c>
      <c r="M246" s="20">
        <v>1163035000</v>
      </c>
      <c r="N246" s="20">
        <v>1099677260</v>
      </c>
      <c r="O246" s="20"/>
      <c r="P246" s="17" t="s">
        <v>968</v>
      </c>
      <c r="Q246" s="17"/>
      <c r="R246" s="17" t="s">
        <v>900</v>
      </c>
      <c r="S246" s="17"/>
      <c r="T246" s="17" t="s">
        <v>1169</v>
      </c>
      <c r="U246" s="17" t="s">
        <v>1107</v>
      </c>
      <c r="V246" s="17" t="s">
        <v>397</v>
      </c>
      <c r="W246" s="45">
        <f>VLOOKUP(V246,'Actor and Actress Success'!$A$1:$B$72,2,FALSE)</f>
        <v>44.117647058823529</v>
      </c>
      <c r="X246" s="35">
        <v>1</v>
      </c>
      <c r="Y246" s="35">
        <f>'Star Economic history'!U6</f>
        <v>357290000</v>
      </c>
      <c r="Z246" s="17" t="s">
        <v>928</v>
      </c>
      <c r="AA246" s="17"/>
      <c r="AB246" s="45" t="e">
        <f>VLOOKUP(Z246,'Actor and Actress Success'!$A$1:$B$72,2,FALSE)</f>
        <v>#N/A</v>
      </c>
      <c r="AC246" s="35">
        <v>1</v>
      </c>
      <c r="AD246" s="17" t="s">
        <v>807</v>
      </c>
      <c r="AE246" s="17"/>
      <c r="AF246" s="45" t="e">
        <f>VLOOKUP(AD246,'Actor and Actress Success'!$A$1:$B$72,2,FALSE)</f>
        <v>#N/A</v>
      </c>
      <c r="AG246" s="35">
        <v>1</v>
      </c>
      <c r="AH246" s="17" t="s">
        <v>806</v>
      </c>
      <c r="AI246" s="17"/>
      <c r="AJ246" s="34">
        <v>1</v>
      </c>
      <c r="AK246" s="45">
        <f>VLOOKUP(AH246,'Actor and Actress Success'!$A$1:$B$72,2,FALSE)</f>
        <v>57.142857142857139</v>
      </c>
    </row>
    <row r="247" spans="1:37">
      <c r="A247">
        <v>247</v>
      </c>
      <c r="B247" s="8" t="s">
        <v>329</v>
      </c>
      <c r="C247" s="10">
        <v>2016</v>
      </c>
      <c r="D247" s="12">
        <v>42524</v>
      </c>
      <c r="E247" s="12"/>
      <c r="F247" s="10" t="s">
        <v>177</v>
      </c>
      <c r="G247" s="10" t="s">
        <v>177</v>
      </c>
      <c r="H247" s="22" t="s">
        <v>439</v>
      </c>
      <c r="I247" s="22">
        <v>3650</v>
      </c>
      <c r="J247" s="22"/>
      <c r="K247" s="10">
        <v>64.77</v>
      </c>
      <c r="L247" s="20">
        <v>970000000</v>
      </c>
      <c r="M247" s="20">
        <v>1949350000</v>
      </c>
      <c r="N247" s="20">
        <v>1080725000</v>
      </c>
      <c r="O247" s="20"/>
      <c r="P247" s="17" t="s">
        <v>1159</v>
      </c>
      <c r="Q247" s="17"/>
      <c r="R247" s="17" t="s">
        <v>1259</v>
      </c>
      <c r="S247" s="17"/>
      <c r="T247" s="17" t="s">
        <v>1260</v>
      </c>
      <c r="U247" s="17" t="s">
        <v>1261</v>
      </c>
      <c r="V247" s="17" t="s">
        <v>397</v>
      </c>
      <c r="W247" s="45">
        <f>VLOOKUP(V247,'Actor and Actress Success'!$A$1:$B$72,2,FALSE)</f>
        <v>44.117647058823529</v>
      </c>
      <c r="X247" s="35">
        <v>1</v>
      </c>
      <c r="Y247" s="35">
        <f>'Star Economic history'!AA6</f>
        <v>761950000</v>
      </c>
      <c r="Z247" s="17" t="s">
        <v>802</v>
      </c>
      <c r="AA247" s="17"/>
      <c r="AB247" s="45">
        <f>VLOOKUP(Z247,'Actor and Actress Success'!$A$1:$B$72,2,FALSE)</f>
        <v>35.714285714285715</v>
      </c>
      <c r="AC247" s="35">
        <v>1</v>
      </c>
      <c r="AD247" s="17" t="s">
        <v>928</v>
      </c>
      <c r="AE247" s="17"/>
      <c r="AF247" s="45" t="e">
        <f>VLOOKUP(AD247,'Actor and Actress Success'!$A$1:$B$72,2,FALSE)</f>
        <v>#N/A</v>
      </c>
      <c r="AG247" s="35">
        <v>1</v>
      </c>
      <c r="AH247" s="17" t="s">
        <v>1170</v>
      </c>
      <c r="AI247" s="17"/>
      <c r="AJ247" s="34">
        <v>1</v>
      </c>
      <c r="AK247" s="45" t="e">
        <f>VLOOKUP(AH247,'Actor and Actress Success'!$A$1:$B$72,2,FALSE)</f>
        <v>#N/A</v>
      </c>
    </row>
    <row r="248" spans="1:37">
      <c r="A248">
        <v>248</v>
      </c>
      <c r="B248" s="8" t="s">
        <v>330</v>
      </c>
      <c r="C248" s="10">
        <v>2010</v>
      </c>
      <c r="D248" s="12">
        <v>40221</v>
      </c>
      <c r="E248" s="12"/>
      <c r="F248" s="10" t="s">
        <v>177</v>
      </c>
      <c r="G248" s="10" t="s">
        <v>177</v>
      </c>
      <c r="H248" s="22" t="s">
        <v>6</v>
      </c>
      <c r="I248" s="22">
        <v>1650</v>
      </c>
      <c r="J248" s="22">
        <v>135</v>
      </c>
      <c r="K248" s="10">
        <v>56.37</v>
      </c>
      <c r="L248" s="20">
        <v>850000000</v>
      </c>
      <c r="M248" s="20">
        <v>2057000000</v>
      </c>
      <c r="N248" s="20">
        <v>1080134440</v>
      </c>
      <c r="O248" s="20"/>
      <c r="P248" s="17" t="s">
        <v>382</v>
      </c>
      <c r="Q248" s="17"/>
      <c r="R248" s="17" t="s">
        <v>900</v>
      </c>
      <c r="S248" s="17"/>
      <c r="T248" s="17" t="s">
        <v>839</v>
      </c>
      <c r="U248" s="21" t="s">
        <v>1263</v>
      </c>
      <c r="V248" s="37" t="s">
        <v>58</v>
      </c>
      <c r="W248" s="45">
        <f>VLOOKUP(V248,'Actor and Actress Success'!$A$1:$B$72,2,FALSE)</f>
        <v>66.666666666666657</v>
      </c>
      <c r="X248" s="35">
        <v>1</v>
      </c>
      <c r="Y248" s="35"/>
      <c r="Z248" s="37" t="s">
        <v>59</v>
      </c>
      <c r="AA248" s="37"/>
      <c r="AB248" s="45">
        <f>VLOOKUP(Z248,'Actor and Actress Success'!$A$1:$B$72,2,FALSE)</f>
        <v>46.428571428571431</v>
      </c>
      <c r="AC248" s="35">
        <v>1</v>
      </c>
      <c r="AD248" s="17" t="s">
        <v>1028</v>
      </c>
      <c r="AE248" s="17"/>
      <c r="AF248" s="45" t="e">
        <f>VLOOKUP(AD248,'Actor and Actress Success'!$A$1:$B$72,2,FALSE)</f>
        <v>#N/A</v>
      </c>
      <c r="AG248" s="35"/>
      <c r="AH248" s="17" t="s">
        <v>1262</v>
      </c>
      <c r="AI248" s="17"/>
      <c r="AK248" s="45" t="e">
        <f>VLOOKUP(AH248,'Actor and Actress Success'!$A$1:$B$72,2,FALSE)</f>
        <v>#N/A</v>
      </c>
    </row>
    <row r="249" spans="1:37">
      <c r="A249">
        <v>249</v>
      </c>
      <c r="B249" s="8" t="s">
        <v>331</v>
      </c>
      <c r="C249" s="10">
        <v>2011</v>
      </c>
      <c r="D249" s="12">
        <v>40739</v>
      </c>
      <c r="E249" s="12"/>
      <c r="F249" s="10" t="s">
        <v>177</v>
      </c>
      <c r="G249" s="10" t="s">
        <v>177</v>
      </c>
      <c r="H249" s="22" t="s">
        <v>6</v>
      </c>
      <c r="I249" s="22">
        <v>1400</v>
      </c>
      <c r="J249" s="22">
        <v>137</v>
      </c>
      <c r="K249" s="10">
        <v>77.66</v>
      </c>
      <c r="L249" s="20">
        <v>600000000</v>
      </c>
      <c r="M249" s="20">
        <v>1531610000</v>
      </c>
      <c r="N249" s="20">
        <v>1066241440</v>
      </c>
      <c r="O249" s="20"/>
      <c r="P249" s="17" t="s">
        <v>1264</v>
      </c>
      <c r="Q249" s="17"/>
      <c r="R249" s="17" t="s">
        <v>900</v>
      </c>
      <c r="S249" s="17"/>
      <c r="T249" s="17" t="s">
        <v>1266</v>
      </c>
      <c r="U249" s="17" t="s">
        <v>962</v>
      </c>
      <c r="V249" s="17" t="s">
        <v>794</v>
      </c>
      <c r="W249" s="45">
        <f>VLOOKUP(V249,'Actor and Actress Success'!$A$1:$B$72,2,FALSE)</f>
        <v>54.54545454545454</v>
      </c>
      <c r="X249" s="35">
        <v>1</v>
      </c>
      <c r="Y249" s="35"/>
      <c r="Z249" s="17" t="s">
        <v>1265</v>
      </c>
      <c r="AA249" s="17"/>
      <c r="AB249" s="45" t="e">
        <f>VLOOKUP(Z249,'Actor and Actress Success'!$A$1:$B$72,2,FALSE)</f>
        <v>#N/A</v>
      </c>
      <c r="AC249" s="35">
        <v>1</v>
      </c>
      <c r="AD249" s="17" t="s">
        <v>1213</v>
      </c>
      <c r="AE249" s="17"/>
      <c r="AF249" s="45" t="e">
        <f>VLOOKUP(AD249,'Actor and Actress Success'!$A$1:$B$72,2,FALSE)</f>
        <v>#N/A</v>
      </c>
      <c r="AG249" s="35">
        <v>1</v>
      </c>
      <c r="AH249" s="17" t="s">
        <v>831</v>
      </c>
      <c r="AI249" s="17"/>
      <c r="AJ249" s="34">
        <v>1</v>
      </c>
      <c r="AK249" s="45">
        <f>VLOOKUP(AH249,'Actor and Actress Success'!$A$1:$B$72,2,FALSE)</f>
        <v>73.076923076923066</v>
      </c>
    </row>
    <row r="250" spans="1:37">
      <c r="A250">
        <v>250</v>
      </c>
      <c r="B250" s="8" t="s">
        <v>332</v>
      </c>
      <c r="C250" s="10">
        <v>2010</v>
      </c>
      <c r="D250" s="12">
        <v>40389</v>
      </c>
      <c r="E250" s="12"/>
      <c r="F250" s="10" t="s">
        <v>177</v>
      </c>
      <c r="G250" s="10" t="s">
        <v>177</v>
      </c>
      <c r="H250" s="22" t="s">
        <v>6</v>
      </c>
      <c r="I250" s="22">
        <v>1400</v>
      </c>
      <c r="J250" s="22">
        <v>154</v>
      </c>
      <c r="K250" s="10">
        <v>73.5</v>
      </c>
      <c r="L250" s="20">
        <v>350000000</v>
      </c>
      <c r="M250" s="20">
        <v>851780000</v>
      </c>
      <c r="N250" s="20">
        <v>928885980</v>
      </c>
      <c r="O250" s="20"/>
      <c r="P250" s="17" t="s">
        <v>506</v>
      </c>
      <c r="Q250" s="17"/>
      <c r="R250" s="17" t="s">
        <v>801</v>
      </c>
      <c r="S250" s="17"/>
      <c r="T250" s="17" t="s">
        <v>1125</v>
      </c>
      <c r="U250" s="17" t="s">
        <v>1125</v>
      </c>
      <c r="V250" s="17" t="s">
        <v>429</v>
      </c>
      <c r="W250" s="45">
        <f>VLOOKUP(V250,'Actor and Actress Success'!$A$1:$B$72,2,FALSE)</f>
        <v>39.285714285714285</v>
      </c>
      <c r="X250" s="35">
        <v>1</v>
      </c>
      <c r="Y250" s="35">
        <f>'Star Economic history'!U4</f>
        <v>335500000</v>
      </c>
      <c r="Z250" s="17" t="s">
        <v>931</v>
      </c>
      <c r="AA250" s="17"/>
      <c r="AB250" s="45">
        <f>VLOOKUP(Z250,'Actor and Actress Success'!$A$1:$B$72,2,FALSE)</f>
        <v>31.428571428571427</v>
      </c>
      <c r="AC250" s="35">
        <v>1</v>
      </c>
      <c r="AD250" s="17" t="s">
        <v>1113</v>
      </c>
      <c r="AE250" s="17"/>
      <c r="AF250" s="45">
        <f>VLOOKUP(AD250,'Actor and Actress Success'!$A$1:$B$72,2,FALSE)</f>
        <v>39.285714285714285</v>
      </c>
      <c r="AG250" s="35">
        <v>1</v>
      </c>
      <c r="AH250" s="17" t="s">
        <v>1251</v>
      </c>
      <c r="AI250" s="17"/>
      <c r="AJ250" s="34">
        <v>1</v>
      </c>
      <c r="AK250" s="45" t="e">
        <f>VLOOKUP(AH250,'Actor and Actress Success'!$A$1:$B$72,2,FALSE)</f>
        <v>#N/A</v>
      </c>
    </row>
    <row r="251" spans="1:37">
      <c r="A251">
        <v>251</v>
      </c>
      <c r="B251" s="8" t="s">
        <v>333</v>
      </c>
      <c r="C251" s="10">
        <v>2012</v>
      </c>
      <c r="D251" s="12">
        <v>41103</v>
      </c>
      <c r="E251" s="12"/>
      <c r="F251" s="10" t="s">
        <v>177</v>
      </c>
      <c r="G251" s="10" t="s">
        <v>177</v>
      </c>
      <c r="H251" s="22" t="s">
        <v>547</v>
      </c>
      <c r="I251" s="22">
        <v>1600</v>
      </c>
      <c r="J251" s="22">
        <v>160</v>
      </c>
      <c r="K251" s="10">
        <v>69.06</v>
      </c>
      <c r="L251" s="1">
        <v>530000000</v>
      </c>
      <c r="M251" s="20">
        <v>1252347500</v>
      </c>
      <c r="N251" s="20">
        <v>831171880</v>
      </c>
      <c r="O251" s="20"/>
      <c r="P251" s="17" t="s">
        <v>1267</v>
      </c>
      <c r="Q251" s="17"/>
      <c r="R251" s="17" t="s">
        <v>801</v>
      </c>
      <c r="S251" s="17"/>
      <c r="T251" s="17" t="s">
        <v>1852</v>
      </c>
      <c r="U251" s="17" t="s">
        <v>1269</v>
      </c>
      <c r="V251" s="17" t="s">
        <v>393</v>
      </c>
      <c r="W251" s="45">
        <f>VLOOKUP(V251,'Actor and Actress Success'!$A$1:$B$72,2,FALSE)</f>
        <v>27.450980392156865</v>
      </c>
      <c r="X251" s="35">
        <v>1</v>
      </c>
      <c r="Y251" s="35"/>
      <c r="Z251" s="17" t="s">
        <v>806</v>
      </c>
      <c r="AA251" s="17"/>
      <c r="AB251" s="45">
        <f>VLOOKUP(Z251,'Actor and Actress Success'!$A$1:$B$72,2,FALSE)</f>
        <v>57.142857142857139</v>
      </c>
      <c r="AC251" s="35">
        <v>1</v>
      </c>
      <c r="AD251" s="17" t="s">
        <v>1268</v>
      </c>
      <c r="AE251" s="17"/>
      <c r="AF251" s="45" t="e">
        <f>VLOOKUP(AD251,'Actor and Actress Success'!$A$1:$B$72,2,FALSE)</f>
        <v>#N/A</v>
      </c>
      <c r="AG251" s="35">
        <v>1</v>
      </c>
      <c r="AH251" s="17" t="s">
        <v>424</v>
      </c>
      <c r="AI251" s="17"/>
      <c r="AK251" s="45" t="e">
        <f>VLOOKUP(AH251,'Actor and Actress Success'!$A$1:$B$72,2,FALSE)</f>
        <v>#N/A</v>
      </c>
    </row>
    <row r="252" spans="1:37">
      <c r="A252">
        <v>252</v>
      </c>
      <c r="B252" s="8" t="s">
        <v>334</v>
      </c>
      <c r="C252" s="10">
        <v>2011</v>
      </c>
      <c r="D252" s="12">
        <v>40557</v>
      </c>
      <c r="E252" s="12"/>
      <c r="F252" s="10" t="s">
        <v>177</v>
      </c>
      <c r="G252" s="10" t="s">
        <v>177</v>
      </c>
      <c r="H252" s="22" t="s">
        <v>439</v>
      </c>
      <c r="I252" s="22">
        <v>1550</v>
      </c>
      <c r="J252" s="22">
        <v>161</v>
      </c>
      <c r="K252" s="10">
        <v>53.33</v>
      </c>
      <c r="L252" s="1">
        <v>290000000</v>
      </c>
      <c r="M252" s="1">
        <v>887250000</v>
      </c>
      <c r="N252" s="20">
        <v>827467080</v>
      </c>
      <c r="O252" s="20"/>
      <c r="P252" s="17" t="s">
        <v>1270</v>
      </c>
      <c r="Q252" s="17"/>
      <c r="R252" s="17" t="s">
        <v>1273</v>
      </c>
      <c r="S252" s="17"/>
      <c r="T252" s="17" t="s">
        <v>1271</v>
      </c>
      <c r="U252" s="17" t="s">
        <v>1271</v>
      </c>
      <c r="V252" s="17" t="s">
        <v>468</v>
      </c>
      <c r="W252" s="45">
        <f>VLOOKUP(V252,'Actor and Actress Success'!$A$1:$B$72,2,FALSE)</f>
        <v>14.285714285714285</v>
      </c>
      <c r="X252" s="35">
        <v>1</v>
      </c>
      <c r="Y252" s="35"/>
      <c r="Z252" s="17" t="s">
        <v>77</v>
      </c>
      <c r="AA252" s="17"/>
      <c r="AB252" s="45">
        <f>VLOOKUP(Z252,'Actor and Actress Success'!$A$1:$B$72,2,FALSE)</f>
        <v>23.404255319148938</v>
      </c>
      <c r="AC252" s="35">
        <v>1</v>
      </c>
      <c r="AD252" s="17" t="s">
        <v>435</v>
      </c>
      <c r="AE252" s="17"/>
      <c r="AF252" s="45">
        <f>VLOOKUP(AD252,'Actor and Actress Success'!$A$1:$B$72,2,FALSE)</f>
        <v>24.324324324324326</v>
      </c>
      <c r="AG252" s="35">
        <v>1</v>
      </c>
      <c r="AH252" s="17" t="s">
        <v>1272</v>
      </c>
      <c r="AI252" s="17"/>
      <c r="AK252" s="45" t="e">
        <f>VLOOKUP(AH252,'Actor and Actress Success'!$A$1:$B$72,2,FALSE)</f>
        <v>#N/A</v>
      </c>
    </row>
    <row r="253" spans="1:37">
      <c r="A253">
        <v>253</v>
      </c>
      <c r="B253" s="8" t="s">
        <v>335</v>
      </c>
      <c r="C253" s="10">
        <v>2015</v>
      </c>
      <c r="D253" s="12">
        <v>42132</v>
      </c>
      <c r="E253" s="12"/>
      <c r="F253" s="10" t="s">
        <v>177</v>
      </c>
      <c r="G253" s="10" t="s">
        <v>177</v>
      </c>
      <c r="H253" s="22" t="s">
        <v>6</v>
      </c>
      <c r="I253" s="22">
        <v>1300</v>
      </c>
      <c r="J253" s="22">
        <v>165</v>
      </c>
      <c r="K253" s="10">
        <v>48.96</v>
      </c>
      <c r="L253" s="1">
        <v>420000000</v>
      </c>
      <c r="M253" s="1">
        <v>1412650000</v>
      </c>
      <c r="N253" s="20">
        <v>783850000</v>
      </c>
      <c r="O253" s="20"/>
      <c r="P253" s="17" t="s">
        <v>1274</v>
      </c>
      <c r="Q253" s="17"/>
      <c r="R253" s="17" t="s">
        <v>1275</v>
      </c>
      <c r="S253" s="17"/>
      <c r="T253" s="17" t="s">
        <v>1276</v>
      </c>
      <c r="U253" s="17" t="s">
        <v>1276</v>
      </c>
      <c r="V253" s="17" t="s">
        <v>497</v>
      </c>
      <c r="W253" s="45">
        <f>VLOOKUP(V253,'Actor and Actress Success'!$A$1:$B$72,2,FALSE)</f>
        <v>33.333333333333329</v>
      </c>
      <c r="X253" s="35">
        <v>1</v>
      </c>
      <c r="Y253" s="35"/>
      <c r="Z253" s="17" t="s">
        <v>806</v>
      </c>
      <c r="AA253" s="17"/>
      <c r="AB253" s="45">
        <f>VLOOKUP(Z253,'Actor and Actress Success'!$A$1:$B$72,2,FALSE)</f>
        <v>57.142857142857139</v>
      </c>
      <c r="AC253" s="35">
        <v>1</v>
      </c>
      <c r="AD253" s="17" t="s">
        <v>1033</v>
      </c>
      <c r="AE253" s="17"/>
      <c r="AF253" s="45" t="e">
        <f>VLOOKUP(AD253,'Actor and Actress Success'!$A$1:$B$72,2,FALSE)</f>
        <v>#N/A</v>
      </c>
      <c r="AG253" s="35">
        <v>1</v>
      </c>
      <c r="AH253" s="17" t="s">
        <v>732</v>
      </c>
      <c r="AI253" s="17"/>
      <c r="AK253" s="45" t="e">
        <f>VLOOKUP(AH253,'Actor and Actress Success'!$A$1:$B$72,2,FALSE)</f>
        <v>#N/A</v>
      </c>
    </row>
    <row r="254" spans="1:37">
      <c r="A254">
        <v>254</v>
      </c>
      <c r="B254" s="8" t="s">
        <v>336</v>
      </c>
      <c r="C254" s="10">
        <v>2016</v>
      </c>
      <c r="D254" s="12">
        <v>42489</v>
      </c>
      <c r="E254" s="12"/>
      <c r="F254" s="10" t="s">
        <v>177</v>
      </c>
      <c r="G254" s="10" t="s">
        <v>177</v>
      </c>
      <c r="H254" s="22" t="s">
        <v>50</v>
      </c>
      <c r="I254" s="22">
        <v>2750</v>
      </c>
      <c r="J254" s="22"/>
      <c r="K254" s="10">
        <v>53.08</v>
      </c>
      <c r="L254" s="1">
        <v>370000000</v>
      </c>
      <c r="M254" s="1">
        <v>1269662500</v>
      </c>
      <c r="N254" s="20">
        <v>760650000</v>
      </c>
      <c r="O254" s="20"/>
      <c r="P254" s="17" t="s">
        <v>1277</v>
      </c>
      <c r="Q254" s="17"/>
      <c r="R254" s="17" t="s">
        <v>1282</v>
      </c>
      <c r="S254" s="17"/>
      <c r="T254" s="17" t="s">
        <v>1278</v>
      </c>
      <c r="U254" s="17" t="s">
        <v>1278</v>
      </c>
      <c r="V254" s="17" t="s">
        <v>1279</v>
      </c>
      <c r="W254" s="45" t="e">
        <f>VLOOKUP(V254,'Actor and Actress Success'!$A$1:$B$72,2,FALSE)</f>
        <v>#N/A</v>
      </c>
      <c r="X254" s="35">
        <v>1</v>
      </c>
      <c r="Y254" s="35"/>
      <c r="Z254" s="17" t="s">
        <v>1187</v>
      </c>
      <c r="AA254" s="17"/>
      <c r="AB254" s="45">
        <f>VLOOKUP(Z254,'Actor and Actress Success'!$A$1:$B$72,2,FALSE)</f>
        <v>45.454545454545453</v>
      </c>
      <c r="AC254" s="35">
        <v>1</v>
      </c>
      <c r="AD254" s="17" t="s">
        <v>1280</v>
      </c>
      <c r="AE254" s="17"/>
      <c r="AF254" s="45" t="e">
        <f>VLOOKUP(AD254,'Actor and Actress Success'!$A$1:$B$72,2,FALSE)</f>
        <v>#N/A</v>
      </c>
      <c r="AG254" s="35"/>
      <c r="AH254" s="17" t="s">
        <v>1281</v>
      </c>
      <c r="AI254" s="17"/>
      <c r="AK254" s="45" t="e">
        <f>VLOOKUP(AH254,'Actor and Actress Success'!$A$1:$B$72,2,FALSE)</f>
        <v>#N/A</v>
      </c>
    </row>
    <row r="255" spans="1:37">
      <c r="A255">
        <v>255</v>
      </c>
      <c r="B255" s="8" t="s">
        <v>337</v>
      </c>
      <c r="C255" s="10">
        <v>2014</v>
      </c>
      <c r="D255" s="12">
        <v>41831</v>
      </c>
      <c r="E255" s="12"/>
      <c r="F255" s="10" t="s">
        <v>177</v>
      </c>
      <c r="G255" s="10" t="s">
        <v>177</v>
      </c>
      <c r="H255" s="22" t="s">
        <v>547</v>
      </c>
      <c r="I255" s="22">
        <v>1950</v>
      </c>
      <c r="J255" s="22">
        <v>172</v>
      </c>
      <c r="K255" s="10">
        <v>59.52</v>
      </c>
      <c r="L255" s="1">
        <v>330000000</v>
      </c>
      <c r="M255" s="1">
        <v>1107600000</v>
      </c>
      <c r="N255" s="20">
        <v>728050000</v>
      </c>
      <c r="O255" s="20"/>
      <c r="P255" s="17" t="s">
        <v>1283</v>
      </c>
      <c r="Q255" s="17"/>
      <c r="R255" s="17" t="s">
        <v>1286</v>
      </c>
      <c r="S255" s="17"/>
      <c r="T255" s="17" t="s">
        <v>1283</v>
      </c>
      <c r="U255" s="17" t="s">
        <v>1283</v>
      </c>
      <c r="V255" s="17" t="s">
        <v>1220</v>
      </c>
      <c r="W255" s="45">
        <f>VLOOKUP(V255,'Actor and Actress Success'!$A$1:$B$72,2,FALSE)</f>
        <v>88.888888888888886</v>
      </c>
      <c r="X255" s="35">
        <v>1</v>
      </c>
      <c r="Y255" s="35"/>
      <c r="Z255" s="17" t="s">
        <v>1284</v>
      </c>
      <c r="AA255" s="17"/>
      <c r="AB255" s="45">
        <f>VLOOKUP(Z255,'Actor and Actress Success'!$A$1:$B$72,2,FALSE)</f>
        <v>77.777777777777786</v>
      </c>
      <c r="AC255" s="35">
        <v>1</v>
      </c>
      <c r="AD255" s="17" t="s">
        <v>819</v>
      </c>
      <c r="AE255" s="17"/>
      <c r="AF255" s="45" t="e">
        <f>VLOOKUP(AD255,'Actor and Actress Success'!$A$1:$B$72,2,FALSE)</f>
        <v>#N/A</v>
      </c>
      <c r="AG255" s="35"/>
      <c r="AH255" s="17" t="s">
        <v>1285</v>
      </c>
      <c r="AI255" s="17"/>
      <c r="AK255" s="45" t="e">
        <f>VLOOKUP(AH255,'Actor and Actress Success'!$A$1:$B$72,2,FALSE)</f>
        <v>#N/A</v>
      </c>
    </row>
    <row r="256" spans="1:37">
      <c r="A256">
        <v>256</v>
      </c>
      <c r="B256" s="8" t="s">
        <v>338</v>
      </c>
      <c r="C256" s="10">
        <v>2016</v>
      </c>
      <c r="D256" s="12">
        <v>42419</v>
      </c>
      <c r="E256" s="12"/>
      <c r="F256" s="10" t="s">
        <v>177</v>
      </c>
      <c r="G256" s="10" t="s">
        <v>177</v>
      </c>
      <c r="H256" s="22" t="s">
        <v>6</v>
      </c>
      <c r="I256" s="22">
        <v>1000</v>
      </c>
      <c r="J256" s="22">
        <v>178</v>
      </c>
      <c r="K256" s="10">
        <v>72.14</v>
      </c>
      <c r="L256" s="1">
        <v>280000000</v>
      </c>
      <c r="M256" s="1">
        <v>1187190000</v>
      </c>
      <c r="N256" s="20">
        <v>717650000</v>
      </c>
      <c r="O256" s="20"/>
      <c r="P256" s="17" t="s">
        <v>1287</v>
      </c>
      <c r="Q256" s="17"/>
      <c r="R256" s="17" t="s">
        <v>1288</v>
      </c>
      <c r="S256" s="17"/>
      <c r="T256" s="17" t="s">
        <v>1289</v>
      </c>
      <c r="U256" s="17" t="s">
        <v>1289</v>
      </c>
      <c r="V256" s="17" t="s">
        <v>1214</v>
      </c>
      <c r="W256" s="45">
        <f>VLOOKUP(V256,'Actor and Actress Success'!$A$1:$B$72,2,FALSE)</f>
        <v>35.714285714285715</v>
      </c>
      <c r="X256" s="35">
        <v>1</v>
      </c>
      <c r="Y256" s="35"/>
      <c r="Z256" s="17" t="s">
        <v>1290</v>
      </c>
      <c r="AA256" s="17"/>
      <c r="AB256" s="45" t="e">
        <f>VLOOKUP(Z256,'Actor and Actress Success'!$A$1:$B$72,2,FALSE)</f>
        <v>#N/A</v>
      </c>
      <c r="AC256" s="35"/>
      <c r="AD256" s="17" t="s">
        <v>1291</v>
      </c>
      <c r="AE256" s="17"/>
      <c r="AF256" s="45" t="e">
        <f>VLOOKUP(AD256,'Actor and Actress Success'!$A$1:$B$72,2,FALSE)</f>
        <v>#N/A</v>
      </c>
      <c r="AG256" s="35"/>
      <c r="AH256" s="17" t="s">
        <v>1292</v>
      </c>
      <c r="AI256" s="17"/>
      <c r="AK256" s="45" t="e">
        <f>VLOOKUP(AH256,'Actor and Actress Success'!$A$1:$B$72,2,FALSE)</f>
        <v>#N/A</v>
      </c>
    </row>
    <row r="257" spans="1:37">
      <c r="A257">
        <v>257</v>
      </c>
      <c r="B257" s="8" t="s">
        <v>339</v>
      </c>
      <c r="C257" s="10">
        <v>2016</v>
      </c>
      <c r="D257" s="12">
        <v>42447</v>
      </c>
      <c r="E257" s="12"/>
      <c r="F257" s="10" t="s">
        <v>177</v>
      </c>
      <c r="G257" s="10" t="s">
        <v>177</v>
      </c>
      <c r="H257" s="22" t="s">
        <v>6</v>
      </c>
      <c r="I257" s="22">
        <v>1500</v>
      </c>
      <c r="J257" s="22"/>
      <c r="K257" s="10">
        <v>71.430000000000007</v>
      </c>
      <c r="L257" s="1">
        <v>380000000</v>
      </c>
      <c r="M257" s="1">
        <v>1432855000</v>
      </c>
      <c r="N257" s="20">
        <v>693750000</v>
      </c>
      <c r="O257" s="20"/>
      <c r="P257" s="17" t="s">
        <v>1293</v>
      </c>
      <c r="Q257" s="17"/>
      <c r="R257" s="17" t="s">
        <v>1296</v>
      </c>
      <c r="S257" s="17"/>
      <c r="T257" s="17" t="s">
        <v>1297</v>
      </c>
      <c r="U257" s="17" t="s">
        <v>1294</v>
      </c>
      <c r="V257" s="17" t="s">
        <v>724</v>
      </c>
      <c r="W257" s="45">
        <f>VLOOKUP(V257,'Actor and Actress Success'!$A$1:$B$72,2,FALSE)</f>
        <v>26.086956521739129</v>
      </c>
      <c r="X257" s="35">
        <v>1</v>
      </c>
      <c r="Y257" s="35">
        <f>'Star Economic history'!AA7</f>
        <v>65265000</v>
      </c>
      <c r="Z257" s="17" t="s">
        <v>1225</v>
      </c>
      <c r="AA257" s="17"/>
      <c r="AB257" s="45" t="e">
        <f>VLOOKUP(Z257,'Actor and Actress Success'!$A$1:$B$72,2,FALSE)</f>
        <v>#N/A</v>
      </c>
      <c r="AC257" s="35">
        <v>1</v>
      </c>
      <c r="AD257" s="17" t="s">
        <v>1295</v>
      </c>
      <c r="AE257" s="17"/>
      <c r="AF257" s="45" t="e">
        <f>VLOOKUP(AD257,'Actor and Actress Success'!$A$1:$B$72,2,FALSE)</f>
        <v>#N/A</v>
      </c>
      <c r="AG257" s="35">
        <v>1</v>
      </c>
      <c r="AH257" s="17" t="s">
        <v>1284</v>
      </c>
      <c r="AI257" s="17"/>
      <c r="AJ257" s="34">
        <v>1</v>
      </c>
      <c r="AK257" s="45">
        <f>VLOOKUP(AH257,'Actor and Actress Success'!$A$1:$B$72,2,FALSE)</f>
        <v>77.777777777777786</v>
      </c>
    </row>
    <row r="258" spans="1:37">
      <c r="A258">
        <v>258</v>
      </c>
      <c r="B258" s="8" t="s">
        <v>340</v>
      </c>
      <c r="C258" s="10">
        <v>2011</v>
      </c>
      <c r="D258" s="12">
        <v>40795</v>
      </c>
      <c r="E258" s="12"/>
      <c r="F258" s="10" t="s">
        <v>177</v>
      </c>
      <c r="G258" s="10" t="s">
        <v>177</v>
      </c>
      <c r="H258" s="22" t="s">
        <v>547</v>
      </c>
      <c r="I258" s="22">
        <v>1650</v>
      </c>
      <c r="J258" s="22">
        <v>175</v>
      </c>
      <c r="K258" s="10">
        <v>78.75</v>
      </c>
      <c r="L258" s="1">
        <v>320000000</v>
      </c>
      <c r="M258" s="1">
        <v>938420000</v>
      </c>
      <c r="N258" s="20">
        <v>693631180</v>
      </c>
      <c r="O258" s="20"/>
      <c r="P258" s="17" t="s">
        <v>1156</v>
      </c>
      <c r="Q258" s="17"/>
      <c r="R258" s="17" t="s">
        <v>1298</v>
      </c>
      <c r="S258" s="17"/>
      <c r="T258" s="17" t="s">
        <v>1156</v>
      </c>
      <c r="U258" s="17" t="s">
        <v>1156</v>
      </c>
      <c r="V258" s="17" t="s">
        <v>921</v>
      </c>
      <c r="W258" s="45" t="e">
        <f>VLOOKUP(V258,'Actor and Actress Success'!$A$1:$B$72,2,FALSE)</f>
        <v>#N/A</v>
      </c>
      <c r="X258" s="35">
        <v>1</v>
      </c>
      <c r="Y258" s="35"/>
      <c r="Z258" s="17" t="s">
        <v>831</v>
      </c>
      <c r="AA258" s="17"/>
      <c r="AB258" s="45">
        <f>VLOOKUP(Z258,'Actor and Actress Success'!$A$1:$B$72,2,FALSE)</f>
        <v>73.076923076923066</v>
      </c>
      <c r="AC258" s="35">
        <v>1</v>
      </c>
      <c r="AD258" s="17" t="s">
        <v>1299</v>
      </c>
      <c r="AE258" s="17"/>
      <c r="AF258" s="45" t="e">
        <f>VLOOKUP(AD258,'Actor and Actress Success'!$A$1:$B$72,2,FALSE)</f>
        <v>#N/A</v>
      </c>
      <c r="AG258" s="35">
        <v>1</v>
      </c>
      <c r="AH258" s="17" t="s">
        <v>1300</v>
      </c>
      <c r="AI258" s="17"/>
      <c r="AK258" s="45" t="e">
        <f>VLOOKUP(AH258,'Actor and Actress Success'!$A$1:$B$72,2,FALSE)</f>
        <v>#N/A</v>
      </c>
    </row>
    <row r="259" spans="1:37">
      <c r="A259">
        <v>259</v>
      </c>
      <c r="B259" s="8" t="s">
        <v>341</v>
      </c>
      <c r="C259" s="10">
        <v>2013</v>
      </c>
      <c r="D259" s="12">
        <v>41446</v>
      </c>
      <c r="E259" s="12"/>
      <c r="F259" s="10" t="s">
        <v>177</v>
      </c>
      <c r="G259" s="10" t="s">
        <v>177</v>
      </c>
      <c r="H259" s="22" t="s">
        <v>56</v>
      </c>
      <c r="I259" s="22">
        <v>1450</v>
      </c>
      <c r="J259" s="22">
        <v>176</v>
      </c>
      <c r="K259" s="10">
        <v>69</v>
      </c>
      <c r="L259" s="1">
        <v>360000000</v>
      </c>
      <c r="M259" s="1">
        <v>941342500</v>
      </c>
      <c r="N259" s="20">
        <v>692149260</v>
      </c>
      <c r="O259" s="20"/>
      <c r="P259" s="17" t="s">
        <v>1181</v>
      </c>
      <c r="Q259" s="17"/>
      <c r="R259" s="17" t="s">
        <v>418</v>
      </c>
      <c r="S259" s="17"/>
      <c r="T259" s="17" t="s">
        <v>1182</v>
      </c>
      <c r="U259" s="17" t="s">
        <v>1182</v>
      </c>
      <c r="V259" s="17" t="s">
        <v>1301</v>
      </c>
      <c r="W259" s="45" t="e">
        <f>VLOOKUP(V259,'Actor and Actress Success'!$A$1:$B$72,2,FALSE)</f>
        <v>#N/A</v>
      </c>
      <c r="X259" s="35">
        <v>1</v>
      </c>
      <c r="Y259" s="35"/>
      <c r="Z259" s="17" t="s">
        <v>1214</v>
      </c>
      <c r="AA259" s="17"/>
      <c r="AB259" s="45">
        <f>VLOOKUP(Z259,'Actor and Actress Success'!$A$1:$B$72,2,FALSE)</f>
        <v>35.714285714285715</v>
      </c>
      <c r="AC259" s="35">
        <v>1</v>
      </c>
      <c r="AD259" s="17" t="s">
        <v>1265</v>
      </c>
      <c r="AE259" s="17"/>
      <c r="AF259" s="45" t="e">
        <f>VLOOKUP(AD259,'Actor and Actress Success'!$A$1:$B$72,2,FALSE)</f>
        <v>#N/A</v>
      </c>
      <c r="AG259" s="35">
        <v>1</v>
      </c>
      <c r="AH259" s="17" t="s">
        <v>1302</v>
      </c>
      <c r="AI259" s="17"/>
      <c r="AJ259" s="34">
        <v>1</v>
      </c>
      <c r="AK259" s="45" t="e">
        <f>VLOOKUP(AH259,'Actor and Actress Success'!$A$1:$B$72,2,FALSE)</f>
        <v>#N/A</v>
      </c>
    </row>
    <row r="260" spans="1:37">
      <c r="A260">
        <v>260</v>
      </c>
      <c r="B260" s="8" t="s">
        <v>342</v>
      </c>
      <c r="C260" s="10">
        <v>2012</v>
      </c>
      <c r="D260" s="12">
        <v>40977</v>
      </c>
      <c r="E260" s="12"/>
      <c r="F260" s="10" t="s">
        <v>177</v>
      </c>
      <c r="G260" s="10" t="s">
        <v>177</v>
      </c>
      <c r="H260" s="22" t="s">
        <v>408</v>
      </c>
      <c r="I260" s="22">
        <v>1100</v>
      </c>
      <c r="J260" s="22">
        <v>179</v>
      </c>
      <c r="K260" s="10">
        <v>64.17</v>
      </c>
      <c r="L260" s="1">
        <v>200000000</v>
      </c>
      <c r="M260" s="1">
        <v>917100000</v>
      </c>
      <c r="N260" s="20">
        <v>641300880</v>
      </c>
      <c r="O260" s="20"/>
      <c r="P260" s="17" t="s">
        <v>1303</v>
      </c>
      <c r="Q260" s="17"/>
      <c r="R260" s="17" t="s">
        <v>805</v>
      </c>
      <c r="S260" s="17"/>
      <c r="T260" s="17" t="s">
        <v>1306</v>
      </c>
      <c r="U260" s="17" t="s">
        <v>1304</v>
      </c>
      <c r="V260" s="17" t="s">
        <v>810</v>
      </c>
      <c r="W260" s="45">
        <f>VLOOKUP(V260,'Actor and Actress Success'!$A$1:$B$72,2,FALSE)</f>
        <v>40.909090909090914</v>
      </c>
      <c r="X260" s="35">
        <v>1</v>
      </c>
      <c r="Y260" s="35"/>
      <c r="Z260" s="17" t="s">
        <v>1154</v>
      </c>
      <c r="AA260" s="17"/>
      <c r="AB260" s="45" t="e">
        <f>VLOOKUP(Z260,'Actor and Actress Success'!$A$1:$B$72,2,FALSE)</f>
        <v>#N/A</v>
      </c>
      <c r="AC260" s="35">
        <v>1</v>
      </c>
      <c r="AD260" s="17" t="s">
        <v>1305</v>
      </c>
      <c r="AE260" s="17"/>
      <c r="AF260" s="45" t="e">
        <f>VLOOKUP(AD260,'Actor and Actress Success'!$A$1:$B$72,2,FALSE)</f>
        <v>#N/A</v>
      </c>
      <c r="AG260" s="35">
        <v>1</v>
      </c>
      <c r="AH260" s="17" t="s">
        <v>914</v>
      </c>
      <c r="AI260" s="17"/>
      <c r="AK260" s="45" t="e">
        <f>VLOOKUP(AH260,'Actor and Actress Success'!$A$1:$B$72,2,FALSE)</f>
        <v>#N/A</v>
      </c>
    </row>
    <row r="261" spans="1:37">
      <c r="A261">
        <v>261</v>
      </c>
      <c r="B261" s="8" t="s">
        <v>343</v>
      </c>
      <c r="C261" s="10">
        <v>2014</v>
      </c>
      <c r="D261" s="12">
        <v>41782</v>
      </c>
      <c r="E261" s="12"/>
      <c r="F261" s="10" t="s">
        <v>177</v>
      </c>
      <c r="G261" s="10" t="s">
        <v>177</v>
      </c>
      <c r="H261" s="22" t="s">
        <v>50</v>
      </c>
      <c r="I261" s="22">
        <v>2200</v>
      </c>
      <c r="J261" s="22">
        <v>181</v>
      </c>
      <c r="K261" s="10">
        <v>61.25</v>
      </c>
      <c r="L261" s="1">
        <v>250000000</v>
      </c>
      <c r="M261" s="1">
        <v>726075000</v>
      </c>
      <c r="N261" s="20">
        <v>638800140</v>
      </c>
      <c r="O261" s="20"/>
      <c r="P261" s="17" t="s">
        <v>1277</v>
      </c>
      <c r="Q261" s="17"/>
      <c r="R261" s="17" t="s">
        <v>1309</v>
      </c>
      <c r="S261" s="17"/>
      <c r="T261" s="17" t="s">
        <v>1278</v>
      </c>
      <c r="U261" s="17" t="s">
        <v>1278</v>
      </c>
      <c r="V261" s="17" t="s">
        <v>1279</v>
      </c>
      <c r="W261" s="45" t="e">
        <f>VLOOKUP(V261,'Actor and Actress Success'!$A$1:$B$72,2,FALSE)</f>
        <v>#N/A</v>
      </c>
      <c r="X261" s="35">
        <v>1</v>
      </c>
      <c r="Y261" s="35"/>
      <c r="Z261" s="17" t="s">
        <v>1307</v>
      </c>
      <c r="AA261" s="17"/>
      <c r="AB261" s="45" t="e">
        <f>VLOOKUP(Z261,'Actor and Actress Success'!$A$1:$B$72,2,FALSE)</f>
        <v>#N/A</v>
      </c>
      <c r="AC261" s="35">
        <v>1</v>
      </c>
      <c r="AD261" s="17" t="s">
        <v>960</v>
      </c>
      <c r="AE261" s="17"/>
      <c r="AF261" s="45" t="e">
        <f>VLOOKUP(AD261,'Actor and Actress Success'!$A$1:$B$72,2,FALSE)</f>
        <v>#N/A</v>
      </c>
      <c r="AG261" s="35"/>
      <c r="AH261" s="17" t="s">
        <v>1308</v>
      </c>
      <c r="AI261" s="17"/>
      <c r="AK261" s="45" t="e">
        <f>VLOOKUP(AH261,'Actor and Actress Success'!$A$1:$B$72,2,FALSE)</f>
        <v>#N/A</v>
      </c>
    </row>
    <row r="262" spans="1:37">
      <c r="A262">
        <v>262</v>
      </c>
      <c r="B262" s="8" t="s">
        <v>344</v>
      </c>
      <c r="C262" s="10">
        <v>2014</v>
      </c>
      <c r="D262" s="12">
        <v>41705</v>
      </c>
      <c r="E262" s="12"/>
      <c r="F262" s="10" t="s">
        <v>177</v>
      </c>
      <c r="G262" s="10" t="s">
        <v>177</v>
      </c>
      <c r="H262" s="22" t="s">
        <v>6</v>
      </c>
      <c r="I262" s="22">
        <v>800</v>
      </c>
      <c r="J262" s="22">
        <v>188</v>
      </c>
      <c r="K262" s="10">
        <v>59.05</v>
      </c>
      <c r="L262" s="1">
        <v>230000000</v>
      </c>
      <c r="M262" s="1">
        <v>974180000</v>
      </c>
      <c r="N262" s="1">
        <v>614750000</v>
      </c>
      <c r="O262" s="1"/>
      <c r="P262" s="17" t="s">
        <v>1310</v>
      </c>
      <c r="Q262" s="17"/>
      <c r="R262" s="17" t="s">
        <v>1311</v>
      </c>
      <c r="S262" s="17"/>
      <c r="T262" s="17" t="s">
        <v>1314</v>
      </c>
      <c r="U262" s="17" t="s">
        <v>1315</v>
      </c>
      <c r="V262" s="17" t="s">
        <v>1113</v>
      </c>
      <c r="W262" s="45">
        <f>VLOOKUP(V262,'Actor and Actress Success'!$A$1:$B$72,2,FALSE)</f>
        <v>39.285714285714285</v>
      </c>
      <c r="X262" s="35">
        <v>1</v>
      </c>
      <c r="Y262" s="35"/>
      <c r="Z262" s="17" t="s">
        <v>1312</v>
      </c>
      <c r="AA262" s="17"/>
      <c r="AB262" s="45" t="e">
        <f>VLOOKUP(Z262,'Actor and Actress Success'!$A$1:$B$72,2,FALSE)</f>
        <v>#N/A</v>
      </c>
      <c r="AC262" s="35">
        <v>1</v>
      </c>
      <c r="AD262" s="17" t="s">
        <v>1313</v>
      </c>
      <c r="AE262" s="17"/>
      <c r="AF262" s="45" t="e">
        <f>VLOOKUP(AD262,'Actor and Actress Success'!$A$1:$B$72,2,FALSE)</f>
        <v>#N/A</v>
      </c>
      <c r="AG262" s="35"/>
      <c r="AH262" s="17" t="s">
        <v>1291</v>
      </c>
      <c r="AI262" s="17"/>
      <c r="AK262" s="45" t="e">
        <f>VLOOKUP(AH262,'Actor and Actress Success'!$A$1:$B$72,2,FALSE)</f>
        <v>#N/A</v>
      </c>
    </row>
    <row r="263" spans="1:37">
      <c r="A263">
        <v>263</v>
      </c>
      <c r="B263" s="8" t="s">
        <v>345</v>
      </c>
      <c r="C263" s="10">
        <v>2011</v>
      </c>
      <c r="D263" s="12">
        <v>40725</v>
      </c>
      <c r="E263" s="12"/>
      <c r="F263" s="10" t="s">
        <v>177</v>
      </c>
      <c r="G263" s="10" t="s">
        <v>177</v>
      </c>
      <c r="H263" s="22" t="s">
        <v>439</v>
      </c>
      <c r="I263" s="22">
        <v>1250</v>
      </c>
      <c r="J263" s="22">
        <v>185</v>
      </c>
      <c r="K263" s="10">
        <v>88.08</v>
      </c>
      <c r="L263" s="1">
        <v>230000000</v>
      </c>
      <c r="M263" s="1">
        <v>911950000</v>
      </c>
      <c r="N263" s="1">
        <v>608328160</v>
      </c>
      <c r="O263" s="1"/>
      <c r="P263" s="17" t="s">
        <v>1316</v>
      </c>
      <c r="Q263" s="17"/>
      <c r="R263" s="17" t="s">
        <v>1317</v>
      </c>
      <c r="S263" s="17"/>
      <c r="T263" s="17" t="s">
        <v>1318</v>
      </c>
      <c r="U263" s="17" t="s">
        <v>1318</v>
      </c>
      <c r="V263" s="17" t="s">
        <v>921</v>
      </c>
      <c r="W263" s="45" t="e">
        <f>VLOOKUP(V263,'Actor and Actress Success'!$A$1:$B$72,2,FALSE)</f>
        <v>#N/A</v>
      </c>
      <c r="X263" s="35">
        <v>1</v>
      </c>
      <c r="Y263" s="35"/>
      <c r="Z263" s="17" t="s">
        <v>1319</v>
      </c>
      <c r="AA263" s="17"/>
      <c r="AB263" s="45" t="e">
        <f>VLOOKUP(Z263,'Actor and Actress Success'!$A$1:$B$72,2,FALSE)</f>
        <v>#N/A</v>
      </c>
      <c r="AC263" s="35">
        <v>1</v>
      </c>
      <c r="AD263" s="17" t="s">
        <v>1320</v>
      </c>
      <c r="AE263" s="17"/>
      <c r="AF263" s="45" t="e">
        <f>VLOOKUP(AD263,'Actor and Actress Success'!$A$1:$B$72,2,FALSE)</f>
        <v>#N/A</v>
      </c>
      <c r="AG263" s="35">
        <v>1</v>
      </c>
      <c r="AH263" s="17" t="s">
        <v>1321</v>
      </c>
      <c r="AI263" s="17"/>
      <c r="AJ263" s="34">
        <v>1</v>
      </c>
      <c r="AK263" s="45" t="e">
        <f>VLOOKUP(AH263,'Actor and Actress Success'!$A$1:$B$72,2,FALSE)</f>
        <v>#N/A</v>
      </c>
    </row>
    <row r="264" spans="1:37">
      <c r="A264">
        <v>264</v>
      </c>
      <c r="B264" s="8" t="s">
        <v>346</v>
      </c>
      <c r="C264" s="10">
        <v>2010</v>
      </c>
      <c r="D264" s="12">
        <v>40361</v>
      </c>
      <c r="E264" s="12"/>
      <c r="F264" s="10" t="s">
        <v>177</v>
      </c>
      <c r="G264" s="10" t="s">
        <v>177</v>
      </c>
      <c r="H264" s="22" t="s">
        <v>56</v>
      </c>
      <c r="I264" s="22">
        <v>1050</v>
      </c>
      <c r="J264" s="22">
        <v>186</v>
      </c>
      <c r="K264" s="10">
        <v>65</v>
      </c>
      <c r="L264" s="1">
        <v>230000000</v>
      </c>
      <c r="M264" s="1">
        <v>739957500</v>
      </c>
      <c r="N264" s="1">
        <v>604993840</v>
      </c>
      <c r="O264" s="1"/>
      <c r="P264" s="17" t="s">
        <v>1322</v>
      </c>
      <c r="Q264" s="17"/>
      <c r="R264" s="17" t="s">
        <v>805</v>
      </c>
      <c r="S264" s="17"/>
      <c r="T264" s="17" t="s">
        <v>1323</v>
      </c>
      <c r="U264" s="17" t="s">
        <v>1322</v>
      </c>
      <c r="V264" s="17" t="s">
        <v>921</v>
      </c>
      <c r="W264" s="45" t="e">
        <f>VLOOKUP(V264,'Actor and Actress Success'!$A$1:$B$72,2,FALSE)</f>
        <v>#N/A</v>
      </c>
      <c r="X264" s="35">
        <v>1</v>
      </c>
      <c r="Y264" s="35"/>
      <c r="Z264" s="17" t="s">
        <v>1214</v>
      </c>
      <c r="AA264" s="17"/>
      <c r="AB264" s="45">
        <f>VLOOKUP(Z264,'Actor and Actress Success'!$A$1:$B$72,2,FALSE)</f>
        <v>35.714285714285715</v>
      </c>
      <c r="AC264" s="35">
        <v>1</v>
      </c>
      <c r="AD264" s="17" t="s">
        <v>1324</v>
      </c>
      <c r="AE264" s="17"/>
      <c r="AF264" s="45" t="e">
        <f>VLOOKUP(AD264,'Actor and Actress Success'!$A$1:$B$72,2,FALSE)</f>
        <v>#N/A</v>
      </c>
      <c r="AG264" s="35"/>
      <c r="AH264" s="17" t="s">
        <v>1325</v>
      </c>
      <c r="AI264" s="17"/>
      <c r="AK264" s="45" t="e">
        <f>VLOOKUP(AH264,'Actor and Actress Success'!$A$1:$B$72,2,FALSE)</f>
        <v>#N/A</v>
      </c>
    </row>
    <row r="265" spans="1:37">
      <c r="A265">
        <v>265</v>
      </c>
      <c r="B265" s="8" t="s">
        <v>347</v>
      </c>
      <c r="C265" s="10">
        <v>2014</v>
      </c>
      <c r="D265" s="12">
        <v>41719</v>
      </c>
      <c r="E265" s="12"/>
      <c r="F265" s="10" t="s">
        <v>177</v>
      </c>
      <c r="G265" s="10" t="s">
        <v>177</v>
      </c>
      <c r="H265" s="22" t="s">
        <v>757</v>
      </c>
      <c r="I265" s="22">
        <v>2300</v>
      </c>
      <c r="J265" s="22">
        <v>187</v>
      </c>
      <c r="K265" s="10">
        <v>37.86</v>
      </c>
      <c r="L265" s="1">
        <v>190000000</v>
      </c>
      <c r="M265" s="1">
        <v>632945000</v>
      </c>
      <c r="N265" s="1">
        <v>601752140</v>
      </c>
      <c r="O265" s="1"/>
      <c r="P265" s="17" t="s">
        <v>1326</v>
      </c>
      <c r="Q265" s="17"/>
      <c r="R265" s="17" t="s">
        <v>1331</v>
      </c>
      <c r="S265" s="17"/>
      <c r="T265" s="17" t="s">
        <v>1332</v>
      </c>
      <c r="U265" s="17" t="s">
        <v>1332</v>
      </c>
      <c r="V265" s="17" t="s">
        <v>1327</v>
      </c>
      <c r="W265" s="45" t="e">
        <f>VLOOKUP(V265,'Actor and Actress Success'!$A$1:$B$72,2,FALSE)</f>
        <v>#N/A</v>
      </c>
      <c r="X265" s="35">
        <v>1</v>
      </c>
      <c r="Y265" s="35"/>
      <c r="Z265" s="17" t="s">
        <v>1328</v>
      </c>
      <c r="AA265" s="17"/>
      <c r="AB265" s="45" t="e">
        <f>VLOOKUP(Z265,'Actor and Actress Success'!$A$1:$B$72,2,FALSE)</f>
        <v>#N/A</v>
      </c>
      <c r="AC265" s="35">
        <v>1</v>
      </c>
      <c r="AD265" s="17" t="s">
        <v>1329</v>
      </c>
      <c r="AE265" s="17"/>
      <c r="AF265" s="45" t="e">
        <f>VLOOKUP(AD265,'Actor and Actress Success'!$A$1:$B$72,2,FALSE)</f>
        <v>#N/A</v>
      </c>
      <c r="AG265" s="35"/>
      <c r="AH265" s="17" t="s">
        <v>1330</v>
      </c>
      <c r="AI265" s="17"/>
      <c r="AK265" s="45" t="e">
        <f>VLOOKUP(AH265,'Actor and Actress Success'!$A$1:$B$72,2,FALSE)</f>
        <v>#N/A</v>
      </c>
    </row>
    <row r="266" spans="1:37">
      <c r="A266">
        <v>266</v>
      </c>
      <c r="B266" s="8" t="s">
        <v>348</v>
      </c>
      <c r="C266" s="10">
        <v>2012</v>
      </c>
      <c r="D266" s="12">
        <v>41040</v>
      </c>
      <c r="E266" s="12"/>
      <c r="F266" s="10" t="s">
        <v>177</v>
      </c>
      <c r="G266" s="10" t="s">
        <v>177</v>
      </c>
      <c r="H266" s="22" t="s">
        <v>56</v>
      </c>
      <c r="I266" s="22">
        <v>1100</v>
      </c>
      <c r="J266" s="22">
        <v>190</v>
      </c>
      <c r="K266" s="10">
        <v>62.5</v>
      </c>
      <c r="L266" s="1">
        <v>190000000</v>
      </c>
      <c r="M266" s="1">
        <v>630500000</v>
      </c>
      <c r="N266" s="1">
        <v>579430720</v>
      </c>
      <c r="O266" s="1"/>
      <c r="P266" s="17" t="s">
        <v>1088</v>
      </c>
      <c r="Q266" s="17"/>
      <c r="R266" s="17" t="s">
        <v>1311</v>
      </c>
      <c r="S266" s="17"/>
      <c r="T266" s="17" t="s">
        <v>1336</v>
      </c>
      <c r="U266" s="17" t="s">
        <v>1088</v>
      </c>
      <c r="V266" s="17" t="s">
        <v>1333</v>
      </c>
      <c r="W266" s="45" t="e">
        <f>VLOOKUP(V266,'Actor and Actress Success'!$A$1:$B$72,2,FALSE)</f>
        <v>#N/A</v>
      </c>
      <c r="X266" s="35">
        <v>1</v>
      </c>
      <c r="Y266" s="35"/>
      <c r="Z266" s="17" t="s">
        <v>1334</v>
      </c>
      <c r="AA266" s="17"/>
      <c r="AB266" s="45">
        <f>VLOOKUP(Z266,'Actor and Actress Success'!$A$1:$B$72,2,FALSE)</f>
        <v>50</v>
      </c>
      <c r="AC266" s="35">
        <v>1</v>
      </c>
      <c r="AD266" s="17" t="s">
        <v>1335</v>
      </c>
      <c r="AE266" s="17"/>
      <c r="AF266" s="45" t="e">
        <f>VLOOKUP(AD266,'Actor and Actress Success'!$A$1:$B$72,2,FALSE)</f>
        <v>#N/A</v>
      </c>
      <c r="AG266" s="35"/>
      <c r="AK266" s="45" t="e">
        <f>VLOOKUP(AH266,'Actor and Actress Success'!$A$1:$B$72,2,FALSE)</f>
        <v>#N/A</v>
      </c>
    </row>
    <row r="267" spans="1:37">
      <c r="A267">
        <v>267</v>
      </c>
      <c r="B267" s="8" t="s">
        <v>349</v>
      </c>
      <c r="C267" s="10">
        <v>2012</v>
      </c>
      <c r="D267" s="12">
        <v>41117</v>
      </c>
      <c r="E267" s="12"/>
      <c r="F267" s="10" t="s">
        <v>177</v>
      </c>
      <c r="G267" s="10" t="s">
        <v>177</v>
      </c>
      <c r="H267" s="22" t="s">
        <v>439</v>
      </c>
      <c r="I267" s="22">
        <v>1400</v>
      </c>
      <c r="J267" s="22">
        <v>194</v>
      </c>
      <c r="K267" s="10">
        <v>10</v>
      </c>
      <c r="L267" s="1">
        <v>190000000</v>
      </c>
      <c r="M267" s="1">
        <v>607725000</v>
      </c>
      <c r="N267" s="1">
        <v>530897840</v>
      </c>
      <c r="O267" s="1"/>
      <c r="P267" s="17" t="s">
        <v>1055</v>
      </c>
      <c r="Q267" s="17"/>
      <c r="R267" s="17" t="s">
        <v>1339</v>
      </c>
      <c r="S267" s="17"/>
      <c r="T267" s="17" t="s">
        <v>1055</v>
      </c>
      <c r="U267" s="17" t="s">
        <v>1055</v>
      </c>
      <c r="V267" s="17" t="s">
        <v>909</v>
      </c>
      <c r="W267" s="45" t="e">
        <f>VLOOKUP(V267,'Actor and Actress Success'!$A$1:$B$72,2,FALSE)</f>
        <v>#N/A</v>
      </c>
      <c r="X267" s="35">
        <v>1</v>
      </c>
      <c r="Y267" s="35"/>
      <c r="Z267" s="17" t="s">
        <v>928</v>
      </c>
      <c r="AA267" s="17"/>
      <c r="AB267" s="45" t="e">
        <f>VLOOKUP(Z267,'Actor and Actress Success'!$A$1:$B$72,2,FALSE)</f>
        <v>#N/A</v>
      </c>
      <c r="AC267" s="35">
        <v>1</v>
      </c>
      <c r="AD267" s="17" t="s">
        <v>1337</v>
      </c>
      <c r="AE267" s="17"/>
      <c r="AF267" s="45" t="e">
        <f>VLOOKUP(AD267,'Actor and Actress Success'!$A$1:$B$72,2,FALSE)</f>
        <v>#N/A</v>
      </c>
      <c r="AG267" s="35">
        <v>1</v>
      </c>
      <c r="AH267" s="17" t="s">
        <v>1338</v>
      </c>
      <c r="AI267" s="17"/>
      <c r="AJ267" s="34">
        <v>1</v>
      </c>
      <c r="AK267" s="45" t="e">
        <f>VLOOKUP(AH267,'Actor and Actress Success'!$A$1:$B$72,2,FALSE)</f>
        <v>#N/A</v>
      </c>
    </row>
    <row r="268" spans="1:37">
      <c r="A268">
        <v>268</v>
      </c>
      <c r="B268" s="8" t="s">
        <v>350</v>
      </c>
      <c r="C268" s="10">
        <v>2015</v>
      </c>
      <c r="D268" s="12">
        <v>42342</v>
      </c>
      <c r="E268" s="12"/>
      <c r="F268" s="10" t="s">
        <v>177</v>
      </c>
      <c r="G268" s="10" t="s">
        <v>177</v>
      </c>
      <c r="H268" s="22" t="s">
        <v>408</v>
      </c>
      <c r="I268" s="22">
        <v>2600</v>
      </c>
      <c r="J268" s="22">
        <v>196</v>
      </c>
      <c r="K268" s="10">
        <v>5</v>
      </c>
      <c r="L268" s="1">
        <v>200000000</v>
      </c>
      <c r="M268" s="1">
        <v>622125000</v>
      </c>
      <c r="N268" s="1">
        <v>509873100</v>
      </c>
      <c r="O268" s="1"/>
      <c r="P268" s="17" t="s">
        <v>1340</v>
      </c>
      <c r="Q268" s="17"/>
      <c r="R268" s="17" t="s">
        <v>1344</v>
      </c>
      <c r="S268" s="17"/>
      <c r="T268" s="17" t="s">
        <v>520</v>
      </c>
      <c r="U268" s="17" t="s">
        <v>520</v>
      </c>
      <c r="V268" s="17" t="s">
        <v>790</v>
      </c>
      <c r="W268" s="45" t="e">
        <f>VLOOKUP(V268,'Actor and Actress Success'!$A$1:$B$72,2,FALSE)</f>
        <v>#N/A</v>
      </c>
      <c r="X268" s="35">
        <v>1</v>
      </c>
      <c r="Y268" s="35"/>
      <c r="Z268" s="17" t="s">
        <v>1341</v>
      </c>
      <c r="AA268" s="17"/>
      <c r="AB268" s="45" t="e">
        <f>VLOOKUP(Z268,'Actor and Actress Success'!$A$1:$B$72,2,FALSE)</f>
        <v>#N/A</v>
      </c>
      <c r="AC268" s="35">
        <v>1</v>
      </c>
      <c r="AD268" s="17" t="s">
        <v>1342</v>
      </c>
      <c r="AE268" s="17"/>
      <c r="AF268" s="45" t="e">
        <f>VLOOKUP(AD268,'Actor and Actress Success'!$A$1:$B$72,2,FALSE)</f>
        <v>#N/A</v>
      </c>
      <c r="AG268" s="35">
        <v>1</v>
      </c>
      <c r="AH268" s="17" t="s">
        <v>1343</v>
      </c>
      <c r="AI268" s="17"/>
      <c r="AJ268" s="34">
        <v>1</v>
      </c>
      <c r="AK268" s="45" t="e">
        <f>VLOOKUP(AH268,'Actor and Actress Success'!$A$1:$B$72,2,FALSE)</f>
        <v>#N/A</v>
      </c>
    </row>
    <row r="269" spans="1:37">
      <c r="A269">
        <v>269</v>
      </c>
      <c r="B269" s="8" t="s">
        <v>351</v>
      </c>
      <c r="C269" s="10">
        <v>2015</v>
      </c>
      <c r="D269" s="12">
        <v>42055</v>
      </c>
      <c r="E269" s="12"/>
      <c r="F269" s="10" t="s">
        <v>177</v>
      </c>
      <c r="G269" s="10" t="s">
        <v>177</v>
      </c>
      <c r="H269" s="22" t="s">
        <v>408</v>
      </c>
      <c r="I269" s="22">
        <v>1700</v>
      </c>
      <c r="J269" s="22">
        <v>197</v>
      </c>
      <c r="K269" s="10">
        <v>58.75</v>
      </c>
      <c r="L269" s="1">
        <v>359600000</v>
      </c>
      <c r="M269" s="1">
        <v>789020000</v>
      </c>
      <c r="N269" s="1">
        <v>496200000</v>
      </c>
      <c r="O269" s="1"/>
      <c r="P269" s="17" t="s">
        <v>1345</v>
      </c>
      <c r="Q269" s="17"/>
      <c r="R269" s="17" t="s">
        <v>1217</v>
      </c>
      <c r="S269" s="17"/>
      <c r="T269" s="17" t="s">
        <v>1349</v>
      </c>
      <c r="U269" s="17" t="s">
        <v>1346</v>
      </c>
      <c r="V269" s="17" t="s">
        <v>1220</v>
      </c>
      <c r="W269" s="45">
        <f>VLOOKUP(V269,'Actor and Actress Success'!$A$1:$B$72,2,FALSE)</f>
        <v>88.888888888888886</v>
      </c>
      <c r="X269" s="35">
        <v>1</v>
      </c>
      <c r="Y269" s="35"/>
      <c r="Z269" s="17" t="s">
        <v>1154</v>
      </c>
      <c r="AA269" s="17"/>
      <c r="AB269" s="45" t="e">
        <f>VLOOKUP(Z269,'Actor and Actress Success'!$A$1:$B$72,2,FALSE)</f>
        <v>#N/A</v>
      </c>
      <c r="AC269" s="35">
        <v>1</v>
      </c>
      <c r="AD269" s="17" t="s">
        <v>1347</v>
      </c>
      <c r="AE269" s="17"/>
      <c r="AF269" s="45" t="e">
        <f>VLOOKUP(AD269,'Actor and Actress Success'!$A$1:$B$72,2,FALSE)</f>
        <v>#N/A</v>
      </c>
      <c r="AG269" s="35">
        <v>1</v>
      </c>
      <c r="AH269" s="17" t="s">
        <v>1348</v>
      </c>
      <c r="AI269" s="17"/>
      <c r="AJ269" s="34">
        <v>1</v>
      </c>
      <c r="AK269" s="45" t="e">
        <f>VLOOKUP(AH269,'Actor and Actress Success'!$A$1:$B$72,2,FALSE)</f>
        <v>#N/A</v>
      </c>
    </row>
    <row r="270" spans="1:37">
      <c r="A270">
        <v>270</v>
      </c>
      <c r="B270" s="8" t="s">
        <v>352</v>
      </c>
      <c r="C270" s="10">
        <v>2013</v>
      </c>
      <c r="D270" s="12">
        <v>41523</v>
      </c>
      <c r="E270" s="12"/>
      <c r="F270" s="10" t="s">
        <v>177</v>
      </c>
      <c r="G270" s="10" t="s">
        <v>177</v>
      </c>
      <c r="H270" s="22" t="s">
        <v>547</v>
      </c>
      <c r="I270" s="22">
        <v>1050</v>
      </c>
      <c r="J270" s="22">
        <v>198</v>
      </c>
      <c r="K270" s="10">
        <v>79.12</v>
      </c>
      <c r="L270" s="1">
        <v>250000000</v>
      </c>
      <c r="M270" s="1">
        <v>751180000</v>
      </c>
      <c r="N270" s="1">
        <v>493108880</v>
      </c>
      <c r="O270" s="1"/>
      <c r="P270" s="17" t="s">
        <v>1350</v>
      </c>
      <c r="Q270" s="17"/>
      <c r="R270" s="17" t="s">
        <v>1217</v>
      </c>
      <c r="S270" s="17"/>
      <c r="T270" s="17" t="s">
        <v>834</v>
      </c>
      <c r="U270" s="17" t="s">
        <v>834</v>
      </c>
      <c r="V270" s="17" t="s">
        <v>724</v>
      </c>
      <c r="W270" s="45">
        <f>VLOOKUP(V270,'Actor and Actress Success'!$A$1:$B$72,2,FALSE)</f>
        <v>26.086956521739129</v>
      </c>
      <c r="X270" s="35"/>
      <c r="Y270" s="35"/>
      <c r="Z270" s="17" t="s">
        <v>1351</v>
      </c>
      <c r="AA270" s="17"/>
      <c r="AB270" s="45" t="e">
        <f>VLOOKUP(Z270,'Actor and Actress Success'!$A$1:$B$72,2,FALSE)</f>
        <v>#N/A</v>
      </c>
      <c r="AC270" s="35">
        <v>1</v>
      </c>
      <c r="AD270" s="17" t="s">
        <v>1334</v>
      </c>
      <c r="AE270" s="17"/>
      <c r="AF270" s="45">
        <f>VLOOKUP(AD270,'Actor and Actress Success'!$A$1:$B$72,2,FALSE)</f>
        <v>50</v>
      </c>
      <c r="AG270" s="35">
        <v>1</v>
      </c>
      <c r="AH270" s="17" t="s">
        <v>1352</v>
      </c>
      <c r="AI270" s="17"/>
      <c r="AJ270" s="34">
        <v>1</v>
      </c>
      <c r="AK270" s="45" t="e">
        <f>VLOOKUP(AH270,'Actor and Actress Success'!$A$1:$B$72,2,FALSE)</f>
        <v>#N/A</v>
      </c>
    </row>
    <row r="271" spans="1:37">
      <c r="A271">
        <v>271</v>
      </c>
      <c r="B271" s="8" t="s">
        <v>353</v>
      </c>
      <c r="C271" s="10">
        <v>2011</v>
      </c>
      <c r="D271" s="12">
        <v>40599</v>
      </c>
      <c r="E271" s="12"/>
      <c r="F271" s="10" t="s">
        <v>177</v>
      </c>
      <c r="G271" s="10" t="s">
        <v>177</v>
      </c>
      <c r="H271" s="22" t="s">
        <v>56</v>
      </c>
      <c r="I271" s="22">
        <v>850</v>
      </c>
      <c r="J271" s="22">
        <v>199</v>
      </c>
      <c r="K271" s="10">
        <v>86.25</v>
      </c>
      <c r="L271" s="1">
        <v>210000000</v>
      </c>
      <c r="M271" s="1">
        <v>564135000</v>
      </c>
      <c r="N271" s="1">
        <v>464396680</v>
      </c>
      <c r="O271" s="1"/>
      <c r="P271" s="17" t="s">
        <v>1181</v>
      </c>
      <c r="Q271" s="17"/>
      <c r="R271" s="17" t="s">
        <v>1353</v>
      </c>
      <c r="S271" s="17"/>
      <c r="T271" s="17" t="s">
        <v>1182</v>
      </c>
      <c r="U271" s="17" t="s">
        <v>1182</v>
      </c>
      <c r="V271" s="17" t="s">
        <v>789</v>
      </c>
      <c r="W271" s="45" t="e">
        <f>VLOOKUP(V271,'Actor and Actress Success'!$A$1:$B$72,2,FALSE)</f>
        <v>#N/A</v>
      </c>
      <c r="X271" s="35">
        <v>1</v>
      </c>
      <c r="Y271" s="35"/>
      <c r="Z271" s="17" t="s">
        <v>1113</v>
      </c>
      <c r="AA271" s="17"/>
      <c r="AB271" s="45">
        <f>VLOOKUP(Z271,'Actor and Actress Success'!$A$1:$B$72,2,FALSE)</f>
        <v>39.285714285714285</v>
      </c>
      <c r="AC271" s="35">
        <v>1</v>
      </c>
      <c r="AD271" s="17" t="s">
        <v>1028</v>
      </c>
      <c r="AE271" s="17"/>
      <c r="AF271" s="45" t="e">
        <f>VLOOKUP(AD271,'Actor and Actress Success'!$A$1:$B$72,2,FALSE)</f>
        <v>#N/A</v>
      </c>
      <c r="AG271" s="35"/>
      <c r="AH271" s="17" t="s">
        <v>1183</v>
      </c>
      <c r="AI271" s="17"/>
      <c r="AK271" s="45" t="e">
        <f>VLOOKUP(AH271,'Actor and Actress Success'!$A$1:$B$72,2,FALSE)</f>
        <v>#N/A</v>
      </c>
    </row>
    <row r="272" spans="1:37">
      <c r="A272">
        <v>272</v>
      </c>
      <c r="B272" s="8" t="s">
        <v>354</v>
      </c>
      <c r="C272" s="10">
        <v>2015</v>
      </c>
      <c r="D272" s="12">
        <v>42272</v>
      </c>
      <c r="E272" s="12"/>
      <c r="F272" s="10" t="s">
        <v>177</v>
      </c>
      <c r="G272" s="10" t="s">
        <v>177</v>
      </c>
      <c r="H272" s="22" t="s">
        <v>439</v>
      </c>
      <c r="I272" s="22">
        <v>1700</v>
      </c>
      <c r="J272" s="22">
        <v>200</v>
      </c>
      <c r="K272" s="10">
        <v>50.4</v>
      </c>
      <c r="L272" s="1">
        <v>160000000</v>
      </c>
      <c r="M272" s="1">
        <v>716000000</v>
      </c>
      <c r="N272" s="1">
        <v>459024720</v>
      </c>
      <c r="O272" s="1"/>
      <c r="P272" s="17" t="s">
        <v>448</v>
      </c>
      <c r="Q272" s="17"/>
      <c r="R272" s="17" t="s">
        <v>1357</v>
      </c>
      <c r="S272" s="17"/>
      <c r="T272" s="17" t="s">
        <v>1358</v>
      </c>
      <c r="U272" s="17" t="s">
        <v>1354</v>
      </c>
      <c r="V272" s="17" t="s">
        <v>1355</v>
      </c>
      <c r="W272" s="45" t="e">
        <f>VLOOKUP(V272,'Actor and Actress Success'!$A$1:$B$72,2,FALSE)</f>
        <v>#N/A</v>
      </c>
      <c r="X272" s="35">
        <v>1</v>
      </c>
      <c r="Y272" s="35"/>
      <c r="Z272" s="17" t="s">
        <v>469</v>
      </c>
      <c r="AA272" s="17"/>
      <c r="AB272" s="45" t="e">
        <f>VLOOKUP(Z272,'Actor and Actress Success'!$A$1:$B$72,2,FALSE)</f>
        <v>#N/A</v>
      </c>
      <c r="AC272" s="35"/>
      <c r="AD272" s="17" t="s">
        <v>1356</v>
      </c>
      <c r="AE272" s="17"/>
      <c r="AF272" s="45" t="e">
        <f>VLOOKUP(AD272,'Actor and Actress Success'!$A$1:$B$72,2,FALSE)</f>
        <v>#N/A</v>
      </c>
      <c r="AG272" s="35"/>
      <c r="AH272" s="17" t="s">
        <v>923</v>
      </c>
      <c r="AI272" s="17"/>
      <c r="AK272" s="45" t="e">
        <f>VLOOKUP(AH272,'Actor and Actress Success'!$A$1:$B$72,2,FALSE)</f>
        <v>#N/A</v>
      </c>
    </row>
    <row r="273" spans="1:37">
      <c r="A273">
        <v>273</v>
      </c>
      <c r="B273" s="8" t="s">
        <v>355</v>
      </c>
      <c r="C273" s="10">
        <v>2013</v>
      </c>
      <c r="D273" s="12">
        <v>41369</v>
      </c>
      <c r="E273" s="12"/>
      <c r="F273" s="10" t="s">
        <v>177</v>
      </c>
      <c r="G273" s="10" t="s">
        <v>177</v>
      </c>
      <c r="H273" s="22" t="s">
        <v>439</v>
      </c>
      <c r="I273" s="22">
        <v>1500</v>
      </c>
      <c r="J273" s="22">
        <v>201</v>
      </c>
      <c r="K273" s="10">
        <v>47.5</v>
      </c>
      <c r="L273" s="1">
        <v>200000000</v>
      </c>
      <c r="M273" s="20">
        <v>628043750</v>
      </c>
      <c r="N273" s="1">
        <v>454671580</v>
      </c>
      <c r="O273" s="1"/>
      <c r="P273" s="17" t="s">
        <v>441</v>
      </c>
      <c r="Q273" s="17">
        <f>Q152+600450000+169300000+333425000</f>
        <v>1103175000</v>
      </c>
      <c r="R273" s="17" t="s">
        <v>829</v>
      </c>
      <c r="S273" s="17"/>
      <c r="U273" s="17" t="s">
        <v>1159</v>
      </c>
      <c r="V273" s="17" t="s">
        <v>724</v>
      </c>
      <c r="W273" s="45">
        <f>VLOOKUP(V273,'Actor and Actress Success'!$A$1:$B$72,2,FALSE)</f>
        <v>26.086956521739129</v>
      </c>
      <c r="X273" s="35"/>
      <c r="Y273" s="35"/>
      <c r="Z273" s="17" t="s">
        <v>1299</v>
      </c>
      <c r="AA273" s="17"/>
      <c r="AB273" s="45" t="e">
        <f>VLOOKUP(Z273,'Actor and Actress Success'!$A$1:$B$72,2,FALSE)</f>
        <v>#N/A</v>
      </c>
      <c r="AC273" s="35">
        <v>1</v>
      </c>
      <c r="AD273" s="17" t="s">
        <v>1359</v>
      </c>
      <c r="AE273" s="17"/>
      <c r="AF273" s="45" t="e">
        <f>VLOOKUP(AD273,'Actor and Actress Success'!$A$1:$B$72,2,FALSE)</f>
        <v>#N/A</v>
      </c>
      <c r="AG273" s="35">
        <v>1</v>
      </c>
      <c r="AH273" s="17" t="s">
        <v>952</v>
      </c>
      <c r="AI273" s="17"/>
      <c r="AJ273" s="34">
        <v>1</v>
      </c>
      <c r="AK273" s="45" t="e">
        <f>VLOOKUP(AH273,'Actor and Actress Success'!$A$1:$B$72,2,FALSE)</f>
        <v>#N/A</v>
      </c>
    </row>
    <row r="274" spans="1:37">
      <c r="A274">
        <v>274</v>
      </c>
      <c r="B274" s="8" t="s">
        <v>356</v>
      </c>
      <c r="C274" s="10">
        <v>2012</v>
      </c>
      <c r="D274" s="12">
        <v>41019</v>
      </c>
      <c r="E274" s="12"/>
      <c r="F274" s="10" t="s">
        <v>177</v>
      </c>
      <c r="G274" s="10" t="s">
        <v>177</v>
      </c>
      <c r="H274" s="22" t="s">
        <v>439</v>
      </c>
      <c r="I274" s="22">
        <v>575</v>
      </c>
      <c r="J274" s="22">
        <v>202</v>
      </c>
      <c r="K274" s="10">
        <v>79</v>
      </c>
      <c r="L274" s="1">
        <v>100000000</v>
      </c>
      <c r="M274" s="20">
        <v>613200000</v>
      </c>
      <c r="N274" s="1">
        <v>431053480</v>
      </c>
      <c r="O274" s="1"/>
      <c r="P274" s="17" t="s">
        <v>1274</v>
      </c>
      <c r="Q274" s="17"/>
      <c r="R274" s="17" t="s">
        <v>1363</v>
      </c>
      <c r="S274" s="17"/>
      <c r="T274" s="17" t="s">
        <v>1276</v>
      </c>
      <c r="U274" s="17" t="s">
        <v>1276</v>
      </c>
      <c r="V274" s="17" t="s">
        <v>1360</v>
      </c>
      <c r="W274" s="45" t="e">
        <f>VLOOKUP(V274,'Actor and Actress Success'!$A$1:$B$72,2,FALSE)</f>
        <v>#N/A</v>
      </c>
      <c r="X274" s="35">
        <v>1</v>
      </c>
      <c r="Y274" s="35"/>
      <c r="Z274" s="17" t="s">
        <v>1348</v>
      </c>
      <c r="AA274" s="17"/>
      <c r="AB274" s="45" t="e">
        <f>VLOOKUP(Z274,'Actor and Actress Success'!$A$1:$B$72,2,FALSE)</f>
        <v>#N/A</v>
      </c>
      <c r="AC274" s="35">
        <v>1</v>
      </c>
      <c r="AD274" s="17" t="s">
        <v>1361</v>
      </c>
      <c r="AE274" s="17"/>
      <c r="AF274" s="45" t="e">
        <f>VLOOKUP(AD274,'Actor and Actress Success'!$A$1:$B$72,2,FALSE)</f>
        <v>#N/A</v>
      </c>
      <c r="AG274" s="35">
        <v>1</v>
      </c>
      <c r="AH274" s="17" t="s">
        <v>1362</v>
      </c>
      <c r="AI274" s="17"/>
      <c r="AK274" s="45" t="e">
        <f>VLOOKUP(AH274,'Actor and Actress Success'!$A$1:$B$72,2,FALSE)</f>
        <v>#N/A</v>
      </c>
    </row>
    <row r="275" spans="1:37">
      <c r="A275">
        <v>275</v>
      </c>
      <c r="B275" s="8" t="s">
        <v>357</v>
      </c>
      <c r="C275" s="10">
        <v>2010</v>
      </c>
      <c r="D275" s="12">
        <v>40403</v>
      </c>
      <c r="E275" s="12"/>
      <c r="F275" s="10" t="s">
        <v>177</v>
      </c>
      <c r="G275" s="10" t="s">
        <v>177</v>
      </c>
      <c r="H275" s="22" t="s">
        <v>6</v>
      </c>
      <c r="I275" s="22">
        <v>825</v>
      </c>
      <c r="J275" s="22">
        <v>204</v>
      </c>
      <c r="K275" s="10">
        <v>70</v>
      </c>
      <c r="L275" s="1">
        <v>140000000</v>
      </c>
      <c r="M275" s="20">
        <v>468525000</v>
      </c>
      <c r="N275" s="20">
        <v>397525040</v>
      </c>
      <c r="O275" s="20"/>
      <c r="P275" s="17" t="s">
        <v>1364</v>
      </c>
      <c r="Q275" s="17"/>
      <c r="R275" s="17" t="s">
        <v>1317</v>
      </c>
      <c r="S275" s="17"/>
      <c r="T275" s="17" t="s">
        <v>1364</v>
      </c>
      <c r="U275" s="17" t="s">
        <v>1364</v>
      </c>
      <c r="V275" s="17" t="s">
        <v>1365</v>
      </c>
      <c r="W275" s="45" t="e">
        <f>VLOOKUP(V275,'Actor and Actress Success'!$A$1:$B$72,2,FALSE)</f>
        <v>#N/A</v>
      </c>
      <c r="X275" s="35">
        <v>1</v>
      </c>
      <c r="Y275" s="35"/>
      <c r="Z275" s="17" t="s">
        <v>1366</v>
      </c>
      <c r="AA275" s="17"/>
      <c r="AB275" s="45" t="e">
        <f>VLOOKUP(Z275,'Actor and Actress Success'!$A$1:$B$72,2,FALSE)</f>
        <v>#N/A</v>
      </c>
      <c r="AC275" s="35">
        <v>1</v>
      </c>
      <c r="AD275" s="17" t="s">
        <v>1365</v>
      </c>
      <c r="AE275" s="17"/>
      <c r="AF275" s="45" t="e">
        <f>VLOOKUP(AD275,'Actor and Actress Success'!$A$1:$B$72,2,FALSE)</f>
        <v>#N/A</v>
      </c>
      <c r="AG275" s="35"/>
      <c r="AH275" s="17" t="s">
        <v>1366</v>
      </c>
      <c r="AI275" s="17"/>
      <c r="AK275" s="45" t="e">
        <f>VLOOKUP(AH275,'Actor and Actress Success'!$A$1:$B$72,2,FALSE)</f>
        <v>#N/A</v>
      </c>
    </row>
    <row r="276" spans="1:37">
      <c r="A276">
        <v>276</v>
      </c>
      <c r="B276" s="8" t="s">
        <v>358</v>
      </c>
      <c r="C276" s="10">
        <v>2011</v>
      </c>
      <c r="D276" s="12">
        <v>40669</v>
      </c>
      <c r="E276" s="12"/>
      <c r="F276" s="10" t="s">
        <v>177</v>
      </c>
      <c r="G276" s="10" t="s">
        <v>177</v>
      </c>
      <c r="H276" s="22" t="s">
        <v>757</v>
      </c>
      <c r="I276" s="22">
        <v>1100</v>
      </c>
      <c r="J276" s="22">
        <v>207</v>
      </c>
      <c r="K276" s="10">
        <v>0</v>
      </c>
      <c r="L276" s="1">
        <v>130000000</v>
      </c>
      <c r="M276" s="20">
        <v>360300000</v>
      </c>
      <c r="N276" s="20">
        <v>351492900</v>
      </c>
      <c r="O276" s="20"/>
      <c r="P276" s="17" t="s">
        <v>520</v>
      </c>
      <c r="Q276" s="17"/>
      <c r="R276" s="17" t="s">
        <v>1367</v>
      </c>
      <c r="S276" s="17"/>
      <c r="T276" s="17" t="s">
        <v>1368</v>
      </c>
      <c r="U276" s="17" t="s">
        <v>1368</v>
      </c>
      <c r="V276" s="17" t="s">
        <v>1369</v>
      </c>
      <c r="W276" s="45" t="e">
        <f>VLOOKUP(V276,'Actor and Actress Success'!$A$1:$B$72,2,FALSE)</f>
        <v>#N/A</v>
      </c>
      <c r="X276" s="35">
        <v>1</v>
      </c>
      <c r="Y276" s="35"/>
      <c r="Z276" s="17" t="s">
        <v>1370</v>
      </c>
      <c r="AA276" s="17"/>
      <c r="AB276" s="45" t="e">
        <f>VLOOKUP(Z276,'Actor and Actress Success'!$A$1:$B$72,2,FALSE)</f>
        <v>#N/A</v>
      </c>
      <c r="AC276" s="35">
        <v>1</v>
      </c>
      <c r="AD276" s="17" t="s">
        <v>1371</v>
      </c>
      <c r="AE276" s="17"/>
      <c r="AF276" s="45" t="e">
        <f>VLOOKUP(AD276,'Actor and Actress Success'!$A$1:$B$72,2,FALSE)</f>
        <v>#N/A</v>
      </c>
      <c r="AG276" s="35"/>
      <c r="AH276" s="17" t="s">
        <v>1372</v>
      </c>
      <c r="AI276" s="17"/>
      <c r="AK276" s="45" t="e">
        <f>VLOOKUP(AH276,'Actor and Actress Success'!$A$1:$B$72,2,FALSE)</f>
        <v>#N/A</v>
      </c>
    </row>
    <row r="277" spans="1:37">
      <c r="A277">
        <v>277</v>
      </c>
      <c r="B277" s="8" t="s">
        <v>359</v>
      </c>
      <c r="C277" s="10">
        <v>2013</v>
      </c>
      <c r="D277" s="12">
        <v>41348</v>
      </c>
      <c r="E277" s="12"/>
      <c r="F277" s="10" t="s">
        <v>177</v>
      </c>
      <c r="G277" s="10" t="s">
        <v>177</v>
      </c>
      <c r="H277" s="22" t="s">
        <v>439</v>
      </c>
      <c r="I277" s="22">
        <v>875</v>
      </c>
      <c r="J277" s="22">
        <v>208</v>
      </c>
      <c r="K277" s="10">
        <v>72.73</v>
      </c>
      <c r="L277" s="1">
        <v>135000000</v>
      </c>
      <c r="M277" s="20">
        <v>432900000</v>
      </c>
      <c r="N277" s="20">
        <v>314630140</v>
      </c>
      <c r="O277" s="20"/>
      <c r="P277" s="17" t="s">
        <v>1373</v>
      </c>
      <c r="Q277" s="17"/>
      <c r="R277" s="17" t="s">
        <v>1353</v>
      </c>
      <c r="S277" s="17"/>
      <c r="T277" s="17" t="s">
        <v>1373</v>
      </c>
      <c r="U277" s="17" t="s">
        <v>1373</v>
      </c>
      <c r="V277" s="17" t="s">
        <v>550</v>
      </c>
      <c r="W277" s="45" t="e">
        <f>VLOOKUP(V277,'Actor and Actress Success'!$A$1:$B$72,2,FALSE)</f>
        <v>#N/A</v>
      </c>
      <c r="X277" s="35">
        <v>1</v>
      </c>
      <c r="Y277" s="35"/>
      <c r="Z277" s="17" t="s">
        <v>824</v>
      </c>
      <c r="AA277" s="17"/>
      <c r="AB277" s="45" t="e">
        <f>VLOOKUP(Z277,'Actor and Actress Success'!$A$1:$B$72,2,FALSE)</f>
        <v>#N/A</v>
      </c>
      <c r="AC277" s="35">
        <v>1</v>
      </c>
      <c r="AD277" s="17" t="s">
        <v>811</v>
      </c>
      <c r="AE277" s="17"/>
      <c r="AF277" s="45" t="e">
        <f>VLOOKUP(AD277,'Actor and Actress Success'!$A$1:$B$72,2,FALSE)</f>
        <v>#N/A</v>
      </c>
      <c r="AG277" s="35"/>
      <c r="AH277" s="17" t="s">
        <v>516</v>
      </c>
      <c r="AI277" s="17"/>
      <c r="AK277" s="45" t="e">
        <f>VLOOKUP(AH277,'Actor and Actress Success'!$A$1:$B$72,2,FALSE)</f>
        <v>#N/A</v>
      </c>
    </row>
    <row r="278" spans="1:37">
      <c r="A278">
        <v>278</v>
      </c>
      <c r="B278" s="8" t="s">
        <v>108</v>
      </c>
      <c r="C278" s="10">
        <v>2015</v>
      </c>
      <c r="D278" s="12">
        <v>42356</v>
      </c>
      <c r="E278" s="12"/>
      <c r="F278" s="10" t="s">
        <v>178</v>
      </c>
      <c r="G278" s="10" t="s">
        <v>178</v>
      </c>
      <c r="H278" s="22" t="s">
        <v>428</v>
      </c>
      <c r="I278" s="22">
        <v>3150</v>
      </c>
      <c r="J278" s="22">
        <v>213</v>
      </c>
      <c r="K278" s="10">
        <v>47.07</v>
      </c>
      <c r="L278" s="1">
        <v>1650000000</v>
      </c>
      <c r="M278" s="20">
        <v>3722315000</v>
      </c>
      <c r="N278" s="20">
        <v>1424310360</v>
      </c>
      <c r="O278" s="20"/>
      <c r="P278" s="17" t="s">
        <v>977</v>
      </c>
      <c r="Q278" s="17"/>
      <c r="R278" s="17" t="s">
        <v>801</v>
      </c>
      <c r="S278" s="17"/>
      <c r="T278" s="17" t="s">
        <v>979</v>
      </c>
      <c r="U278" s="17" t="s">
        <v>977</v>
      </c>
      <c r="V278" s="37" t="s">
        <v>58</v>
      </c>
      <c r="W278" s="45">
        <f>VLOOKUP(V278,'Actor and Actress Success'!$A$1:$B$72,2,FALSE)</f>
        <v>66.666666666666657</v>
      </c>
      <c r="X278" s="35">
        <v>1</v>
      </c>
      <c r="Y278" s="35"/>
      <c r="Z278" s="37" t="s">
        <v>59</v>
      </c>
      <c r="AA278" s="37"/>
      <c r="AB278" s="45">
        <f>VLOOKUP(Z278,'Actor and Actress Success'!$A$1:$B$72,2,FALSE)</f>
        <v>46.428571428571431</v>
      </c>
      <c r="AC278" s="35">
        <v>1</v>
      </c>
      <c r="AD278" s="17" t="s">
        <v>1220</v>
      </c>
      <c r="AE278" s="17"/>
      <c r="AF278" s="45">
        <f>VLOOKUP(AD278,'Actor and Actress Success'!$A$1:$B$72,2,FALSE)</f>
        <v>88.888888888888886</v>
      </c>
      <c r="AG278" s="35">
        <v>1</v>
      </c>
      <c r="AH278" s="17" t="s">
        <v>1307</v>
      </c>
      <c r="AI278" s="17"/>
      <c r="AJ278" s="34">
        <v>1</v>
      </c>
      <c r="AK278" s="45" t="e">
        <f>VLOOKUP(AH278,'Actor and Actress Success'!$A$1:$B$72,2,FALSE)</f>
        <v>#N/A</v>
      </c>
    </row>
    <row r="279" spans="1:37">
      <c r="A279">
        <v>279</v>
      </c>
      <c r="B279" s="8" t="s">
        <v>360</v>
      </c>
      <c r="C279" s="10">
        <v>2014</v>
      </c>
      <c r="D279" s="12">
        <v>41914</v>
      </c>
      <c r="E279" s="12"/>
      <c r="F279" s="10" t="s">
        <v>178</v>
      </c>
      <c r="G279" s="10" t="s">
        <v>178</v>
      </c>
      <c r="H279" s="22" t="s">
        <v>50</v>
      </c>
      <c r="I279" s="22">
        <v>3250</v>
      </c>
      <c r="J279" s="22">
        <v>214</v>
      </c>
      <c r="K279" s="10">
        <v>57.01</v>
      </c>
      <c r="L279" s="1">
        <v>1600000000</v>
      </c>
      <c r="M279" s="20">
        <v>2706912500</v>
      </c>
      <c r="N279" s="20">
        <v>1410650000</v>
      </c>
      <c r="O279" s="20"/>
      <c r="P279" s="17" t="s">
        <v>1041</v>
      </c>
      <c r="Q279" s="17"/>
      <c r="R279" s="17" t="s">
        <v>805</v>
      </c>
      <c r="S279" s="17"/>
      <c r="T279" s="17" t="s">
        <v>1375</v>
      </c>
      <c r="U279" s="17" t="s">
        <v>920</v>
      </c>
      <c r="V279" s="17" t="s">
        <v>794</v>
      </c>
      <c r="W279" s="45">
        <f>VLOOKUP(V279,'Actor and Actress Success'!$A$1:$B$72,2,FALSE)</f>
        <v>54.54545454545454</v>
      </c>
      <c r="X279" s="35">
        <v>1</v>
      </c>
      <c r="Y279" s="35"/>
      <c r="Z279" s="17" t="s">
        <v>831</v>
      </c>
      <c r="AA279" s="17"/>
      <c r="AB279" s="45">
        <f>VLOOKUP(Z279,'Actor and Actress Success'!$A$1:$B$72,2,FALSE)</f>
        <v>73.076923076923066</v>
      </c>
      <c r="AC279" s="35">
        <v>1</v>
      </c>
      <c r="AD279" s="17" t="s">
        <v>1374</v>
      </c>
      <c r="AE279" s="17"/>
      <c r="AF279" s="45" t="e">
        <f>VLOOKUP(AD279,'Actor and Actress Success'!$A$1:$B$72,2,FALSE)</f>
        <v>#N/A</v>
      </c>
      <c r="AG279" s="35"/>
      <c r="AH279" s="17" t="s">
        <v>462</v>
      </c>
      <c r="AI279" s="17"/>
      <c r="AK279" s="45" t="e">
        <f>VLOOKUP(AH279,'Actor and Actress Success'!$A$1:$B$72,2,FALSE)</f>
        <v>#N/A</v>
      </c>
    </row>
    <row r="280" spans="1:37">
      <c r="A280">
        <v>280</v>
      </c>
      <c r="B280" s="8" t="s">
        <v>361</v>
      </c>
      <c r="C280" s="10">
        <v>2014</v>
      </c>
      <c r="D280" s="12">
        <v>41663</v>
      </c>
      <c r="E280" s="12"/>
      <c r="F280" s="10" t="s">
        <v>178</v>
      </c>
      <c r="G280" s="10" t="s">
        <v>178</v>
      </c>
      <c r="H280" s="22" t="s">
        <v>50</v>
      </c>
      <c r="I280" s="22">
        <v>3700</v>
      </c>
      <c r="J280" s="22">
        <v>216</v>
      </c>
      <c r="K280" s="10">
        <v>59.67</v>
      </c>
      <c r="L280" s="1">
        <v>1020000000</v>
      </c>
      <c r="M280" s="20">
        <v>1862120000</v>
      </c>
      <c r="N280" s="20">
        <v>1333542760</v>
      </c>
      <c r="O280" s="20"/>
      <c r="P280" s="17" t="s">
        <v>467</v>
      </c>
      <c r="Q280" s="17"/>
      <c r="R280" s="17" t="s">
        <v>1376</v>
      </c>
      <c r="S280" s="17"/>
      <c r="T280" s="17" t="s">
        <v>541</v>
      </c>
      <c r="U280" s="17" t="s">
        <v>796</v>
      </c>
      <c r="V280" s="17" t="s">
        <v>16</v>
      </c>
      <c r="W280" s="45">
        <f>VLOOKUP(V280,'Actor and Actress Success'!$A$1:$B$72,2,FALSE)</f>
        <v>50.819672131147541</v>
      </c>
      <c r="X280" s="35">
        <v>1</v>
      </c>
      <c r="Y280" s="35"/>
      <c r="Z280" s="17" t="s">
        <v>394</v>
      </c>
      <c r="AA280" s="17"/>
      <c r="AB280" s="45" t="e">
        <f>VLOOKUP(Z280,'Actor and Actress Success'!$A$1:$B$72,2,FALSE)</f>
        <v>#N/A</v>
      </c>
      <c r="AC280" s="35">
        <v>1</v>
      </c>
      <c r="AD280" s="17" t="s">
        <v>1343</v>
      </c>
      <c r="AE280" s="17"/>
      <c r="AF280" s="45" t="e">
        <f>VLOOKUP(AD280,'Actor and Actress Success'!$A$1:$B$72,2,FALSE)</f>
        <v>#N/A</v>
      </c>
      <c r="AG280" s="35">
        <v>1</v>
      </c>
      <c r="AH280" s="17" t="s">
        <v>462</v>
      </c>
      <c r="AI280" s="17"/>
      <c r="AK280" s="45" t="e">
        <f>VLOOKUP(AH280,'Actor and Actress Success'!$A$1:$B$72,2,FALSE)</f>
        <v>#N/A</v>
      </c>
    </row>
    <row r="281" spans="1:37">
      <c r="A281">
        <v>281</v>
      </c>
      <c r="B281" s="8" t="s">
        <v>362</v>
      </c>
      <c r="C281" s="10">
        <v>2013</v>
      </c>
      <c r="D281" s="12">
        <v>41299</v>
      </c>
      <c r="E281" s="12"/>
      <c r="F281" s="10" t="s">
        <v>178</v>
      </c>
      <c r="G281" s="10" t="s">
        <v>178</v>
      </c>
      <c r="H281" s="22" t="s">
        <v>408</v>
      </c>
      <c r="I281" s="22">
        <v>3200</v>
      </c>
      <c r="J281" s="22">
        <v>218</v>
      </c>
      <c r="K281" s="10">
        <v>44.41</v>
      </c>
      <c r="L281" s="1">
        <v>900000000</v>
      </c>
      <c r="M281" s="1">
        <v>1615375000</v>
      </c>
      <c r="N281" s="20">
        <v>1081153260</v>
      </c>
      <c r="O281" s="20"/>
      <c r="P281" s="17" t="s">
        <v>448</v>
      </c>
      <c r="Q281" s="17"/>
      <c r="R281" s="17" t="s">
        <v>801</v>
      </c>
      <c r="S281" s="17"/>
      <c r="T281" s="17" t="s">
        <v>957</v>
      </c>
      <c r="U281" s="17" t="s">
        <v>1377</v>
      </c>
      <c r="V281" s="17" t="s">
        <v>442</v>
      </c>
      <c r="W281" s="45">
        <f>VLOOKUP(V281,'Actor and Actress Success'!$A$1:$B$72,2,FALSE)</f>
        <v>34.042553191489361</v>
      </c>
      <c r="X281" s="35"/>
      <c r="Y281" s="35"/>
      <c r="Z281" s="17" t="s">
        <v>393</v>
      </c>
      <c r="AA281" s="17"/>
      <c r="AB281" s="45">
        <f>VLOOKUP(Z281,'Actor and Actress Success'!$A$1:$B$72,2,FALSE)</f>
        <v>27.450980392156865</v>
      </c>
      <c r="AC281" s="35">
        <v>1</v>
      </c>
      <c r="AD281" s="17" t="s">
        <v>918</v>
      </c>
      <c r="AE281" s="17"/>
      <c r="AF281" s="45">
        <f>VLOOKUP(AD281,'Actor and Actress Success'!$A$1:$B$72,2,FALSE)</f>
        <v>36.111111111111107</v>
      </c>
      <c r="AG281" s="35">
        <v>1</v>
      </c>
      <c r="AH281" s="17" t="s">
        <v>806</v>
      </c>
      <c r="AI281" s="17"/>
      <c r="AJ281" s="34">
        <v>1</v>
      </c>
      <c r="AK281" s="45">
        <f>VLOOKUP(AH281,'Actor and Actress Success'!$A$1:$B$72,2,FALSE)</f>
        <v>57.142857142857139</v>
      </c>
    </row>
    <row r="282" spans="1:37">
      <c r="A282">
        <v>282</v>
      </c>
      <c r="B282" s="8" t="s">
        <v>363</v>
      </c>
      <c r="C282" s="10">
        <v>2012</v>
      </c>
      <c r="D282" s="12">
        <v>41243</v>
      </c>
      <c r="E282" s="12"/>
      <c r="F282" s="10" t="s">
        <v>178</v>
      </c>
      <c r="G282" s="10" t="s">
        <v>178</v>
      </c>
      <c r="H282" s="22" t="s">
        <v>408</v>
      </c>
      <c r="I282" s="22">
        <v>2550</v>
      </c>
      <c r="J282" s="22">
        <v>221</v>
      </c>
      <c r="K282" s="10">
        <v>55</v>
      </c>
      <c r="L282" s="1">
        <v>710000000</v>
      </c>
      <c r="M282" s="1">
        <v>1729717500</v>
      </c>
      <c r="N282" s="20">
        <v>1013818520</v>
      </c>
      <c r="O282" s="20"/>
      <c r="P282" s="17" t="s">
        <v>1378</v>
      </c>
      <c r="Q282" s="17"/>
      <c r="R282" s="17" t="s">
        <v>1317</v>
      </c>
      <c r="S282" s="17"/>
      <c r="T282" s="17" t="s">
        <v>1379</v>
      </c>
      <c r="U282" s="17" t="s">
        <v>1380</v>
      </c>
      <c r="V282" s="17" t="s">
        <v>73</v>
      </c>
      <c r="W282" s="45">
        <f>VLOOKUP(V282,'Actor and Actress Success'!$A$1:$B$72,2,FALSE)</f>
        <v>65.384615384615387</v>
      </c>
      <c r="X282" s="35">
        <v>1</v>
      </c>
      <c r="Y282" s="35"/>
      <c r="Z282" s="17" t="s">
        <v>383</v>
      </c>
      <c r="AA282" s="17"/>
      <c r="AB282" s="45">
        <f>VLOOKUP(Z282,'Actor and Actress Success'!$A$1:$B$72,2,FALSE)</f>
        <v>47.5</v>
      </c>
      <c r="AC282" s="35">
        <v>1</v>
      </c>
      <c r="AD282" s="17" t="s">
        <v>788</v>
      </c>
      <c r="AE282" s="17"/>
      <c r="AF282" s="45">
        <f>VLOOKUP(AD282,'Actor and Actress Success'!$A$1:$B$72,2,FALSE)</f>
        <v>45.652173913043477</v>
      </c>
      <c r="AG282" s="35">
        <v>1</v>
      </c>
      <c r="AH282" s="17" t="s">
        <v>1154</v>
      </c>
      <c r="AI282" s="17"/>
      <c r="AK282" s="45" t="e">
        <f>VLOOKUP(AH282,'Actor and Actress Success'!$A$1:$B$72,2,FALSE)</f>
        <v>#N/A</v>
      </c>
    </row>
    <row r="283" spans="1:37">
      <c r="A283">
        <v>283</v>
      </c>
      <c r="B283" s="8" t="s">
        <v>364</v>
      </c>
      <c r="C283" s="10">
        <v>2015</v>
      </c>
      <c r="D283" s="12">
        <v>42251</v>
      </c>
      <c r="E283" s="12"/>
      <c r="F283" s="10" t="s">
        <v>178</v>
      </c>
      <c r="G283" s="10" t="s">
        <v>178</v>
      </c>
      <c r="H283" s="22" t="s">
        <v>439</v>
      </c>
      <c r="I283" s="22">
        <v>3200</v>
      </c>
      <c r="J283" s="22">
        <v>222</v>
      </c>
      <c r="K283" s="10">
        <v>42.25</v>
      </c>
      <c r="L283" s="1">
        <v>1080000000</v>
      </c>
      <c r="M283" s="1">
        <v>1687670000</v>
      </c>
      <c r="N283" s="20">
        <v>1011873500</v>
      </c>
      <c r="O283" s="20"/>
      <c r="P283" s="17" t="s">
        <v>503</v>
      </c>
      <c r="Q283" s="17"/>
      <c r="R283" s="17" t="s">
        <v>1382</v>
      </c>
      <c r="S283" s="17"/>
      <c r="T283" s="17" t="s">
        <v>1383</v>
      </c>
      <c r="U283" s="17" t="s">
        <v>1384</v>
      </c>
      <c r="V283" s="17" t="s">
        <v>442</v>
      </c>
      <c r="W283" s="45">
        <f>VLOOKUP(V283,'Actor and Actress Success'!$A$1:$B$72,2,FALSE)</f>
        <v>34.042553191489361</v>
      </c>
      <c r="X283" s="35">
        <v>1</v>
      </c>
      <c r="Y283" s="35">
        <f>'Star Economic history'!Z5</f>
        <v>0</v>
      </c>
      <c r="Z283" s="17" t="s">
        <v>415</v>
      </c>
      <c r="AA283" s="17"/>
      <c r="AB283" s="45" t="e">
        <f>VLOOKUP(Z283,'Actor and Actress Success'!$A$1:$B$72,2,FALSE)</f>
        <v>#N/A</v>
      </c>
      <c r="AC283" s="35">
        <v>1</v>
      </c>
      <c r="AD283" s="17" t="s">
        <v>918</v>
      </c>
      <c r="AE283" s="17"/>
      <c r="AF283" s="45">
        <f>VLOOKUP(AD283,'Actor and Actress Success'!$A$1:$B$72,2,FALSE)</f>
        <v>36.111111111111107</v>
      </c>
      <c r="AG283" s="35">
        <v>1</v>
      </c>
      <c r="AH283" s="17" t="s">
        <v>1381</v>
      </c>
      <c r="AI283" s="17"/>
      <c r="AJ283" s="34">
        <v>1</v>
      </c>
      <c r="AK283" s="45" t="e">
        <f>VLOOKUP(AH283,'Actor and Actress Success'!$A$1:$B$72,2,FALSE)</f>
        <v>#N/A</v>
      </c>
    </row>
    <row r="284" spans="1:37">
      <c r="A284">
        <v>284</v>
      </c>
      <c r="B284" s="8" t="s">
        <v>365</v>
      </c>
      <c r="C284" s="10">
        <v>2015</v>
      </c>
      <c r="D284" s="12">
        <v>42125</v>
      </c>
      <c r="E284" s="12"/>
      <c r="F284" s="10" t="s">
        <v>178</v>
      </c>
      <c r="G284" s="10" t="s">
        <v>178</v>
      </c>
      <c r="H284" s="22" t="s">
        <v>50</v>
      </c>
      <c r="I284" s="22">
        <v>3100</v>
      </c>
      <c r="J284" s="22">
        <v>223</v>
      </c>
      <c r="K284" s="10">
        <v>47.86</v>
      </c>
      <c r="L284" s="1">
        <v>790000000</v>
      </c>
      <c r="M284" s="1">
        <v>1358120000</v>
      </c>
      <c r="N284" s="1">
        <v>995016660</v>
      </c>
      <c r="O284" s="1"/>
      <c r="P284" s="17" t="s">
        <v>1385</v>
      </c>
      <c r="Q284" s="17"/>
      <c r="R284" s="17" t="s">
        <v>1388</v>
      </c>
      <c r="S284" s="17"/>
      <c r="T284" s="17" t="s">
        <v>1389</v>
      </c>
      <c r="U284" s="17" t="s">
        <v>796</v>
      </c>
      <c r="V284" s="17" t="s">
        <v>397</v>
      </c>
      <c r="W284" s="45">
        <f>VLOOKUP(V284,'Actor and Actress Success'!$A$1:$B$72,2,FALSE)</f>
        <v>44.117647058823529</v>
      </c>
      <c r="X284" s="35">
        <v>1</v>
      </c>
      <c r="Y284" s="35">
        <f>'Star Economic history'!Z6</f>
        <v>650266666.66666663</v>
      </c>
      <c r="Z284" s="17" t="s">
        <v>1381</v>
      </c>
      <c r="AA284" s="17"/>
      <c r="AB284" s="45" t="e">
        <f>VLOOKUP(Z284,'Actor and Actress Success'!$A$1:$B$72,2,FALSE)</f>
        <v>#N/A</v>
      </c>
      <c r="AC284" s="35">
        <v>1</v>
      </c>
      <c r="AD284" s="17" t="s">
        <v>1386</v>
      </c>
      <c r="AE284" s="17"/>
      <c r="AF284" s="45" t="e">
        <f>VLOOKUP(AD284,'Actor and Actress Success'!$A$1:$B$72,2,FALSE)</f>
        <v>#N/A</v>
      </c>
      <c r="AG284" s="35"/>
      <c r="AH284" s="17" t="s">
        <v>1387</v>
      </c>
      <c r="AI284" s="17"/>
      <c r="AK284" s="45" t="e">
        <f>VLOOKUP(AH284,'Actor and Actress Success'!$A$1:$B$72,2,FALSE)</f>
        <v>#N/A</v>
      </c>
    </row>
    <row r="285" spans="1:37">
      <c r="A285">
        <v>285</v>
      </c>
      <c r="B285" s="8" t="s">
        <v>366</v>
      </c>
      <c r="C285" s="10">
        <v>2010</v>
      </c>
      <c r="D285" s="12">
        <v>40536</v>
      </c>
      <c r="E285" s="12"/>
      <c r="F285" s="10" t="s">
        <v>178</v>
      </c>
      <c r="G285" s="10" t="s">
        <v>178</v>
      </c>
      <c r="H285" s="22" t="s">
        <v>439</v>
      </c>
      <c r="I285" s="22">
        <v>2050</v>
      </c>
      <c r="J285" s="22">
        <v>228</v>
      </c>
      <c r="K285" s="10">
        <v>44.58</v>
      </c>
      <c r="L285" s="1">
        <v>450000000</v>
      </c>
      <c r="M285" s="1">
        <v>995145000</v>
      </c>
      <c r="N285" s="1">
        <v>882298120</v>
      </c>
      <c r="O285" s="1"/>
      <c r="P285" s="17" t="s">
        <v>804</v>
      </c>
      <c r="Q285" s="17"/>
      <c r="R285" s="17" t="s">
        <v>805</v>
      </c>
      <c r="S285" s="17"/>
      <c r="T285" s="17" t="s">
        <v>1390</v>
      </c>
      <c r="U285" s="17" t="s">
        <v>1392</v>
      </c>
      <c r="V285" s="37" t="s">
        <v>397</v>
      </c>
      <c r="W285" s="45">
        <f>VLOOKUP(V285,'Actor and Actress Success'!$A$1:$B$72,2,FALSE)</f>
        <v>44.117647058823529</v>
      </c>
      <c r="X285" s="35">
        <v>1</v>
      </c>
      <c r="Y285" s="35">
        <f>'Star Economic history'!U6</f>
        <v>357290000</v>
      </c>
      <c r="Z285" s="37" t="s">
        <v>831</v>
      </c>
      <c r="AA285" s="37"/>
      <c r="AB285" s="45">
        <f>VLOOKUP(Z285,'Actor and Actress Success'!$A$1:$B$72,2,FALSE)</f>
        <v>73.076923076923066</v>
      </c>
      <c r="AC285" s="35">
        <v>1</v>
      </c>
      <c r="AD285" s="17" t="s">
        <v>569</v>
      </c>
      <c r="AE285" s="17"/>
      <c r="AF285" s="45" t="e">
        <f>VLOOKUP(AD285,'Actor and Actress Success'!$A$1:$B$72,2,FALSE)</f>
        <v>#N/A</v>
      </c>
      <c r="AG285" s="35"/>
      <c r="AH285" s="17" t="s">
        <v>1391</v>
      </c>
      <c r="AI285" s="17"/>
      <c r="AK285" s="45" t="e">
        <f>VLOOKUP(AH285,'Actor and Actress Success'!$A$1:$B$72,2,FALSE)</f>
        <v>#N/A</v>
      </c>
    </row>
    <row r="286" spans="1:37">
      <c r="A286">
        <v>286</v>
      </c>
      <c r="B286" s="8" t="s">
        <v>367</v>
      </c>
      <c r="C286" s="10">
        <v>2014</v>
      </c>
      <c r="D286" s="12">
        <v>41684</v>
      </c>
      <c r="E286" s="12"/>
      <c r="F286" s="10" t="s">
        <v>178</v>
      </c>
      <c r="G286" s="10" t="s">
        <v>178</v>
      </c>
      <c r="H286" s="22" t="s">
        <v>428</v>
      </c>
      <c r="I286" s="22">
        <v>2700</v>
      </c>
      <c r="J286" s="22">
        <v>234</v>
      </c>
      <c r="K286" s="10">
        <v>36.94</v>
      </c>
      <c r="L286" s="1">
        <v>510000000</v>
      </c>
      <c r="M286" s="1">
        <v>1198220000</v>
      </c>
      <c r="N286" s="1">
        <v>831171880</v>
      </c>
      <c r="O286" s="1"/>
      <c r="P286" s="17" t="s">
        <v>1156</v>
      </c>
      <c r="Q286" s="17"/>
      <c r="R286" s="17" t="s">
        <v>1298</v>
      </c>
      <c r="S286" s="17"/>
      <c r="T286" s="17" t="s">
        <v>1156</v>
      </c>
      <c r="U286" s="17" t="s">
        <v>1156</v>
      </c>
      <c r="V286" s="17" t="s">
        <v>1244</v>
      </c>
      <c r="W286" s="45">
        <f>VLOOKUP(V286,'Actor and Actress Success'!$A$1:$B$72,2,FALSE)</f>
        <v>55.555555555555557</v>
      </c>
      <c r="X286" s="35">
        <v>1</v>
      </c>
      <c r="Y286" s="35"/>
      <c r="Z286" s="17" t="s">
        <v>1333</v>
      </c>
      <c r="AA286" s="17"/>
      <c r="AB286" s="45" t="e">
        <f>VLOOKUP(Z286,'Actor and Actress Success'!$A$1:$B$72,2,FALSE)</f>
        <v>#N/A</v>
      </c>
      <c r="AC286" s="35">
        <v>1</v>
      </c>
      <c r="AD286" s="17" t="s">
        <v>803</v>
      </c>
      <c r="AE286" s="17"/>
      <c r="AF286" s="45">
        <f>VLOOKUP(AD286,'Actor and Actress Success'!$A$1:$B$72,2,FALSE)</f>
        <v>45</v>
      </c>
      <c r="AG286" s="35">
        <v>1</v>
      </c>
      <c r="AH286" s="17" t="s">
        <v>1033</v>
      </c>
      <c r="AI286" s="17"/>
      <c r="AK286" s="45" t="e">
        <f>VLOOKUP(AH286,'Actor and Actress Success'!$A$1:$B$72,2,FALSE)</f>
        <v>#N/A</v>
      </c>
    </row>
    <row r="287" spans="1:37">
      <c r="A287">
        <v>287</v>
      </c>
      <c r="B287" s="8" t="s">
        <v>368</v>
      </c>
      <c r="C287" s="10">
        <v>2011</v>
      </c>
      <c r="D287" s="12">
        <v>40858</v>
      </c>
      <c r="E287" s="12"/>
      <c r="F287" s="10" t="s">
        <v>178</v>
      </c>
      <c r="G287" s="10" t="s">
        <v>178</v>
      </c>
      <c r="H287" s="22" t="s">
        <v>6</v>
      </c>
      <c r="I287" s="22">
        <v>1950</v>
      </c>
      <c r="J287" s="22">
        <v>236</v>
      </c>
      <c r="K287" s="10">
        <v>86.05</v>
      </c>
      <c r="L287" s="1">
        <v>660000000</v>
      </c>
      <c r="M287" s="1">
        <v>1087017500</v>
      </c>
      <c r="N287" s="1">
        <v>792178860</v>
      </c>
      <c r="O287" s="1"/>
      <c r="P287" s="17" t="s">
        <v>974</v>
      </c>
      <c r="Q287" s="17"/>
      <c r="R287" s="17" t="s">
        <v>418</v>
      </c>
      <c r="S287" s="17"/>
      <c r="T287" s="17" t="s">
        <v>1395</v>
      </c>
      <c r="U287" s="17" t="s">
        <v>974</v>
      </c>
      <c r="V287" s="17" t="s">
        <v>912</v>
      </c>
      <c r="W287" s="45">
        <f>VLOOKUP(V287,'Actor and Actress Success'!$A$1:$B$72,2,FALSE)</f>
        <v>56.25</v>
      </c>
      <c r="X287" s="35">
        <v>1</v>
      </c>
      <c r="Y287" s="35"/>
      <c r="Z287" s="17" t="s">
        <v>1393</v>
      </c>
      <c r="AA287" s="17"/>
      <c r="AB287" s="45" t="e">
        <f>VLOOKUP(Z287,'Actor and Actress Success'!$A$1:$B$72,2,FALSE)</f>
        <v>#N/A</v>
      </c>
      <c r="AC287" s="35">
        <v>1</v>
      </c>
      <c r="AD287" s="17" t="s">
        <v>1394</v>
      </c>
      <c r="AE287" s="17"/>
      <c r="AF287" s="45" t="e">
        <f>VLOOKUP(AD287,'Actor and Actress Success'!$A$1:$B$72,2,FALSE)</f>
        <v>#N/A</v>
      </c>
      <c r="AG287" s="35"/>
      <c r="AH287" s="17" t="s">
        <v>1210</v>
      </c>
      <c r="AI287" s="17"/>
      <c r="AK287" s="45" t="e">
        <f>VLOOKUP(AH287,'Actor and Actress Success'!$A$1:$B$72,2,FALSE)</f>
        <v>#N/A</v>
      </c>
    </row>
    <row r="288" spans="1:37">
      <c r="A288">
        <v>288</v>
      </c>
      <c r="B288" s="8" t="s">
        <v>369</v>
      </c>
      <c r="C288" s="10">
        <v>2012</v>
      </c>
      <c r="D288" s="12">
        <v>41201</v>
      </c>
      <c r="E288" s="12"/>
      <c r="F288" s="10" t="s">
        <v>178</v>
      </c>
      <c r="G288" s="10" t="s">
        <v>178</v>
      </c>
      <c r="H288" s="22" t="s">
        <v>547</v>
      </c>
      <c r="I288" s="22">
        <v>1350</v>
      </c>
      <c r="J288" s="22">
        <v>245</v>
      </c>
      <c r="K288" s="10">
        <v>53</v>
      </c>
      <c r="L288" s="1">
        <v>590000000</v>
      </c>
      <c r="M288" s="1">
        <v>966690000</v>
      </c>
      <c r="N288" s="1">
        <v>722065250</v>
      </c>
      <c r="O288" s="1"/>
      <c r="P288" s="17" t="s">
        <v>382</v>
      </c>
      <c r="Q288" s="17"/>
      <c r="R288" s="17" t="s">
        <v>805</v>
      </c>
      <c r="S288" s="17"/>
      <c r="T288" s="17" t="s">
        <v>382</v>
      </c>
      <c r="U288" s="17" t="s">
        <v>949</v>
      </c>
      <c r="V288" s="17" t="s">
        <v>1225</v>
      </c>
      <c r="W288" s="45" t="e">
        <f>VLOOKUP(V288,'Actor and Actress Success'!$A$1:$B$72,2,FALSE)</f>
        <v>#N/A</v>
      </c>
      <c r="X288" s="35">
        <v>1</v>
      </c>
      <c r="Y288" s="35"/>
      <c r="Z288" s="17" t="s">
        <v>1220</v>
      </c>
      <c r="AA288" s="17"/>
      <c r="AB288" s="45">
        <f>VLOOKUP(Z288,'Actor and Actress Success'!$A$1:$B$72,2,FALSE)</f>
        <v>88.888888888888886</v>
      </c>
      <c r="AC288" s="35">
        <v>1</v>
      </c>
      <c r="AD288" s="17" t="s">
        <v>1284</v>
      </c>
      <c r="AE288" s="17"/>
      <c r="AF288" s="45">
        <f>VLOOKUP(AD288,'Actor and Actress Success'!$A$1:$B$72,2,FALSE)</f>
        <v>77.777777777777786</v>
      </c>
      <c r="AG288" s="35">
        <v>1</v>
      </c>
      <c r="AH288" s="17" t="s">
        <v>724</v>
      </c>
      <c r="AI288" s="17">
        <f>'Star Economic history'!W7</f>
        <v>168542500</v>
      </c>
      <c r="AK288" s="45">
        <f>VLOOKUP(AH288,'Actor and Actress Success'!$A$1:$B$72,2,FALSE)</f>
        <v>26.086956521739129</v>
      </c>
    </row>
    <row r="289" spans="1:37">
      <c r="A289">
        <v>289</v>
      </c>
      <c r="B289" s="8" t="s">
        <v>370</v>
      </c>
      <c r="C289" s="10">
        <v>2013</v>
      </c>
      <c r="D289" s="12">
        <v>41313</v>
      </c>
      <c r="E289" s="12"/>
      <c r="F289" s="10" t="s">
        <v>178</v>
      </c>
      <c r="G289" s="10" t="s">
        <v>178</v>
      </c>
      <c r="H289" s="22" t="s">
        <v>408</v>
      </c>
      <c r="I289" s="22">
        <v>1600</v>
      </c>
      <c r="J289" s="22">
        <v>246</v>
      </c>
      <c r="K289" s="10">
        <v>79.38</v>
      </c>
      <c r="L289" s="1">
        <v>500000000</v>
      </c>
      <c r="M289" s="1">
        <v>1036240000</v>
      </c>
      <c r="N289" s="1">
        <v>718082860</v>
      </c>
      <c r="O289" s="1"/>
      <c r="P289" s="17" t="s">
        <v>1067</v>
      </c>
      <c r="Q289" s="17"/>
      <c r="R289" s="17" t="s">
        <v>1053</v>
      </c>
      <c r="S289" s="17"/>
      <c r="T289" s="17" t="s">
        <v>1067</v>
      </c>
      <c r="U289" s="17" t="s">
        <v>1067</v>
      </c>
      <c r="V289" s="17" t="s">
        <v>397</v>
      </c>
      <c r="W289" s="45">
        <f>VLOOKUP(V289,'Actor and Actress Success'!$A$1:$B$72,2,FALSE)</f>
        <v>44.117647058823529</v>
      </c>
      <c r="X289" s="35">
        <v>1</v>
      </c>
      <c r="Y289" s="35">
        <f>'Star Economic history'!X6</f>
        <v>972468750</v>
      </c>
      <c r="Z289" s="17" t="s">
        <v>1198</v>
      </c>
      <c r="AA289" s="17"/>
      <c r="AB289" s="45" t="e">
        <f>VLOOKUP(Z289,'Actor and Actress Success'!$A$1:$B$72,2,FALSE)</f>
        <v>#N/A</v>
      </c>
      <c r="AC289" s="35">
        <v>1</v>
      </c>
      <c r="AD289" s="17" t="s">
        <v>1028</v>
      </c>
      <c r="AE289" s="17"/>
      <c r="AF289" s="45" t="e">
        <f>VLOOKUP(AD289,'Actor and Actress Success'!$A$1:$B$72,2,FALSE)</f>
        <v>#N/A</v>
      </c>
      <c r="AG289" s="35"/>
      <c r="AH289" s="17" t="s">
        <v>479</v>
      </c>
      <c r="AI289" s="17"/>
      <c r="AK289" s="45" t="e">
        <f>VLOOKUP(AH289,'Actor and Actress Success'!$A$1:$B$72,2,FALSE)</f>
        <v>#N/A</v>
      </c>
    </row>
    <row r="290" spans="1:37">
      <c r="A290">
        <v>290</v>
      </c>
      <c r="B290" s="8" t="s">
        <v>371</v>
      </c>
      <c r="C290" s="10">
        <v>2014</v>
      </c>
      <c r="D290" s="12">
        <v>41887</v>
      </c>
      <c r="E290" s="12"/>
      <c r="F290" s="10" t="s">
        <v>178</v>
      </c>
      <c r="G290" s="10" t="s">
        <v>178</v>
      </c>
      <c r="H290" s="22" t="s">
        <v>6</v>
      </c>
      <c r="I290" s="22">
        <v>1900</v>
      </c>
      <c r="J290" s="22">
        <v>255</v>
      </c>
      <c r="K290" s="10">
        <v>36.909999999999997</v>
      </c>
      <c r="L290" s="1">
        <v>380000000</v>
      </c>
      <c r="M290" s="1">
        <v>861917500</v>
      </c>
      <c r="N290" s="1">
        <v>614300000</v>
      </c>
      <c r="O290" s="1"/>
      <c r="P290" s="17" t="s">
        <v>1396</v>
      </c>
      <c r="Q290" s="17"/>
      <c r="R290" s="17" t="s">
        <v>1397</v>
      </c>
      <c r="S290" s="17"/>
      <c r="T290" s="17" t="s">
        <v>1289</v>
      </c>
      <c r="U290" s="17" t="s">
        <v>1289</v>
      </c>
      <c r="V290" s="17" t="s">
        <v>803</v>
      </c>
      <c r="W290" s="45">
        <f>VLOOKUP(V290,'Actor and Actress Success'!$A$1:$B$72,2,FALSE)</f>
        <v>45</v>
      </c>
      <c r="X290" s="35">
        <v>1</v>
      </c>
      <c r="Y290" s="35"/>
      <c r="Z290" s="17" t="s">
        <v>1398</v>
      </c>
      <c r="AA290" s="17"/>
      <c r="AB290" s="45" t="e">
        <f>VLOOKUP(Z290,'Actor and Actress Success'!$A$1:$B$72,2,FALSE)</f>
        <v>#N/A</v>
      </c>
      <c r="AC290" s="35">
        <v>1</v>
      </c>
      <c r="AD290" s="17" t="s">
        <v>1399</v>
      </c>
      <c r="AE290" s="17"/>
      <c r="AF290" s="45" t="e">
        <f>VLOOKUP(AD290,'Actor and Actress Success'!$A$1:$B$72,2,FALSE)</f>
        <v>#N/A</v>
      </c>
      <c r="AG290" s="35"/>
      <c r="AH290" s="17" t="s">
        <v>1400</v>
      </c>
      <c r="AI290" s="17"/>
      <c r="AK290" s="45" t="e">
        <f>VLOOKUP(AH290,'Actor and Actress Success'!$A$1:$B$72,2,FALSE)</f>
        <v>#N/A</v>
      </c>
    </row>
    <row r="291" spans="1:37">
      <c r="A291">
        <v>291</v>
      </c>
      <c r="B291" s="8" t="s">
        <v>372</v>
      </c>
      <c r="C291" s="10">
        <v>2014</v>
      </c>
      <c r="D291" s="12">
        <v>41733</v>
      </c>
      <c r="E291" s="12"/>
      <c r="F291" s="10" t="s">
        <v>178</v>
      </c>
      <c r="G291" s="10" t="s">
        <v>178</v>
      </c>
      <c r="H291" s="22" t="s">
        <v>439</v>
      </c>
      <c r="I291" s="22">
        <v>2400</v>
      </c>
      <c r="J291" s="22">
        <v>256</v>
      </c>
      <c r="K291" s="10">
        <v>48.33</v>
      </c>
      <c r="L291" s="1">
        <v>410000000</v>
      </c>
      <c r="M291" s="1">
        <v>784522500</v>
      </c>
      <c r="N291" s="1">
        <v>598047340</v>
      </c>
      <c r="O291" s="1"/>
      <c r="P291" s="17" t="s">
        <v>441</v>
      </c>
      <c r="Q291" s="17">
        <f>Q263+421600000</f>
        <v>421600000</v>
      </c>
      <c r="R291" s="17" t="s">
        <v>829</v>
      </c>
      <c r="S291" s="17"/>
      <c r="T291" s="17" t="s">
        <v>1223</v>
      </c>
      <c r="U291" s="17" t="s">
        <v>969</v>
      </c>
      <c r="V291" s="17" t="s">
        <v>1220</v>
      </c>
      <c r="W291" s="45">
        <f>VLOOKUP(V291,'Actor and Actress Success'!$A$1:$B$72,2,FALSE)</f>
        <v>88.888888888888886</v>
      </c>
      <c r="X291" s="35">
        <v>1</v>
      </c>
      <c r="Y291" s="35"/>
      <c r="Z291" s="17" t="s">
        <v>1203</v>
      </c>
      <c r="AA291" s="17"/>
      <c r="AB291" s="45" t="e">
        <f>VLOOKUP(Z291,'Actor and Actress Success'!$A$1:$B$72,2,FALSE)</f>
        <v>#N/A</v>
      </c>
      <c r="AC291" s="35">
        <v>1</v>
      </c>
      <c r="AD291" s="17" t="s">
        <v>1393</v>
      </c>
      <c r="AE291" s="17"/>
      <c r="AF291" s="45" t="e">
        <f>VLOOKUP(AD291,'Actor and Actress Success'!$A$1:$B$72,2,FALSE)</f>
        <v>#N/A</v>
      </c>
      <c r="AG291" s="35">
        <v>1</v>
      </c>
      <c r="AH291" s="17" t="s">
        <v>1401</v>
      </c>
      <c r="AI291" s="17"/>
      <c r="AK291" s="45" t="e">
        <f>VLOOKUP(AH291,'Actor and Actress Success'!$A$1:$B$72,2,FALSE)</f>
        <v>#N/A</v>
      </c>
    </row>
    <row r="292" spans="1:37">
      <c r="A292">
        <v>292</v>
      </c>
      <c r="B292" s="8" t="s">
        <v>373</v>
      </c>
      <c r="C292" s="10">
        <v>2012</v>
      </c>
      <c r="D292" s="12">
        <v>41033</v>
      </c>
      <c r="E292" s="12"/>
      <c r="F292" s="10" t="s">
        <v>178</v>
      </c>
      <c r="G292" s="10" t="s">
        <v>178</v>
      </c>
      <c r="H292" s="22" t="s">
        <v>408</v>
      </c>
      <c r="I292" s="22">
        <v>2050</v>
      </c>
      <c r="J292" s="22">
        <v>259</v>
      </c>
      <c r="K292" s="10">
        <v>58.33</v>
      </c>
      <c r="L292" s="1">
        <v>200000000</v>
      </c>
      <c r="M292" s="1">
        <v>630910000</v>
      </c>
      <c r="N292" s="1">
        <v>570724440</v>
      </c>
      <c r="O292" s="1"/>
      <c r="P292" s="17" t="s">
        <v>930</v>
      </c>
      <c r="Q292" s="17"/>
      <c r="R292" s="17" t="s">
        <v>801</v>
      </c>
      <c r="S292" s="17"/>
      <c r="T292" s="17" t="s">
        <v>1186</v>
      </c>
      <c r="U292" s="17" t="s">
        <v>892</v>
      </c>
      <c r="V292" s="17" t="s">
        <v>931</v>
      </c>
      <c r="W292" s="45">
        <f>VLOOKUP(V292,'Actor and Actress Success'!$A$1:$B$72,2,FALSE)</f>
        <v>31.428571428571427</v>
      </c>
      <c r="X292" s="35">
        <v>1</v>
      </c>
      <c r="Y292" s="35"/>
      <c r="Z292" s="17" t="s">
        <v>1158</v>
      </c>
      <c r="AA292" s="17"/>
      <c r="AB292" s="45" t="e">
        <f>VLOOKUP(Z292,'Actor and Actress Success'!$A$1:$B$72,2,FALSE)</f>
        <v>#N/A</v>
      </c>
      <c r="AC292" s="35">
        <v>1</v>
      </c>
      <c r="AD292" s="17" t="s">
        <v>1205</v>
      </c>
      <c r="AE292" s="17"/>
      <c r="AF292" s="45" t="e">
        <f>VLOOKUP(AD292,'Actor and Actress Success'!$A$1:$B$72,2,FALSE)</f>
        <v>#N/A</v>
      </c>
      <c r="AG292" s="35">
        <v>1</v>
      </c>
      <c r="AH292" s="17" t="s">
        <v>1231</v>
      </c>
      <c r="AI292" s="17"/>
      <c r="AK292" s="45" t="e">
        <f>VLOOKUP(AH292,'Actor and Actress Success'!$A$1:$B$72,2,FALSE)</f>
        <v>#N/A</v>
      </c>
    </row>
    <row r="293" spans="1:37">
      <c r="A293">
        <v>293</v>
      </c>
      <c r="B293" s="8" t="s">
        <v>374</v>
      </c>
      <c r="C293" s="10">
        <v>2016</v>
      </c>
      <c r="D293" s="12">
        <v>42461</v>
      </c>
      <c r="E293" s="12"/>
      <c r="F293" s="10" t="s">
        <v>178</v>
      </c>
      <c r="G293" s="10" t="s">
        <v>178</v>
      </c>
      <c r="H293" s="22" t="s">
        <v>547</v>
      </c>
      <c r="I293" s="22">
        <v>1600</v>
      </c>
      <c r="K293" s="10">
        <v>45.63</v>
      </c>
      <c r="L293" s="1">
        <v>350000000</v>
      </c>
      <c r="M293" s="1">
        <v>993000000</v>
      </c>
      <c r="N293" s="1">
        <v>516800000</v>
      </c>
      <c r="O293" s="1"/>
      <c r="P293" s="17" t="s">
        <v>1123</v>
      </c>
      <c r="Q293" s="17"/>
      <c r="R293" s="17" t="s">
        <v>1403</v>
      </c>
      <c r="S293" s="17"/>
      <c r="T293" s="17" t="s">
        <v>1123</v>
      </c>
      <c r="U293" s="17" t="s">
        <v>1123</v>
      </c>
      <c r="V293" s="17" t="s">
        <v>788</v>
      </c>
      <c r="W293" s="45">
        <f>VLOOKUP(V293,'Actor and Actress Success'!$A$1:$B$72,2,FALSE)</f>
        <v>45.652173913043477</v>
      </c>
      <c r="X293" s="35">
        <v>1</v>
      </c>
      <c r="Y293" s="35"/>
      <c r="Z293" s="17" t="s">
        <v>1333</v>
      </c>
      <c r="AA293" s="17"/>
      <c r="AB293" s="45" t="e">
        <f>VLOOKUP(Z293,'Actor and Actress Success'!$A$1:$B$72,2,FALSE)</f>
        <v>#N/A</v>
      </c>
      <c r="AC293" s="35">
        <v>1</v>
      </c>
      <c r="AD293" s="17" t="s">
        <v>1402</v>
      </c>
      <c r="AE293" s="17"/>
      <c r="AF293" s="45" t="e">
        <f>VLOOKUP(AD293,'Actor and Actress Success'!$A$1:$B$72,2,FALSE)</f>
        <v>#N/A</v>
      </c>
      <c r="AG293" s="35"/>
      <c r="AH293" s="17" t="s">
        <v>521</v>
      </c>
      <c r="AI293" s="17"/>
      <c r="AK293" s="45" t="e">
        <f>VLOOKUP(AH293,'Actor and Actress Success'!$A$1:$B$72,2,FALSE)</f>
        <v>#N/A</v>
      </c>
    </row>
    <row r="294" spans="1:37">
      <c r="A294">
        <v>294</v>
      </c>
      <c r="B294" s="8" t="s">
        <v>375</v>
      </c>
      <c r="C294" s="10">
        <v>2012</v>
      </c>
      <c r="D294" s="12">
        <v>41123</v>
      </c>
      <c r="E294" s="12"/>
      <c r="F294" s="10" t="s">
        <v>178</v>
      </c>
      <c r="G294" s="10" t="s">
        <v>178</v>
      </c>
      <c r="H294" s="22" t="s">
        <v>408</v>
      </c>
      <c r="I294" s="22">
        <v>1700</v>
      </c>
      <c r="J294" s="22">
        <v>264</v>
      </c>
      <c r="K294" s="10">
        <v>50</v>
      </c>
      <c r="L294" s="1">
        <v>130000000</v>
      </c>
      <c r="M294" s="1">
        <v>492575000</v>
      </c>
      <c r="N294" s="1">
        <v>479308500</v>
      </c>
      <c r="O294" s="1"/>
      <c r="P294" s="22" t="s">
        <v>1404</v>
      </c>
      <c r="Q294" s="22"/>
      <c r="R294" s="22" t="s">
        <v>1405</v>
      </c>
      <c r="S294" s="22"/>
      <c r="T294" s="22" t="s">
        <v>816</v>
      </c>
      <c r="U294" s="22" t="s">
        <v>1186</v>
      </c>
      <c r="V294" s="22" t="s">
        <v>1327</v>
      </c>
      <c r="W294" s="45" t="e">
        <f>VLOOKUP(V294,'Actor and Actress Success'!$A$1:$B$72,2,FALSE)</f>
        <v>#N/A</v>
      </c>
      <c r="X294" s="35">
        <v>1</v>
      </c>
      <c r="Y294" s="35"/>
      <c r="Z294" s="22" t="s">
        <v>1158</v>
      </c>
      <c r="AA294" s="22"/>
      <c r="AB294" s="45" t="e">
        <f>VLOOKUP(Z294,'Actor and Actress Success'!$A$1:$B$72,2,FALSE)</f>
        <v>#N/A</v>
      </c>
      <c r="AC294" s="35">
        <v>1</v>
      </c>
      <c r="AD294" s="22" t="s">
        <v>1401</v>
      </c>
      <c r="AE294" s="22"/>
      <c r="AF294" s="45" t="e">
        <f>VLOOKUP(AD294,'Actor and Actress Success'!$A$1:$B$72,2,FALSE)</f>
        <v>#N/A</v>
      </c>
      <c r="AG294" s="35"/>
      <c r="AH294" s="22" t="s">
        <v>1371</v>
      </c>
      <c r="AI294" s="22"/>
      <c r="AK294" s="45" t="e">
        <f>VLOOKUP(AH294,'Actor and Actress Success'!$A$1:$B$72,2,FALSE)</f>
        <v>#N/A</v>
      </c>
    </row>
    <row r="295" spans="1:37">
      <c r="A295">
        <v>295</v>
      </c>
      <c r="B295" s="8" t="s">
        <v>376</v>
      </c>
      <c r="C295" s="10">
        <v>2014</v>
      </c>
      <c r="D295" s="12">
        <v>41649</v>
      </c>
      <c r="E295" s="12"/>
      <c r="F295" s="10" t="s">
        <v>178</v>
      </c>
      <c r="G295" s="10" t="s">
        <v>178</v>
      </c>
      <c r="H295" s="22" t="s">
        <v>56</v>
      </c>
      <c r="I295" s="22">
        <v>1400</v>
      </c>
      <c r="J295" s="22">
        <v>267</v>
      </c>
      <c r="K295" s="10">
        <v>14</v>
      </c>
      <c r="L295" s="1">
        <v>210000000</v>
      </c>
      <c r="M295" s="1">
        <v>524050000</v>
      </c>
      <c r="N295" s="1">
        <v>456987080</v>
      </c>
      <c r="O295" s="1"/>
      <c r="P295" s="17" t="s">
        <v>1406</v>
      </c>
      <c r="Q295" s="17"/>
      <c r="R295" s="17" t="s">
        <v>1411</v>
      </c>
      <c r="S295" s="17"/>
      <c r="T295" s="17" t="s">
        <v>1406</v>
      </c>
      <c r="U295" s="17" t="s">
        <v>1278</v>
      </c>
      <c r="V295" s="17" t="s">
        <v>1407</v>
      </c>
      <c r="W295" s="45" t="e">
        <f>VLOOKUP(V295,'Actor and Actress Success'!$A$1:$B$72,2,FALSE)</f>
        <v>#N/A</v>
      </c>
      <c r="X295" s="35">
        <v>1</v>
      </c>
      <c r="Y295" s="35"/>
      <c r="Z295" s="17" t="s">
        <v>1408</v>
      </c>
      <c r="AA295" s="17"/>
      <c r="AB295" s="45" t="e">
        <f>VLOOKUP(Z295,'Actor and Actress Success'!$A$1:$B$72,2,FALSE)</f>
        <v>#N/A</v>
      </c>
      <c r="AC295" s="35">
        <v>1</v>
      </c>
      <c r="AD295" s="17" t="s">
        <v>1409</v>
      </c>
      <c r="AE295" s="17"/>
      <c r="AF295" s="45" t="e">
        <f>VLOOKUP(AD295,'Actor and Actress Success'!$A$1:$B$72,2,FALSE)</f>
        <v>#N/A</v>
      </c>
      <c r="AG295" s="35"/>
      <c r="AH295" s="17" t="s">
        <v>1410</v>
      </c>
      <c r="AI295" s="17"/>
      <c r="AK295" s="45" t="e">
        <f>VLOOKUP(AH295,'Actor and Actress Success'!$A$1:$B$72,2,FALSE)</f>
        <v>#N/A</v>
      </c>
    </row>
    <row r="296" spans="1:37">
      <c r="A296">
        <v>296</v>
      </c>
      <c r="B296" s="8" t="s">
        <v>377</v>
      </c>
      <c r="C296" s="10">
        <v>2013</v>
      </c>
      <c r="D296" s="12">
        <v>41327</v>
      </c>
      <c r="E296" s="12"/>
      <c r="F296" s="10" t="s">
        <v>178</v>
      </c>
      <c r="G296" s="10" t="s">
        <v>178</v>
      </c>
      <c r="H296" s="22" t="s">
        <v>6</v>
      </c>
      <c r="I296" s="22">
        <v>900</v>
      </c>
      <c r="J296" s="22">
        <v>270</v>
      </c>
      <c r="K296" s="10">
        <v>78.33</v>
      </c>
      <c r="L296" s="1">
        <v>300000000</v>
      </c>
      <c r="M296" s="1">
        <v>721620000</v>
      </c>
      <c r="N296" s="1">
        <v>445965300</v>
      </c>
      <c r="O296" s="1"/>
      <c r="P296" s="17" t="s">
        <v>1412</v>
      </c>
      <c r="Q296" s="17"/>
      <c r="R296" s="17" t="s">
        <v>1311</v>
      </c>
      <c r="S296" s="17"/>
      <c r="T296" s="17" t="s">
        <v>1413</v>
      </c>
      <c r="U296" s="17" t="s">
        <v>1415</v>
      </c>
      <c r="V296" s="17" t="s">
        <v>1312</v>
      </c>
      <c r="W296" s="45" t="e">
        <f>VLOOKUP(V296,'Actor and Actress Success'!$A$1:$B$72,2,FALSE)</f>
        <v>#N/A</v>
      </c>
      <c r="X296" s="35">
        <v>1</v>
      </c>
      <c r="Y296" s="35"/>
      <c r="Z296" s="17" t="s">
        <v>1351</v>
      </c>
      <c r="AA296" s="17"/>
      <c r="AB296" s="45" t="e">
        <f>VLOOKUP(Z296,'Actor and Actress Success'!$A$1:$B$72,2,FALSE)</f>
        <v>#N/A</v>
      </c>
      <c r="AC296" s="35">
        <v>1</v>
      </c>
      <c r="AD296" s="17" t="s">
        <v>1157</v>
      </c>
      <c r="AE296" s="17"/>
      <c r="AF296" s="45" t="e">
        <f>VLOOKUP(AD296,'Actor and Actress Success'!$A$1:$B$72,2,FALSE)</f>
        <v>#N/A</v>
      </c>
      <c r="AG296" s="35">
        <v>1</v>
      </c>
      <c r="AH296" s="17" t="s">
        <v>1414</v>
      </c>
      <c r="AI296" s="17"/>
      <c r="AK296" s="45" t="e">
        <f>VLOOKUP(AH296,'Actor and Actress Success'!$A$1:$B$72,2,FALSE)</f>
        <v>#N/A</v>
      </c>
    </row>
    <row r="297" spans="1:37">
      <c r="A297">
        <v>297</v>
      </c>
      <c r="B297" s="8" t="s">
        <v>378</v>
      </c>
      <c r="C297" s="10">
        <v>2013</v>
      </c>
      <c r="D297" s="12">
        <v>41313</v>
      </c>
      <c r="E297" s="12"/>
      <c r="F297" s="10" t="s">
        <v>178</v>
      </c>
      <c r="G297" s="10" t="s">
        <v>178</v>
      </c>
      <c r="H297" s="22" t="s">
        <v>6</v>
      </c>
      <c r="I297" s="22">
        <v>1000</v>
      </c>
      <c r="J297" s="22">
        <v>273</v>
      </c>
      <c r="K297" s="10">
        <v>29</v>
      </c>
      <c r="L297" s="1">
        <v>270000000</v>
      </c>
      <c r="M297" s="1">
        <v>577980000</v>
      </c>
      <c r="N297" s="1">
        <v>434665660</v>
      </c>
      <c r="O297" s="1"/>
      <c r="P297" s="17" t="s">
        <v>1216</v>
      </c>
      <c r="Q297" s="17"/>
      <c r="R297" s="17" t="s">
        <v>1217</v>
      </c>
      <c r="S297" s="17"/>
      <c r="T297" s="17" t="s">
        <v>1216</v>
      </c>
      <c r="U297" s="17" t="s">
        <v>1418</v>
      </c>
      <c r="V297" s="17" t="s">
        <v>1218</v>
      </c>
      <c r="W297" s="45" t="e">
        <f>VLOOKUP(V297,'Actor and Actress Success'!$A$1:$B$72,2,FALSE)</f>
        <v>#N/A</v>
      </c>
      <c r="X297" s="35">
        <v>1</v>
      </c>
      <c r="Y297" s="35"/>
      <c r="Z297" s="17" t="s">
        <v>1102</v>
      </c>
      <c r="AA297" s="17"/>
      <c r="AB297" s="45" t="e">
        <f>VLOOKUP(Z297,'Actor and Actress Success'!$A$1:$B$72,2,FALSE)</f>
        <v>#N/A</v>
      </c>
      <c r="AC297" s="35"/>
      <c r="AD297" s="17" t="s">
        <v>1416</v>
      </c>
      <c r="AE297" s="17"/>
      <c r="AF297" s="45" t="e">
        <f>VLOOKUP(AD297,'Actor and Actress Success'!$A$1:$B$72,2,FALSE)</f>
        <v>#N/A</v>
      </c>
      <c r="AG297" s="35"/>
      <c r="AH297" s="17" t="s">
        <v>1417</v>
      </c>
      <c r="AI297" s="17"/>
      <c r="AK297" s="45" t="e">
        <f>VLOOKUP(AH297,'Actor and Actress Success'!$A$1:$B$72,2,FALSE)</f>
        <v>#N/A</v>
      </c>
    </row>
    <row r="298" spans="1:37">
      <c r="A298">
        <v>298</v>
      </c>
      <c r="B298" s="8" t="s">
        <v>379</v>
      </c>
      <c r="C298" s="10">
        <v>2012</v>
      </c>
      <c r="D298" s="12">
        <v>41187</v>
      </c>
      <c r="E298" s="12"/>
      <c r="F298" s="10" t="s">
        <v>178</v>
      </c>
      <c r="G298" s="10" t="s">
        <v>178</v>
      </c>
      <c r="H298" s="22" t="s">
        <v>6</v>
      </c>
      <c r="I298" s="22">
        <v>700</v>
      </c>
      <c r="J298" s="22">
        <v>275</v>
      </c>
      <c r="K298" s="10">
        <v>57</v>
      </c>
      <c r="L298" s="1">
        <v>260000000</v>
      </c>
      <c r="M298" s="1">
        <v>785625000</v>
      </c>
      <c r="N298" s="1">
        <v>394931680</v>
      </c>
      <c r="O298" s="1"/>
      <c r="P298" s="17" t="s">
        <v>1419</v>
      </c>
      <c r="Q298" s="17"/>
      <c r="R298" s="17" t="s">
        <v>1311</v>
      </c>
      <c r="S298" s="17"/>
      <c r="T298" s="17" t="s">
        <v>1419</v>
      </c>
      <c r="U298" s="17" t="s">
        <v>1419</v>
      </c>
      <c r="V298" s="17" t="s">
        <v>474</v>
      </c>
      <c r="W298" s="45">
        <f>VLOOKUP(V298,'Actor and Actress Success'!$A$1:$B$72,2,FALSE)</f>
        <v>44.444444444444443</v>
      </c>
      <c r="X298" s="35">
        <v>1</v>
      </c>
      <c r="Y298" s="35"/>
      <c r="Z298" s="17" t="s">
        <v>1420</v>
      </c>
      <c r="AA298" s="17"/>
      <c r="AB298" s="45" t="e">
        <f>VLOOKUP(Z298,'Actor and Actress Success'!$A$1:$B$72,2,FALSE)</f>
        <v>#N/A</v>
      </c>
      <c r="AC298" s="35"/>
      <c r="AD298" s="17" t="s">
        <v>1421</v>
      </c>
      <c r="AE298" s="17"/>
      <c r="AF298" s="45" t="e">
        <f>VLOOKUP(AD298,'Actor and Actress Success'!$A$1:$B$72,2,FALSE)</f>
        <v>#N/A</v>
      </c>
      <c r="AG298" s="35"/>
      <c r="AH298" s="17" t="s">
        <v>1422</v>
      </c>
      <c r="AI298" s="17"/>
      <c r="AK298" s="45" t="e">
        <f>VLOOKUP(AH298,'Actor and Actress Success'!$A$1:$B$72,2,FALSE)</f>
        <v>#N/A</v>
      </c>
    </row>
    <row r="299" spans="1:37">
      <c r="A299">
        <v>299</v>
      </c>
      <c r="B299" s="8" t="s">
        <v>380</v>
      </c>
      <c r="C299" s="10">
        <v>2013</v>
      </c>
      <c r="D299" s="12">
        <v>41439</v>
      </c>
      <c r="E299" s="12"/>
      <c r="F299" s="10" t="s">
        <v>178</v>
      </c>
      <c r="G299" s="10" t="s">
        <v>178</v>
      </c>
      <c r="H299" s="22" t="s">
        <v>439</v>
      </c>
      <c r="I299" s="22">
        <v>1000</v>
      </c>
      <c r="J299" s="22">
        <v>278</v>
      </c>
      <c r="K299" s="10">
        <v>56.67</v>
      </c>
      <c r="L299" s="1">
        <v>190000000</v>
      </c>
      <c r="M299" s="1">
        <v>490175000</v>
      </c>
      <c r="N299" s="1">
        <v>359458220</v>
      </c>
      <c r="O299" s="1"/>
      <c r="P299" s="17" t="s">
        <v>1423</v>
      </c>
      <c r="Q299" s="17"/>
      <c r="R299" s="17" t="s">
        <v>1317</v>
      </c>
      <c r="S299" s="17"/>
      <c r="T299" s="17" t="s">
        <v>1424</v>
      </c>
      <c r="U299" s="17" t="s">
        <v>1429</v>
      </c>
      <c r="V299" s="17" t="s">
        <v>1425</v>
      </c>
      <c r="W299" s="45" t="e">
        <f>VLOOKUP(V299,'Actor and Actress Success'!$A$1:$B$72,2,FALSE)</f>
        <v>#N/A</v>
      </c>
      <c r="X299" s="35">
        <v>1</v>
      </c>
      <c r="Y299" s="35"/>
      <c r="Z299" s="17" t="s">
        <v>1426</v>
      </c>
      <c r="AA299" s="17"/>
      <c r="AB299" s="45" t="e">
        <f>VLOOKUP(Z299,'Actor and Actress Success'!$A$1:$B$72,2,FALSE)</f>
        <v>#N/A</v>
      </c>
      <c r="AC299" s="35">
        <v>1</v>
      </c>
      <c r="AD299" s="17" t="s">
        <v>1427</v>
      </c>
      <c r="AE299" s="17"/>
      <c r="AF299" s="45" t="e">
        <f>VLOOKUP(AD299,'Actor and Actress Success'!$A$1:$B$72,2,FALSE)</f>
        <v>#N/A</v>
      </c>
      <c r="AG299" s="35">
        <v>1</v>
      </c>
      <c r="AH299" s="17" t="s">
        <v>1428</v>
      </c>
      <c r="AI299" s="17"/>
      <c r="AK299" s="45" t="e">
        <f>VLOOKUP(AH299,'Actor and Actress Success'!$A$1:$B$72,2,FALSE)</f>
        <v>#N/A</v>
      </c>
    </row>
    <row r="300" spans="1:37">
      <c r="A300">
        <v>300</v>
      </c>
      <c r="B300" s="8" t="s">
        <v>381</v>
      </c>
      <c r="C300" s="10">
        <v>2014</v>
      </c>
      <c r="D300" s="12">
        <v>41873</v>
      </c>
      <c r="E300" s="12"/>
      <c r="F300" s="10" t="s">
        <v>178</v>
      </c>
      <c r="G300" s="10" t="s">
        <v>178</v>
      </c>
      <c r="H300" s="22" t="s">
        <v>408</v>
      </c>
      <c r="I300" s="22">
        <v>1250</v>
      </c>
      <c r="J300" s="22">
        <v>280</v>
      </c>
      <c r="K300" s="10">
        <v>64.09</v>
      </c>
      <c r="L300" s="1">
        <v>210000000</v>
      </c>
      <c r="M300" s="1">
        <v>567190000</v>
      </c>
      <c r="N300" s="1">
        <v>358300000</v>
      </c>
      <c r="O300" s="1"/>
      <c r="P300" s="17" t="s">
        <v>1430</v>
      </c>
      <c r="Q300" s="17"/>
      <c r="R300" s="17" t="s">
        <v>812</v>
      </c>
      <c r="S300" s="17"/>
      <c r="T300" s="17" t="s">
        <v>1431</v>
      </c>
      <c r="U300" s="17" t="s">
        <v>1435</v>
      </c>
      <c r="V300" s="17" t="s">
        <v>383</v>
      </c>
      <c r="W300" s="45">
        <f>VLOOKUP(V300,'Actor and Actress Success'!$A$1:$B$72,2,FALSE)</f>
        <v>47.5</v>
      </c>
      <c r="X300" s="35">
        <v>1</v>
      </c>
      <c r="Y300" s="35"/>
      <c r="Z300" s="17" t="s">
        <v>1432</v>
      </c>
      <c r="AA300" s="17"/>
      <c r="AB300" s="45" t="e">
        <f>VLOOKUP(Z300,'Actor and Actress Success'!$A$1:$B$72,2,FALSE)</f>
        <v>#N/A</v>
      </c>
      <c r="AC300" s="35"/>
      <c r="AD300" s="17" t="s">
        <v>1433</v>
      </c>
      <c r="AE300" s="17"/>
      <c r="AF300" s="45" t="e">
        <f>VLOOKUP(AD300,'Actor and Actress Success'!$A$1:$B$72,2,FALSE)</f>
        <v>#N/A</v>
      </c>
      <c r="AG300" s="35"/>
      <c r="AH300" s="17" t="s">
        <v>1434</v>
      </c>
      <c r="AI300" s="17"/>
      <c r="AK300" s="45" t="e">
        <f>VLOOKUP(AH300,'Actor and Actress Success'!$A$1:$B$72,2,FALSE)</f>
        <v>#N/A</v>
      </c>
    </row>
    <row r="301" spans="1:37">
      <c r="A301" s="18">
        <v>301</v>
      </c>
      <c r="B301" s="8" t="s">
        <v>582</v>
      </c>
      <c r="C301" s="10">
        <v>1994</v>
      </c>
      <c r="D301" s="12">
        <v>34432</v>
      </c>
      <c r="E301" s="12"/>
      <c r="F301" s="10" t="s">
        <v>401</v>
      </c>
      <c r="G301" s="10" t="s">
        <v>401</v>
      </c>
      <c r="H301" s="22" t="s">
        <v>50</v>
      </c>
      <c r="I301" s="22">
        <v>65</v>
      </c>
      <c r="J301" s="22">
        <v>753</v>
      </c>
      <c r="K301" s="10">
        <v>0</v>
      </c>
      <c r="L301" s="1">
        <v>11000000</v>
      </c>
      <c r="M301" s="1">
        <v>28787500</v>
      </c>
      <c r="N301" s="1">
        <v>290363700</v>
      </c>
      <c r="O301" s="1"/>
      <c r="P301" s="17" t="s">
        <v>1587</v>
      </c>
      <c r="Q301" s="17"/>
      <c r="R301" s="17" t="s">
        <v>508</v>
      </c>
      <c r="S301" s="17"/>
      <c r="T301" s="17" t="s">
        <v>1590</v>
      </c>
      <c r="U301" s="17" t="s">
        <v>1587</v>
      </c>
      <c r="V301" s="17" t="s">
        <v>1588</v>
      </c>
      <c r="W301" s="45">
        <f>VLOOKUP(V301,'Actor and Actress Success'!$A$1:$B$72,2,FALSE)</f>
        <v>4.7619047619047619</v>
      </c>
      <c r="X301" s="35">
        <v>1</v>
      </c>
      <c r="Y301" s="35"/>
      <c r="Z301" s="17" t="s">
        <v>78</v>
      </c>
      <c r="AA301" s="17"/>
      <c r="AB301" s="45">
        <f>VLOOKUP(Z301,'Actor and Actress Success'!$A$1:$B$72,2,FALSE)</f>
        <v>15.238095238095239</v>
      </c>
      <c r="AC301" s="35">
        <v>1</v>
      </c>
      <c r="AD301" s="17" t="s">
        <v>1589</v>
      </c>
      <c r="AE301" s="17"/>
      <c r="AF301" s="45" t="e">
        <f>VLOOKUP(AD301,'Actor and Actress Success'!$A$1:$B$72,2,FALSE)</f>
        <v>#N/A</v>
      </c>
      <c r="AG301" s="35">
        <v>1</v>
      </c>
      <c r="AH301" s="17" t="s">
        <v>524</v>
      </c>
      <c r="AI301" s="17"/>
      <c r="AJ301" s="34">
        <v>1</v>
      </c>
      <c r="AK301" s="45" t="e">
        <f>VLOOKUP(AH301,'Actor and Actress Success'!$A$1:$B$72,2,FALSE)</f>
        <v>#N/A</v>
      </c>
    </row>
    <row r="302" spans="1:37">
      <c r="A302" s="18">
        <v>302</v>
      </c>
      <c r="B302" s="8" t="s">
        <v>583</v>
      </c>
      <c r="C302" s="10">
        <v>1994</v>
      </c>
      <c r="D302" s="12">
        <v>34439</v>
      </c>
      <c r="E302" s="12"/>
      <c r="F302" s="10" t="s">
        <v>401</v>
      </c>
      <c r="G302" s="10" t="s">
        <v>401</v>
      </c>
      <c r="H302" s="22" t="s">
        <v>50</v>
      </c>
      <c r="I302" s="22">
        <v>100</v>
      </c>
      <c r="J302" s="22">
        <v>805</v>
      </c>
      <c r="K302" s="10">
        <v>0</v>
      </c>
      <c r="L302" s="1">
        <v>13000000</v>
      </c>
      <c r="M302" s="1">
        <v>24381250</v>
      </c>
      <c r="N302" s="1">
        <v>247758500</v>
      </c>
      <c r="O302" s="1"/>
      <c r="P302" s="17" t="s">
        <v>1591</v>
      </c>
      <c r="Q302" s="17"/>
      <c r="R302" s="17" t="s">
        <v>427</v>
      </c>
      <c r="S302" s="17">
        <f>S286+71575000+29650000</f>
        <v>101225000</v>
      </c>
      <c r="T302" s="17" t="s">
        <v>413</v>
      </c>
      <c r="U302" s="17" t="s">
        <v>1592</v>
      </c>
      <c r="V302" s="17" t="s">
        <v>468</v>
      </c>
      <c r="W302" s="45">
        <f>VLOOKUP(V302,'Actor and Actress Success'!$A$1:$B$72,2,FALSE)</f>
        <v>14.285714285714285</v>
      </c>
      <c r="X302" s="35">
        <v>1</v>
      </c>
      <c r="Y302" s="35"/>
      <c r="Z302" s="17" t="s">
        <v>1593</v>
      </c>
      <c r="AA302" s="17"/>
      <c r="AB302" s="45" t="e">
        <f>VLOOKUP(Z302,'Actor and Actress Success'!$A$1:$B$72,2,FALSE)</f>
        <v>#N/A</v>
      </c>
      <c r="AC302" s="35"/>
      <c r="AD302" s="17" t="s">
        <v>1594</v>
      </c>
      <c r="AE302" s="17"/>
      <c r="AF302" s="45" t="e">
        <f>VLOOKUP(AD302,'Actor and Actress Success'!$A$1:$B$72,2,FALSE)</f>
        <v>#N/A</v>
      </c>
      <c r="AG302" s="35"/>
      <c r="AH302" s="17" t="s">
        <v>559</v>
      </c>
      <c r="AI302" s="17"/>
      <c r="AJ302" s="34">
        <v>1</v>
      </c>
      <c r="AK302" s="45" t="e">
        <f>VLOOKUP(AH302,'Actor and Actress Success'!$A$1:$B$72,2,FALSE)</f>
        <v>#N/A</v>
      </c>
    </row>
    <row r="303" spans="1:37">
      <c r="A303" s="18">
        <v>303</v>
      </c>
      <c r="B303" s="8" t="s">
        <v>586</v>
      </c>
      <c r="C303" s="10">
        <v>1995</v>
      </c>
      <c r="D303" s="12">
        <v>34747</v>
      </c>
      <c r="E303" s="12"/>
      <c r="F303" s="10" t="s">
        <v>401</v>
      </c>
      <c r="G303" s="10" t="s">
        <v>401</v>
      </c>
      <c r="H303" s="22" t="s">
        <v>50</v>
      </c>
      <c r="I303" s="22">
        <v>110</v>
      </c>
      <c r="J303" s="22">
        <v>802</v>
      </c>
      <c r="K303" s="10">
        <v>0</v>
      </c>
      <c r="L303" s="1">
        <v>17500000</v>
      </c>
      <c r="M303" s="1">
        <v>30452000</v>
      </c>
      <c r="N303" s="1">
        <v>249425660</v>
      </c>
      <c r="O303" s="1"/>
      <c r="P303" s="17" t="s">
        <v>1595</v>
      </c>
      <c r="Q303" s="17"/>
      <c r="R303" s="17" t="s">
        <v>63</v>
      </c>
      <c r="S303" s="17"/>
      <c r="T303" s="17" t="s">
        <v>1596</v>
      </c>
      <c r="U303" s="17" t="s">
        <v>1596</v>
      </c>
      <c r="V303" s="17" t="s">
        <v>459</v>
      </c>
      <c r="W303" s="45">
        <f>VLOOKUP(V303,'Actor and Actress Success'!$A$1:$B$72,2,FALSE)</f>
        <v>21.739130434782609</v>
      </c>
      <c r="X303" s="35">
        <v>1</v>
      </c>
      <c r="Y303" s="35"/>
      <c r="Z303" s="17" t="s">
        <v>555</v>
      </c>
      <c r="AA303" s="17"/>
      <c r="AB303" s="45">
        <f>VLOOKUP(Z303,'Actor and Actress Success'!$A$1:$B$72,2,FALSE)</f>
        <v>11.607142857142858</v>
      </c>
      <c r="AC303" s="35">
        <v>1</v>
      </c>
      <c r="AD303" s="17" t="s">
        <v>453</v>
      </c>
      <c r="AE303" s="17"/>
      <c r="AF303" s="45" t="e">
        <f>VLOOKUP(AD303,'Actor and Actress Success'!$A$1:$B$72,2,FALSE)</f>
        <v>#N/A</v>
      </c>
      <c r="AG303" s="35"/>
      <c r="AH303" s="17" t="s">
        <v>1597</v>
      </c>
      <c r="AI303" s="17"/>
      <c r="AK303" s="45" t="e">
        <f>VLOOKUP(AH303,'Actor and Actress Success'!$A$1:$B$72,2,FALSE)</f>
        <v>#N/A</v>
      </c>
    </row>
    <row r="304" spans="1:37">
      <c r="A304" s="18">
        <v>304</v>
      </c>
      <c r="B304" s="8" t="s">
        <v>587</v>
      </c>
      <c r="C304" s="10">
        <v>1995</v>
      </c>
      <c r="D304" s="12">
        <v>34922</v>
      </c>
      <c r="E304" s="12"/>
      <c r="F304" s="10" t="s">
        <v>624</v>
      </c>
      <c r="G304" s="10" t="s">
        <v>401</v>
      </c>
      <c r="H304" s="22" t="s">
        <v>6</v>
      </c>
      <c r="I304" s="22">
        <v>100</v>
      </c>
      <c r="J304" s="22">
        <v>1178</v>
      </c>
      <c r="K304" s="10">
        <v>100</v>
      </c>
      <c r="L304" s="1">
        <v>22500000</v>
      </c>
      <c r="M304" s="1">
        <v>32160000</v>
      </c>
      <c r="N304" s="20">
        <v>165419320</v>
      </c>
      <c r="O304" s="20"/>
      <c r="P304" s="17" t="s">
        <v>1566</v>
      </c>
      <c r="Q304" s="17"/>
      <c r="R304" s="17" t="s">
        <v>1598</v>
      </c>
      <c r="S304" s="17"/>
      <c r="T304" s="17" t="s">
        <v>1601</v>
      </c>
      <c r="U304" s="17" t="s">
        <v>1566</v>
      </c>
      <c r="V304" s="17" t="s">
        <v>58</v>
      </c>
      <c r="W304" s="45">
        <f>VLOOKUP(V304,'Actor and Actress Success'!$A$1:$B$72,2,FALSE)</f>
        <v>66.666666666666657</v>
      </c>
      <c r="X304" s="35">
        <v>1</v>
      </c>
      <c r="Y304" s="35"/>
      <c r="Z304" s="17" t="s">
        <v>1599</v>
      </c>
      <c r="AA304" s="17"/>
      <c r="AB304" s="45" t="e">
        <f>VLOOKUP(Z304,'Actor and Actress Success'!$A$1:$B$72,2,FALSE)</f>
        <v>#N/A</v>
      </c>
      <c r="AC304" s="35"/>
      <c r="AD304" s="17" t="s">
        <v>1600</v>
      </c>
      <c r="AE304" s="17"/>
      <c r="AF304" s="45" t="e">
        <f>VLOOKUP(AD304,'Actor and Actress Success'!$A$1:$B$72,2,FALSE)</f>
        <v>#N/A</v>
      </c>
      <c r="AG304" s="35"/>
      <c r="AH304" s="17" t="s">
        <v>411</v>
      </c>
      <c r="AI304" s="17"/>
      <c r="AK304" s="45" t="e">
        <f>VLOOKUP(AH304,'Actor and Actress Success'!$A$1:$B$72,2,FALSE)</f>
        <v>#N/A</v>
      </c>
    </row>
    <row r="305" spans="1:37">
      <c r="A305" s="18">
        <v>305</v>
      </c>
      <c r="B305" s="8" t="s">
        <v>588</v>
      </c>
      <c r="C305" s="10">
        <v>1996</v>
      </c>
      <c r="D305" s="12">
        <v>35083</v>
      </c>
      <c r="E305" s="12"/>
      <c r="F305" s="10" t="s">
        <v>401</v>
      </c>
      <c r="G305" s="10" t="s">
        <v>401</v>
      </c>
      <c r="H305" s="22" t="s">
        <v>50</v>
      </c>
      <c r="I305" s="22">
        <v>125</v>
      </c>
      <c r="J305" s="22">
        <v>813</v>
      </c>
      <c r="K305" s="10">
        <v>0</v>
      </c>
      <c r="L305" s="1">
        <v>22500000</v>
      </c>
      <c r="M305" s="1">
        <v>35740000</v>
      </c>
      <c r="N305" s="20">
        <v>239978420</v>
      </c>
      <c r="O305" s="20"/>
      <c r="P305" s="17" t="s">
        <v>1602</v>
      </c>
      <c r="Q305" s="17"/>
      <c r="R305" s="17" t="s">
        <v>540</v>
      </c>
      <c r="S305" s="17"/>
      <c r="T305" s="17" t="s">
        <v>541</v>
      </c>
      <c r="U305" s="17" t="s">
        <v>1602</v>
      </c>
      <c r="V305" s="17" t="s">
        <v>79</v>
      </c>
      <c r="W305" s="45">
        <f>VLOOKUP(V305,'Actor and Actress Success'!$A$1:$B$72,2,FALSE)</f>
        <v>26.373626373626376</v>
      </c>
      <c r="X305" s="35">
        <v>1</v>
      </c>
      <c r="Y305" s="35">
        <f>'Star Economic history'!G8</f>
        <v>35943750</v>
      </c>
      <c r="Z305" s="17" t="s">
        <v>1603</v>
      </c>
      <c r="AA305" s="17"/>
      <c r="AB305" s="45" t="e">
        <f>VLOOKUP(Z305,'Actor and Actress Success'!$A$1:$B$72,2,FALSE)</f>
        <v>#N/A</v>
      </c>
      <c r="AC305" s="35">
        <v>1</v>
      </c>
      <c r="AD305" s="17" t="s">
        <v>411</v>
      </c>
      <c r="AE305" s="17"/>
      <c r="AF305" s="45" t="e">
        <f>VLOOKUP(AD305,'Actor and Actress Success'!$A$1:$B$72,2,FALSE)</f>
        <v>#N/A</v>
      </c>
      <c r="AG305" s="35"/>
      <c r="AH305" s="17" t="s">
        <v>1604</v>
      </c>
      <c r="AI305" s="17"/>
      <c r="AK305" s="45" t="e">
        <f>VLOOKUP(AH305,'Actor and Actress Success'!$A$1:$B$72,2,FALSE)</f>
        <v>#N/A</v>
      </c>
    </row>
    <row r="306" spans="1:37">
      <c r="A306" s="18">
        <v>306</v>
      </c>
      <c r="B306" s="8" t="s">
        <v>589</v>
      </c>
      <c r="C306" s="10">
        <v>1996</v>
      </c>
      <c r="D306" s="12">
        <v>35146</v>
      </c>
      <c r="E306" s="12"/>
      <c r="F306" s="10" t="s">
        <v>624</v>
      </c>
      <c r="G306" s="10" t="s">
        <v>401</v>
      </c>
      <c r="H306" s="22" t="s">
        <v>6</v>
      </c>
      <c r="I306" s="22">
        <v>100</v>
      </c>
      <c r="J306" s="22">
        <v>1165</v>
      </c>
      <c r="K306" s="10">
        <v>0</v>
      </c>
      <c r="L306" s="1">
        <v>22500000</v>
      </c>
      <c r="M306" s="1">
        <v>31113750</v>
      </c>
      <c r="N306" s="20">
        <v>179404940</v>
      </c>
      <c r="O306" s="20"/>
      <c r="P306" s="17" t="s">
        <v>520</v>
      </c>
      <c r="Q306" s="17"/>
      <c r="R306" s="17" t="s">
        <v>427</v>
      </c>
      <c r="S306" s="17">
        <f>S283+91800000+104850000+170750000+46925000+56450000+450000+48175000+26575000+41125000+30900000+25325000</f>
        <v>643325000</v>
      </c>
      <c r="T306" s="17" t="s">
        <v>563</v>
      </c>
      <c r="U306" s="17" t="s">
        <v>563</v>
      </c>
      <c r="V306" s="17" t="s">
        <v>393</v>
      </c>
      <c r="W306" s="45">
        <f>VLOOKUP(V306,'Actor and Actress Success'!$A$1:$B$72,2,FALSE)</f>
        <v>27.450980392156865</v>
      </c>
      <c r="X306" s="35">
        <v>1</v>
      </c>
      <c r="Y306" s="35"/>
      <c r="Z306" s="17" t="s">
        <v>425</v>
      </c>
      <c r="AA306" s="17"/>
      <c r="AB306" s="45" t="e">
        <f>VLOOKUP(Z306,'Actor and Actress Success'!$A$1:$B$72,2,FALSE)</f>
        <v>#N/A</v>
      </c>
      <c r="AC306" s="35"/>
      <c r="AD306" s="17" t="s">
        <v>59</v>
      </c>
      <c r="AE306" s="17"/>
      <c r="AF306" s="45">
        <f>VLOOKUP(AD306,'Actor and Actress Success'!$A$1:$B$72,2,FALSE)</f>
        <v>46.428571428571431</v>
      </c>
      <c r="AG306" s="35">
        <v>1</v>
      </c>
      <c r="AH306" s="17" t="s">
        <v>1605</v>
      </c>
      <c r="AI306" s="17"/>
      <c r="AK306" s="45" t="e">
        <f>VLOOKUP(AH306,'Actor and Actress Success'!$A$1:$B$72,2,FALSE)</f>
        <v>#N/A</v>
      </c>
    </row>
    <row r="307" spans="1:37">
      <c r="A307" s="18">
        <v>307</v>
      </c>
      <c r="B307" s="8" t="s">
        <v>590</v>
      </c>
      <c r="C307" s="10">
        <v>1997</v>
      </c>
      <c r="D307" s="12">
        <v>35436</v>
      </c>
      <c r="E307" s="12"/>
      <c r="F307" s="10" t="s">
        <v>401</v>
      </c>
      <c r="G307" s="10" t="s">
        <v>401</v>
      </c>
      <c r="H307" s="22" t="s">
        <v>50</v>
      </c>
      <c r="I307" s="22">
        <v>95</v>
      </c>
      <c r="J307" s="22">
        <v>817</v>
      </c>
      <c r="K307" s="10">
        <v>0</v>
      </c>
      <c r="L307" s="1">
        <v>25000000</v>
      </c>
      <c r="M307" s="1">
        <v>39521750</v>
      </c>
      <c r="N307" s="20">
        <v>238033400</v>
      </c>
      <c r="O307" s="20"/>
      <c r="P307" s="17" t="s">
        <v>1606</v>
      </c>
      <c r="Q307" s="17"/>
      <c r="R307" s="17" t="s">
        <v>63</v>
      </c>
      <c r="S307" s="17"/>
      <c r="T307" s="17" t="s">
        <v>1606</v>
      </c>
      <c r="U307" s="17" t="s">
        <v>1606</v>
      </c>
      <c r="V307" s="17" t="s">
        <v>468</v>
      </c>
      <c r="W307" s="45">
        <f>VLOOKUP(V307,'Actor and Actress Success'!$A$1:$B$72,2,FALSE)</f>
        <v>14.285714285714285</v>
      </c>
      <c r="X307" s="35">
        <v>1</v>
      </c>
      <c r="Y307" s="35"/>
      <c r="Z307" s="17" t="s">
        <v>534</v>
      </c>
      <c r="AA307" s="17"/>
      <c r="AB307" s="45" t="e">
        <f>VLOOKUP(Z307,'Actor and Actress Success'!$A$1:$B$72,2,FALSE)</f>
        <v>#N/A</v>
      </c>
      <c r="AC307" s="35">
        <v>1</v>
      </c>
      <c r="AD307" s="17" t="s">
        <v>1607</v>
      </c>
      <c r="AE307" s="17"/>
      <c r="AF307" s="45" t="e">
        <f>VLOOKUP(AD307,'Actor and Actress Success'!$A$1:$B$72,2,FALSE)</f>
        <v>#N/A</v>
      </c>
      <c r="AG307" s="35">
        <v>1</v>
      </c>
      <c r="AH307" s="17" t="s">
        <v>736</v>
      </c>
      <c r="AI307" s="17"/>
      <c r="AK307" s="45" t="e">
        <f>VLOOKUP(AH307,'Actor and Actress Success'!$A$1:$B$72,2,FALSE)</f>
        <v>#N/A</v>
      </c>
    </row>
    <row r="308" spans="1:37">
      <c r="A308" s="18">
        <v>308</v>
      </c>
      <c r="B308" s="8" t="s">
        <v>591</v>
      </c>
      <c r="C308" s="10">
        <v>1997</v>
      </c>
      <c r="D308" s="12">
        <v>35678</v>
      </c>
      <c r="E308" s="12"/>
      <c r="F308" s="10" t="s">
        <v>401</v>
      </c>
      <c r="G308" s="10" t="s">
        <v>401</v>
      </c>
      <c r="H308" s="22" t="s">
        <v>6</v>
      </c>
      <c r="I308" s="22">
        <v>100</v>
      </c>
      <c r="J308" s="22">
        <v>849</v>
      </c>
      <c r="K308" s="10">
        <v>0</v>
      </c>
      <c r="L308" s="1">
        <v>15000000</v>
      </c>
      <c r="M308" s="1">
        <v>34173750</v>
      </c>
      <c r="N308" s="20">
        <v>209599060</v>
      </c>
      <c r="O308" s="20"/>
      <c r="P308" s="17" t="s">
        <v>731</v>
      </c>
      <c r="Q308" s="17"/>
      <c r="R308" s="17" t="s">
        <v>1608</v>
      </c>
      <c r="S308" s="17"/>
      <c r="T308" s="17" t="s">
        <v>731</v>
      </c>
      <c r="U308" s="17" t="s">
        <v>731</v>
      </c>
      <c r="V308" s="17" t="s">
        <v>555</v>
      </c>
      <c r="W308" s="45">
        <f>VLOOKUP(V308,'Actor and Actress Success'!$A$1:$B$72,2,FALSE)</f>
        <v>11.607142857142858</v>
      </c>
      <c r="X308" s="35">
        <v>1</v>
      </c>
      <c r="Y308" s="35">
        <f>'Star Economic history'!H9</f>
        <v>34229166.666666664</v>
      </c>
      <c r="Z308" s="17" t="s">
        <v>1609</v>
      </c>
      <c r="AA308" s="17"/>
      <c r="AB308" s="45" t="e">
        <f>VLOOKUP(Z308,'Actor and Actress Success'!$A$1:$B$72,2,FALSE)</f>
        <v>#N/A</v>
      </c>
      <c r="AC308" s="35">
        <v>1</v>
      </c>
      <c r="AD308" s="17" t="s">
        <v>1610</v>
      </c>
      <c r="AE308" s="17"/>
      <c r="AF308" s="45" t="e">
        <f>VLOOKUP(AD308,'Actor and Actress Success'!$A$1:$B$72,2,FALSE)</f>
        <v>#N/A</v>
      </c>
      <c r="AG308" s="35"/>
      <c r="AH308" s="17" t="s">
        <v>495</v>
      </c>
      <c r="AI308" s="17"/>
      <c r="AK308" s="45" t="e">
        <f>VLOOKUP(AH308,'Actor and Actress Success'!$A$1:$B$72,2,FALSE)</f>
        <v>#N/A</v>
      </c>
    </row>
    <row r="309" spans="1:37">
      <c r="A309" s="18">
        <v>309</v>
      </c>
      <c r="B309" s="8" t="s">
        <v>592</v>
      </c>
      <c r="C309" s="10">
        <v>1998</v>
      </c>
      <c r="D309" s="12">
        <v>35944</v>
      </c>
      <c r="E309" s="12"/>
      <c r="F309" s="10" t="s">
        <v>401</v>
      </c>
      <c r="G309" s="10" t="s">
        <v>401</v>
      </c>
      <c r="H309" s="22" t="s">
        <v>428</v>
      </c>
      <c r="I309" s="22">
        <v>100</v>
      </c>
      <c r="J309" s="22">
        <v>889</v>
      </c>
      <c r="K309" s="10">
        <v>0</v>
      </c>
      <c r="L309" s="1">
        <v>25000000</v>
      </c>
      <c r="M309" s="1">
        <v>32717500</v>
      </c>
      <c r="N309" s="20">
        <v>163103820</v>
      </c>
      <c r="O309" s="20"/>
      <c r="P309" s="17" t="s">
        <v>1611</v>
      </c>
      <c r="Q309" s="17"/>
      <c r="R309" s="17" t="s">
        <v>515</v>
      </c>
      <c r="S309" s="17"/>
      <c r="T309" s="17" t="s">
        <v>558</v>
      </c>
      <c r="U309" s="17" t="s">
        <v>1612</v>
      </c>
      <c r="V309" s="17" t="s">
        <v>76</v>
      </c>
      <c r="W309" s="45" t="e">
        <f>VLOOKUP(V309,'Actor and Actress Success'!$A$1:$B$72,2,FALSE)</f>
        <v>#N/A</v>
      </c>
      <c r="X309" s="35">
        <v>1</v>
      </c>
      <c r="Y309" s="35"/>
      <c r="Z309" s="17" t="s">
        <v>538</v>
      </c>
      <c r="AA309" s="17"/>
      <c r="AB309" s="45" t="e">
        <f>VLOOKUP(Z309,'Actor and Actress Success'!$A$1:$B$72,2,FALSE)</f>
        <v>#N/A</v>
      </c>
      <c r="AC309" s="35">
        <v>1</v>
      </c>
      <c r="AD309" s="17" t="s">
        <v>469</v>
      </c>
      <c r="AE309" s="17"/>
      <c r="AF309" s="45" t="e">
        <f>VLOOKUP(AD309,'Actor and Actress Success'!$A$1:$B$72,2,FALSE)</f>
        <v>#N/A</v>
      </c>
      <c r="AG309" s="35">
        <v>1</v>
      </c>
      <c r="AH309" s="17" t="s">
        <v>551</v>
      </c>
      <c r="AI309" s="17"/>
      <c r="AK309" s="45" t="e">
        <f>VLOOKUP(AH309,'Actor and Actress Success'!$A$1:$B$72,2,FALSE)</f>
        <v>#N/A</v>
      </c>
    </row>
    <row r="310" spans="1:37">
      <c r="A310" s="18">
        <v>310</v>
      </c>
      <c r="B310" s="8" t="s">
        <v>593</v>
      </c>
      <c r="C310" s="10">
        <v>1998</v>
      </c>
      <c r="D310" s="12">
        <v>36091</v>
      </c>
      <c r="E310" s="12"/>
      <c r="F310" s="10" t="s">
        <v>401</v>
      </c>
      <c r="G310" s="10" t="s">
        <v>401</v>
      </c>
      <c r="H310" s="22" t="s">
        <v>6</v>
      </c>
      <c r="I310" s="22">
        <v>110</v>
      </c>
      <c r="J310" s="22">
        <v>899</v>
      </c>
      <c r="K310" s="10">
        <v>70</v>
      </c>
      <c r="L310" s="20">
        <v>27500000</v>
      </c>
      <c r="M310" s="20">
        <v>33433750</v>
      </c>
      <c r="N310" s="20">
        <v>156620420</v>
      </c>
      <c r="O310" s="20"/>
      <c r="P310" s="17" t="s">
        <v>1613</v>
      </c>
      <c r="Q310" s="17"/>
      <c r="R310" s="17" t="s">
        <v>430</v>
      </c>
      <c r="S310" s="17"/>
      <c r="T310" s="17" t="s">
        <v>979</v>
      </c>
      <c r="U310" s="17" t="s">
        <v>979</v>
      </c>
      <c r="V310" s="17" t="s">
        <v>550</v>
      </c>
      <c r="W310" s="45" t="e">
        <f>VLOOKUP(V310,'Actor and Actress Success'!$A$1:$B$72,2,FALSE)</f>
        <v>#N/A</v>
      </c>
      <c r="X310" s="35">
        <v>1</v>
      </c>
      <c r="Y310" s="35"/>
      <c r="Z310" s="17" t="s">
        <v>507</v>
      </c>
      <c r="AA310" s="17"/>
      <c r="AB310" s="45" t="e">
        <f>VLOOKUP(Z310,'Actor and Actress Success'!$A$1:$B$72,2,FALSE)</f>
        <v>#N/A</v>
      </c>
      <c r="AC310" s="35">
        <v>1</v>
      </c>
      <c r="AD310" s="17" t="s">
        <v>453</v>
      </c>
      <c r="AE310" s="17"/>
      <c r="AF310" s="45" t="e">
        <f>VLOOKUP(AD310,'Actor and Actress Success'!$A$1:$B$72,2,FALSE)</f>
        <v>#N/A</v>
      </c>
      <c r="AG310" s="35"/>
      <c r="AH310" s="17" t="s">
        <v>452</v>
      </c>
      <c r="AI310" s="17"/>
      <c r="AK310" s="45" t="e">
        <f>VLOOKUP(AH310,'Actor and Actress Success'!$A$1:$B$72,2,FALSE)</f>
        <v>#N/A</v>
      </c>
    </row>
    <row r="311" spans="1:37">
      <c r="A311" s="18">
        <v>311</v>
      </c>
      <c r="B311" s="8" t="s">
        <v>594</v>
      </c>
      <c r="C311" s="10">
        <v>1999</v>
      </c>
      <c r="D311" s="12">
        <v>36182</v>
      </c>
      <c r="E311" s="12"/>
      <c r="F311" s="10" t="s">
        <v>624</v>
      </c>
      <c r="G311" s="10" t="s">
        <v>401</v>
      </c>
      <c r="H311" s="22" t="s">
        <v>6</v>
      </c>
      <c r="I311" s="22">
        <v>125</v>
      </c>
      <c r="J311" s="22">
        <v>1206</v>
      </c>
      <c r="K311" s="10">
        <v>0</v>
      </c>
      <c r="L311" s="20">
        <v>30000000</v>
      </c>
      <c r="M311" s="20">
        <v>30137500</v>
      </c>
      <c r="N311" s="20">
        <v>135966160</v>
      </c>
      <c r="O311" s="20"/>
      <c r="P311" s="17" t="s">
        <v>1614</v>
      </c>
      <c r="Q311" s="17"/>
      <c r="R311" s="17" t="s">
        <v>1018</v>
      </c>
      <c r="S311" s="17"/>
      <c r="T311" s="17" t="s">
        <v>1614</v>
      </c>
      <c r="U311" s="17" t="s">
        <v>1614</v>
      </c>
      <c r="V311" s="17" t="s">
        <v>79</v>
      </c>
      <c r="W311" s="45">
        <f>VLOOKUP(V311,'Actor and Actress Success'!$A$1:$B$72,2,FALSE)</f>
        <v>26.373626373626376</v>
      </c>
      <c r="X311" s="35">
        <v>1</v>
      </c>
      <c r="Y311" s="35">
        <f>'Star Economic history'!J8</f>
        <v>43050000</v>
      </c>
      <c r="Z311" s="17" t="s">
        <v>551</v>
      </c>
      <c r="AA311" s="17"/>
      <c r="AB311" s="45" t="e">
        <f>VLOOKUP(Z311,'Actor and Actress Success'!$A$1:$B$72,2,FALSE)</f>
        <v>#N/A</v>
      </c>
      <c r="AC311" s="35">
        <v>1</v>
      </c>
      <c r="AD311" s="17" t="s">
        <v>453</v>
      </c>
      <c r="AE311" s="17"/>
      <c r="AF311" s="45" t="e">
        <f>VLOOKUP(AD311,'Actor and Actress Success'!$A$1:$B$72,2,FALSE)</f>
        <v>#N/A</v>
      </c>
      <c r="AG311" s="35"/>
      <c r="AH311" s="17" t="s">
        <v>1615</v>
      </c>
      <c r="AI311" s="17"/>
      <c r="AK311" s="45" t="e">
        <f>VLOOKUP(AH311,'Actor and Actress Success'!$A$1:$B$72,2,FALSE)</f>
        <v>#N/A</v>
      </c>
    </row>
    <row r="312" spans="1:37">
      <c r="A312" s="18">
        <v>312</v>
      </c>
      <c r="B312" s="8" t="s">
        <v>595</v>
      </c>
      <c r="C312" s="10">
        <v>1999</v>
      </c>
      <c r="D312" s="12">
        <v>36273</v>
      </c>
      <c r="E312" s="12"/>
      <c r="F312" s="10" t="s">
        <v>624</v>
      </c>
      <c r="G312" s="10" t="s">
        <v>401</v>
      </c>
      <c r="H312" s="22" t="s">
        <v>50</v>
      </c>
      <c r="I312" s="22">
        <v>80</v>
      </c>
      <c r="J312" s="22">
        <v>1247</v>
      </c>
      <c r="K312" s="10">
        <v>0</v>
      </c>
      <c r="L312" s="20">
        <v>40000000</v>
      </c>
      <c r="M312" s="20">
        <v>19310000</v>
      </c>
      <c r="N312" s="20">
        <v>102252480</v>
      </c>
      <c r="O312" s="20"/>
      <c r="P312" s="17" t="s">
        <v>1616</v>
      </c>
      <c r="Q312" s="17"/>
      <c r="R312" s="17" t="s">
        <v>508</v>
      </c>
      <c r="S312" s="17"/>
      <c r="T312" s="17" t="s">
        <v>1618</v>
      </c>
      <c r="U312" s="17" t="s">
        <v>1619</v>
      </c>
      <c r="V312" s="17" t="s">
        <v>724</v>
      </c>
      <c r="W312" s="45">
        <f>VLOOKUP(V312,'Actor and Actress Success'!$A$1:$B$72,2,FALSE)</f>
        <v>26.086956521739129</v>
      </c>
      <c r="X312" s="35">
        <v>1</v>
      </c>
      <c r="Y312" s="35">
        <f>'Star Economic history'!J7</f>
        <v>0</v>
      </c>
      <c r="Z312" s="17" t="s">
        <v>1617</v>
      </c>
      <c r="AA312" s="17"/>
      <c r="AB312" s="45" t="e">
        <f>VLOOKUP(Z312,'Actor and Actress Success'!$A$1:$B$72,2,FALSE)</f>
        <v>#N/A</v>
      </c>
      <c r="AC312" s="35"/>
      <c r="AD312" s="17" t="s">
        <v>488</v>
      </c>
      <c r="AE312" s="17"/>
      <c r="AF312" s="45" t="e">
        <f>VLOOKUP(AD312,'Actor and Actress Success'!$A$1:$B$72,2,FALSE)</f>
        <v>#N/A</v>
      </c>
      <c r="AG312" s="35">
        <v>1</v>
      </c>
      <c r="AH312" s="17" t="s">
        <v>416</v>
      </c>
      <c r="AI312" s="17"/>
      <c r="AJ312" s="34">
        <v>1</v>
      </c>
      <c r="AK312" s="45">
        <f>VLOOKUP(AH312,'Actor and Actress Success'!$A$1:$B$72,2,FALSE)</f>
        <v>14.035087719298245</v>
      </c>
    </row>
    <row r="313" spans="1:37">
      <c r="A313" s="18">
        <v>313</v>
      </c>
      <c r="B313" s="8" t="s">
        <v>596</v>
      </c>
      <c r="C313" s="10">
        <v>2000</v>
      </c>
      <c r="D313" s="12">
        <v>36889</v>
      </c>
      <c r="E313" s="12"/>
      <c r="F313" s="10" t="s">
        <v>401</v>
      </c>
      <c r="G313" s="10" t="s">
        <v>401</v>
      </c>
      <c r="H313" s="22" t="s">
        <v>50</v>
      </c>
      <c r="I313" s="22">
        <v>80</v>
      </c>
      <c r="J313" s="22">
        <v>991</v>
      </c>
      <c r="K313" s="10">
        <v>0</v>
      </c>
      <c r="L313" s="20">
        <v>15000000</v>
      </c>
      <c r="M313" s="20">
        <v>16987000</v>
      </c>
      <c r="N313" s="20">
        <v>79004860</v>
      </c>
      <c r="O313" s="20"/>
      <c r="P313" s="17" t="s">
        <v>1620</v>
      </c>
      <c r="Q313" s="17"/>
      <c r="R313" s="17" t="s">
        <v>1621</v>
      </c>
      <c r="S313" s="17"/>
      <c r="T313" s="17" t="s">
        <v>1622</v>
      </c>
      <c r="U313" s="17" t="s">
        <v>1622</v>
      </c>
      <c r="V313" s="17" t="s">
        <v>555</v>
      </c>
      <c r="W313" s="45">
        <f>VLOOKUP(V313,'Actor and Actress Success'!$A$1:$B$72,2,FALSE)</f>
        <v>11.607142857142858</v>
      </c>
      <c r="X313" s="35">
        <v>1</v>
      </c>
      <c r="Y313" s="35">
        <f>'Star Economic history'!K9</f>
        <v>11960714.285714285</v>
      </c>
      <c r="Z313" s="17" t="s">
        <v>1623</v>
      </c>
      <c r="AA313" s="17"/>
      <c r="AB313" s="45" t="e">
        <f>VLOOKUP(Z313,'Actor and Actress Success'!$A$1:$B$72,2,FALSE)</f>
        <v>#N/A</v>
      </c>
      <c r="AC313" s="35"/>
      <c r="AD313" s="17" t="s">
        <v>1624</v>
      </c>
      <c r="AE313" s="17"/>
      <c r="AF313" s="45" t="e">
        <f>VLOOKUP(AD313,'Actor and Actress Success'!$A$1:$B$72,2,FALSE)</f>
        <v>#N/A</v>
      </c>
      <c r="AG313" s="35"/>
      <c r="AH313" s="17" t="s">
        <v>1625</v>
      </c>
      <c r="AI313" s="17"/>
      <c r="AK313" s="45" t="e">
        <f>VLOOKUP(AH313,'Actor and Actress Success'!$A$1:$B$72,2,FALSE)</f>
        <v>#N/A</v>
      </c>
    </row>
    <row r="314" spans="1:37">
      <c r="A314" s="18">
        <v>314</v>
      </c>
      <c r="B314" s="8" t="s">
        <v>597</v>
      </c>
      <c r="C314" s="10">
        <v>2000</v>
      </c>
      <c r="D314" s="12">
        <v>36805</v>
      </c>
      <c r="E314" s="12"/>
      <c r="F314" s="10" t="s">
        <v>624</v>
      </c>
      <c r="G314" s="10" t="s">
        <v>401</v>
      </c>
      <c r="H314" s="22" t="s">
        <v>547</v>
      </c>
      <c r="I314" s="22">
        <v>45</v>
      </c>
      <c r="J314" s="22">
        <v>1387</v>
      </c>
      <c r="K314" s="10">
        <v>0</v>
      </c>
      <c r="L314" s="20">
        <v>27500000</v>
      </c>
      <c r="M314" s="20">
        <v>17150000</v>
      </c>
      <c r="N314" s="20">
        <v>54182700</v>
      </c>
      <c r="O314" s="20"/>
      <c r="P314" s="17" t="s">
        <v>1626</v>
      </c>
      <c r="Q314" s="17"/>
      <c r="R314" s="17" t="s">
        <v>515</v>
      </c>
      <c r="S314" s="17"/>
      <c r="T314" s="17" t="s">
        <v>1627</v>
      </c>
      <c r="U314" s="17" t="s">
        <v>1627</v>
      </c>
      <c r="V314" s="17" t="s">
        <v>479</v>
      </c>
      <c r="W314" s="45" t="e">
        <f>VLOOKUP(V314,'Actor and Actress Success'!$A$1:$B$72,2,FALSE)</f>
        <v>#N/A</v>
      </c>
      <c r="X314" s="35">
        <v>1</v>
      </c>
      <c r="Y314" s="35"/>
      <c r="Z314" s="17" t="s">
        <v>394</v>
      </c>
      <c r="AA314" s="17"/>
      <c r="AB314" s="45" t="e">
        <f>VLOOKUP(Z314,'Actor and Actress Success'!$A$1:$B$72,2,FALSE)</f>
        <v>#N/A</v>
      </c>
      <c r="AC314" s="35">
        <v>1</v>
      </c>
      <c r="AD314" s="17" t="s">
        <v>516</v>
      </c>
      <c r="AE314" s="17"/>
      <c r="AF314" s="45" t="e">
        <f>VLOOKUP(AD314,'Actor and Actress Success'!$A$1:$B$72,2,FALSE)</f>
        <v>#N/A</v>
      </c>
      <c r="AG314" s="35"/>
      <c r="AH314" s="17" t="s">
        <v>1628</v>
      </c>
      <c r="AI314" s="17"/>
      <c r="AK314" s="45" t="e">
        <f>VLOOKUP(AH314,'Actor and Actress Success'!$A$1:$B$72,2,FALSE)</f>
        <v>#N/A</v>
      </c>
    </row>
    <row r="315" spans="1:37">
      <c r="A315" s="18">
        <v>316</v>
      </c>
      <c r="B315" s="8" t="s">
        <v>598</v>
      </c>
      <c r="C315" s="10">
        <v>2001</v>
      </c>
      <c r="D315" s="12">
        <v>36952</v>
      </c>
      <c r="E315" s="12"/>
      <c r="F315" s="10" t="s">
        <v>624</v>
      </c>
      <c r="G315" s="10" t="s">
        <v>401</v>
      </c>
      <c r="H315" s="22" t="s">
        <v>50</v>
      </c>
      <c r="I315" s="22">
        <v>65</v>
      </c>
      <c r="J315" s="22">
        <v>1322</v>
      </c>
      <c r="K315" s="10">
        <v>0</v>
      </c>
      <c r="L315" s="20">
        <v>12500000</v>
      </c>
      <c r="M315" s="20">
        <v>14986000</v>
      </c>
      <c r="N315" s="20">
        <v>70483820</v>
      </c>
      <c r="O315" s="20"/>
      <c r="P315" s="17" t="s">
        <v>1595</v>
      </c>
      <c r="Q315" s="17"/>
      <c r="R315" s="17" t="s">
        <v>427</v>
      </c>
      <c r="S315" s="17">
        <f>S280+106450000+350000+51500000+116500000+6600000</f>
        <v>281400000</v>
      </c>
      <c r="U315" s="17" t="s">
        <v>712</v>
      </c>
      <c r="V315" s="17" t="s">
        <v>555</v>
      </c>
      <c r="W315" s="45">
        <f>VLOOKUP(V315,'Actor and Actress Success'!$A$1:$B$72,2,FALSE)</f>
        <v>11.607142857142858</v>
      </c>
      <c r="X315" s="35">
        <v>1</v>
      </c>
      <c r="Y315" s="35">
        <f>'Star Economic history'!L9</f>
        <v>8865625</v>
      </c>
      <c r="Z315" s="17" t="s">
        <v>546</v>
      </c>
      <c r="AA315" s="17"/>
      <c r="AB315" s="45" t="e">
        <f>VLOOKUP(Z315,'Actor and Actress Success'!$A$1:$B$72,2,FALSE)</f>
        <v>#N/A</v>
      </c>
      <c r="AC315" s="35">
        <v>1</v>
      </c>
      <c r="AD315" s="17" t="s">
        <v>457</v>
      </c>
      <c r="AE315" s="17"/>
      <c r="AF315" s="45" t="e">
        <f>VLOOKUP(AD315,'Actor and Actress Success'!$A$1:$B$72,2,FALSE)</f>
        <v>#N/A</v>
      </c>
      <c r="AG315" s="35"/>
      <c r="AH315" s="17" t="s">
        <v>1630</v>
      </c>
      <c r="AI315" s="17"/>
      <c r="AK315" s="45" t="e">
        <f>VLOOKUP(AH315,'Actor and Actress Success'!$A$1:$B$72,2,FALSE)</f>
        <v>#N/A</v>
      </c>
    </row>
    <row r="316" spans="1:37">
      <c r="A316" s="18">
        <v>317</v>
      </c>
      <c r="B316" s="8" t="s">
        <v>599</v>
      </c>
      <c r="C316" s="10">
        <v>2002</v>
      </c>
      <c r="D316" s="12">
        <v>37561</v>
      </c>
      <c r="E316" s="12"/>
      <c r="F316" s="10" t="s">
        <v>624</v>
      </c>
      <c r="G316" s="10" t="s">
        <v>401</v>
      </c>
      <c r="H316" s="22" t="s">
        <v>439</v>
      </c>
      <c r="I316" s="22">
        <v>175</v>
      </c>
      <c r="J316" s="22">
        <v>1258</v>
      </c>
      <c r="K316" s="10">
        <v>0</v>
      </c>
      <c r="L316" s="20">
        <v>50000000</v>
      </c>
      <c r="M316" s="20">
        <v>31088750</v>
      </c>
      <c r="N316" s="20">
        <v>94935500</v>
      </c>
      <c r="O316" s="20"/>
      <c r="P316" s="17" t="s">
        <v>1631</v>
      </c>
      <c r="Q316" s="17"/>
      <c r="R316" s="17" t="s">
        <v>63</v>
      </c>
      <c r="S316" s="17"/>
      <c r="T316" s="17" t="s">
        <v>1633</v>
      </c>
      <c r="U316" s="17" t="s">
        <v>714</v>
      </c>
      <c r="V316" s="17" t="s">
        <v>451</v>
      </c>
      <c r="W316" s="45">
        <f>VLOOKUP(V316,'Actor and Actress Success'!$A$1:$B$72,2,FALSE)</f>
        <v>22.857142857142858</v>
      </c>
      <c r="X316" s="35">
        <v>1</v>
      </c>
      <c r="Y316" s="35">
        <f>'Star Economic history'!M3</f>
        <v>88390000</v>
      </c>
      <c r="Z316" s="17" t="s">
        <v>398</v>
      </c>
      <c r="AA316" s="17"/>
      <c r="AB316" s="45">
        <f>VLOOKUP(Z316,'Actor and Actress Success'!$A$1:$B$72,2,FALSE)</f>
        <v>21.052631578947366</v>
      </c>
      <c r="AC316" s="35">
        <v>1</v>
      </c>
      <c r="AD316" s="17" t="s">
        <v>1632</v>
      </c>
      <c r="AE316" s="17"/>
      <c r="AF316" s="45" t="e">
        <f>VLOOKUP(AD316,'Actor and Actress Success'!$A$1:$B$72,2,FALSE)</f>
        <v>#N/A</v>
      </c>
      <c r="AG316" s="35"/>
      <c r="AH316" s="17" t="s">
        <v>452</v>
      </c>
      <c r="AI316" s="17"/>
      <c r="AK316" s="45" t="e">
        <f>VLOOKUP(AH316,'Actor and Actress Success'!$A$1:$B$72,2,FALSE)</f>
        <v>#N/A</v>
      </c>
    </row>
    <row r="317" spans="1:37">
      <c r="A317" s="18">
        <v>320</v>
      </c>
      <c r="B317" s="8" t="s">
        <v>600</v>
      </c>
      <c r="C317" s="10">
        <v>2003</v>
      </c>
      <c r="D317" s="12">
        <v>37855</v>
      </c>
      <c r="E317" s="12"/>
      <c r="F317" s="10" t="s">
        <v>624</v>
      </c>
      <c r="G317" s="10" t="s">
        <v>401</v>
      </c>
      <c r="H317" s="22" t="s">
        <v>6</v>
      </c>
      <c r="I317" s="22">
        <v>200</v>
      </c>
      <c r="J317" s="22">
        <v>1257</v>
      </c>
      <c r="K317" s="10">
        <v>0</v>
      </c>
      <c r="L317" s="20">
        <v>650000000</v>
      </c>
      <c r="M317" s="20">
        <v>46692500</v>
      </c>
      <c r="N317" s="20">
        <v>97436240</v>
      </c>
      <c r="O317" s="20"/>
      <c r="P317" s="17" t="s">
        <v>1098</v>
      </c>
      <c r="Q317" s="17"/>
      <c r="R317" s="17" t="s">
        <v>430</v>
      </c>
      <c r="S317" s="17"/>
      <c r="T317" s="17" t="s">
        <v>1098</v>
      </c>
      <c r="U317" s="17" t="s">
        <v>1636</v>
      </c>
      <c r="V317" s="17" t="s">
        <v>802</v>
      </c>
      <c r="W317" s="45">
        <f>VLOOKUP(V317,'Actor and Actress Success'!$A$1:$B$72,2,FALSE)</f>
        <v>35.714285714285715</v>
      </c>
      <c r="X317" s="35">
        <v>1</v>
      </c>
      <c r="Y317" s="35"/>
      <c r="Z317" s="17" t="s">
        <v>830</v>
      </c>
      <c r="AA317" s="17"/>
      <c r="AB317" s="45">
        <f>VLOOKUP(Z317,'Actor and Actress Success'!$A$1:$B$72,2,FALSE)</f>
        <v>32</v>
      </c>
      <c r="AC317" s="35">
        <v>1</v>
      </c>
      <c r="AD317" s="17" t="s">
        <v>1637</v>
      </c>
      <c r="AE317" s="17"/>
      <c r="AF317" s="45" t="e">
        <f>VLOOKUP(AD317,'Actor and Actress Success'!$A$1:$B$72,2,FALSE)</f>
        <v>#N/A</v>
      </c>
      <c r="AG317" s="35"/>
      <c r="AH317" s="17" t="s">
        <v>1117</v>
      </c>
      <c r="AI317" s="17"/>
      <c r="AK317" s="45" t="e">
        <f>VLOOKUP(AH317,'Actor and Actress Success'!$A$1:$B$72,2,FALSE)</f>
        <v>#N/A</v>
      </c>
    </row>
    <row r="318" spans="1:37">
      <c r="A318" s="18">
        <v>321</v>
      </c>
      <c r="B318" s="8" t="s">
        <v>601</v>
      </c>
      <c r="C318" s="10">
        <v>2004</v>
      </c>
      <c r="D318" s="12">
        <v>38030</v>
      </c>
      <c r="E318" s="12"/>
      <c r="F318" s="10" t="s">
        <v>624</v>
      </c>
      <c r="G318" s="10" t="s">
        <v>401</v>
      </c>
      <c r="H318" s="22" t="s">
        <v>50</v>
      </c>
      <c r="I318" s="22">
        <v>200</v>
      </c>
      <c r="J318" s="22">
        <v>1261</v>
      </c>
      <c r="K318" s="10">
        <v>100</v>
      </c>
      <c r="L318" s="20">
        <v>52500000</v>
      </c>
      <c r="M318" s="20">
        <v>39320000</v>
      </c>
      <c r="N318" s="20">
        <v>94194540</v>
      </c>
      <c r="O318" s="20"/>
      <c r="P318" s="17" t="s">
        <v>1638</v>
      </c>
      <c r="Q318" s="17"/>
      <c r="R318" s="17" t="s">
        <v>1642</v>
      </c>
      <c r="S318" s="17"/>
      <c r="T318" s="17" t="s">
        <v>467</v>
      </c>
      <c r="U318" s="17" t="s">
        <v>1643</v>
      </c>
      <c r="V318" s="17" t="s">
        <v>1097</v>
      </c>
      <c r="W318" s="45" t="e">
        <f>VLOOKUP(V318,'Actor and Actress Success'!$A$1:$B$72,2,FALSE)</f>
        <v>#N/A</v>
      </c>
      <c r="X318" s="35">
        <v>1</v>
      </c>
      <c r="Y318" s="35"/>
      <c r="Z318" s="17" t="s">
        <v>1639</v>
      </c>
      <c r="AA318" s="17"/>
      <c r="AB318" s="45" t="e">
        <f>VLOOKUP(Z318,'Actor and Actress Success'!$A$1:$B$72,2,FALSE)</f>
        <v>#N/A</v>
      </c>
      <c r="AC318" s="35"/>
      <c r="AD318" s="17" t="s">
        <v>1640</v>
      </c>
      <c r="AE318" s="17"/>
      <c r="AF318" s="45" t="e">
        <f>VLOOKUP(AD318,'Actor and Actress Success'!$A$1:$B$72,2,FALSE)</f>
        <v>#N/A</v>
      </c>
      <c r="AG318" s="35"/>
      <c r="AH318" s="17" t="s">
        <v>1641</v>
      </c>
      <c r="AI318" s="17"/>
      <c r="AK318" s="45" t="e">
        <f>VLOOKUP(AH318,'Actor and Actress Success'!$A$1:$B$72,2,FALSE)</f>
        <v>#N/A</v>
      </c>
    </row>
    <row r="319" spans="1:37">
      <c r="A319" s="18">
        <v>322</v>
      </c>
      <c r="B319" s="8" t="s">
        <v>602</v>
      </c>
      <c r="C319" s="10">
        <v>2004</v>
      </c>
      <c r="D319" s="12">
        <v>38226</v>
      </c>
      <c r="E319" s="12"/>
      <c r="F319" s="10" t="s">
        <v>624</v>
      </c>
      <c r="G319" s="10" t="s">
        <v>401</v>
      </c>
      <c r="H319" s="22" t="s">
        <v>6</v>
      </c>
      <c r="I319" s="22">
        <v>170</v>
      </c>
      <c r="J319" s="22">
        <v>1353</v>
      </c>
      <c r="K319" s="10">
        <v>46.67</v>
      </c>
      <c r="L319" s="20">
        <v>55000000</v>
      </c>
      <c r="M319" s="20">
        <v>54306250</v>
      </c>
      <c r="N319" s="20">
        <v>61499680</v>
      </c>
      <c r="O319" s="20"/>
      <c r="P319" s="17" t="s">
        <v>1644</v>
      </c>
      <c r="Q319" s="17"/>
      <c r="R319" s="17" t="s">
        <v>1646</v>
      </c>
      <c r="S319" s="17"/>
      <c r="U319" s="17" t="s">
        <v>1645</v>
      </c>
      <c r="V319" s="17" t="s">
        <v>16</v>
      </c>
      <c r="W319" s="45">
        <f>VLOOKUP(V319,'Actor and Actress Success'!$A$1:$B$72,2,FALSE)</f>
        <v>50.819672131147541</v>
      </c>
      <c r="X319" s="35">
        <v>1</v>
      </c>
      <c r="Y319" s="35"/>
      <c r="Z319" s="17" t="s">
        <v>802</v>
      </c>
      <c r="AA319" s="17"/>
      <c r="AB319" s="45">
        <f>VLOOKUP(Z319,'Actor and Actress Success'!$A$1:$B$72,2,FALSE)</f>
        <v>35.714285714285715</v>
      </c>
      <c r="AC319" s="35">
        <v>1</v>
      </c>
      <c r="AD319" s="17" t="s">
        <v>518</v>
      </c>
      <c r="AE319" s="17"/>
      <c r="AF319" s="45">
        <f>VLOOKUP(AD319,'Actor and Actress Success'!$A$1:$B$72,2,FALSE)</f>
        <v>21.212121212121211</v>
      </c>
      <c r="AG319" s="35">
        <v>1</v>
      </c>
      <c r="AH319" s="17" t="s">
        <v>522</v>
      </c>
      <c r="AI319" s="17"/>
      <c r="AK319" s="45" t="e">
        <f>VLOOKUP(AH319,'Actor and Actress Success'!$A$1:$B$72,2,FALSE)</f>
        <v>#N/A</v>
      </c>
    </row>
    <row r="320" spans="1:37">
      <c r="A320" s="18">
        <v>323</v>
      </c>
      <c r="B320" s="8" t="s">
        <v>603</v>
      </c>
      <c r="C320" s="10">
        <v>2005</v>
      </c>
      <c r="D320" s="12">
        <v>38457</v>
      </c>
      <c r="E320" s="12"/>
      <c r="F320" s="10" t="s">
        <v>401</v>
      </c>
      <c r="G320" s="10" t="s">
        <v>401</v>
      </c>
      <c r="H320" s="22" t="s">
        <v>439</v>
      </c>
      <c r="I320" s="22">
        <v>150</v>
      </c>
      <c r="J320" s="22">
        <v>989</v>
      </c>
      <c r="K320" s="10">
        <v>0</v>
      </c>
      <c r="L320" s="20">
        <v>45000000</v>
      </c>
      <c r="M320" s="20">
        <v>51750000</v>
      </c>
      <c r="N320" s="20">
        <v>80023680</v>
      </c>
      <c r="O320" s="20"/>
      <c r="P320" s="17" t="s">
        <v>1647</v>
      </c>
      <c r="Q320" s="17"/>
      <c r="R320" s="17" t="s">
        <v>1124</v>
      </c>
      <c r="S320" s="17"/>
      <c r="T320" s="17" t="s">
        <v>440</v>
      </c>
      <c r="U320" s="17" t="s">
        <v>1627</v>
      </c>
      <c r="V320" s="17" t="s">
        <v>545</v>
      </c>
      <c r="W320" s="45" t="e">
        <f>VLOOKUP(V320,'Actor and Actress Success'!$A$1:$B$72,2,FALSE)</f>
        <v>#N/A</v>
      </c>
      <c r="X320" s="35">
        <v>1</v>
      </c>
      <c r="Y320" s="35"/>
      <c r="Z320" s="17" t="s">
        <v>416</v>
      </c>
      <c r="AA320" s="17"/>
      <c r="AB320" s="45">
        <f>VLOOKUP(Z320,'Actor and Actress Success'!$A$1:$B$72,2,FALSE)</f>
        <v>14.035087719298245</v>
      </c>
      <c r="AC320" s="35">
        <v>1</v>
      </c>
      <c r="AD320" s="17" t="s">
        <v>546</v>
      </c>
      <c r="AE320" s="17"/>
      <c r="AF320" s="45" t="e">
        <f>VLOOKUP(AD320,'Actor and Actress Success'!$A$1:$B$72,2,FALSE)</f>
        <v>#N/A</v>
      </c>
      <c r="AG320" s="35"/>
      <c r="AH320" s="17" t="s">
        <v>516</v>
      </c>
      <c r="AI320" s="17"/>
      <c r="AK320" s="45" t="e">
        <f>VLOOKUP(AH320,'Actor and Actress Success'!$A$1:$B$72,2,FALSE)</f>
        <v>#N/A</v>
      </c>
    </row>
    <row r="321" spans="1:37">
      <c r="A321" s="18">
        <v>324</v>
      </c>
      <c r="B321" s="8" t="s">
        <v>604</v>
      </c>
      <c r="C321" s="10">
        <v>2005</v>
      </c>
      <c r="D321" s="12">
        <v>38520</v>
      </c>
      <c r="E321" s="12"/>
      <c r="F321" s="10" t="s">
        <v>401</v>
      </c>
      <c r="G321" s="10" t="s">
        <v>401</v>
      </c>
      <c r="H321" s="22" t="s">
        <v>439</v>
      </c>
      <c r="I321" s="22">
        <v>225</v>
      </c>
      <c r="J321" s="22">
        <v>956</v>
      </c>
      <c r="K321" s="10">
        <v>0</v>
      </c>
      <c r="L321" s="20">
        <v>60000000</v>
      </c>
      <c r="M321" s="20">
        <v>55192500</v>
      </c>
      <c r="N321" s="20">
        <v>105864660</v>
      </c>
      <c r="O321" s="20"/>
      <c r="P321" s="17" t="s">
        <v>1648</v>
      </c>
      <c r="Q321" s="17"/>
      <c r="R321" s="17" t="s">
        <v>430</v>
      </c>
      <c r="S321" s="17"/>
      <c r="T321" s="17" t="s">
        <v>1649</v>
      </c>
      <c r="U321" s="17" t="s">
        <v>1228</v>
      </c>
      <c r="V321" s="17" t="s">
        <v>459</v>
      </c>
      <c r="W321" s="45">
        <f>VLOOKUP(V321,'Actor and Actress Success'!$A$1:$B$72,2,FALSE)</f>
        <v>21.739130434782609</v>
      </c>
      <c r="X321" s="35">
        <v>1</v>
      </c>
      <c r="Y321" s="35"/>
      <c r="Z321" s="17" t="s">
        <v>939</v>
      </c>
      <c r="AA321" s="17"/>
      <c r="AB321" s="45" t="e">
        <f>VLOOKUP(Z321,'Actor and Actress Success'!$A$1:$B$72,2,FALSE)</f>
        <v>#N/A</v>
      </c>
      <c r="AC321" s="35">
        <v>1</v>
      </c>
      <c r="AD321" s="17" t="s">
        <v>453</v>
      </c>
      <c r="AE321" s="17"/>
      <c r="AF321" s="45" t="e">
        <f>VLOOKUP(AD321,'Actor and Actress Success'!$A$1:$B$72,2,FALSE)</f>
        <v>#N/A</v>
      </c>
      <c r="AG321" s="35"/>
      <c r="AH321" s="17" t="s">
        <v>1026</v>
      </c>
      <c r="AI321" s="17"/>
      <c r="AK321" s="45" t="e">
        <f>VLOOKUP(AH321,'Actor and Actress Success'!$A$1:$B$72,2,FALSE)</f>
        <v>#N/A</v>
      </c>
    </row>
    <row r="322" spans="1:37">
      <c r="A322" s="18">
        <v>325</v>
      </c>
      <c r="B322" s="8" t="s">
        <v>605</v>
      </c>
      <c r="C322" s="10">
        <v>2006</v>
      </c>
      <c r="D322" s="12">
        <v>38849</v>
      </c>
      <c r="E322" s="12"/>
      <c r="F322" s="10" t="s">
        <v>624</v>
      </c>
      <c r="G322" s="10" t="s">
        <v>401</v>
      </c>
      <c r="H322" s="22" t="s">
        <v>6</v>
      </c>
      <c r="I322" s="22">
        <v>250</v>
      </c>
      <c r="J322" s="22">
        <v>1356</v>
      </c>
      <c r="K322" s="10">
        <v>0</v>
      </c>
      <c r="L322" s="20">
        <v>110000000</v>
      </c>
      <c r="M322" s="20">
        <v>32632500</v>
      </c>
      <c r="N322" s="20">
        <v>60851340</v>
      </c>
      <c r="O322" s="20"/>
      <c r="P322" s="17" t="s">
        <v>1247</v>
      </c>
      <c r="Q322" s="17"/>
      <c r="R322" s="17" t="s">
        <v>805</v>
      </c>
      <c r="S322" s="17"/>
      <c r="T322" s="17" t="s">
        <v>1650</v>
      </c>
      <c r="U322" s="17" t="s">
        <v>1650</v>
      </c>
      <c r="V322" s="17" t="s">
        <v>511</v>
      </c>
      <c r="W322" s="45">
        <f>VLOOKUP(V322,'Actor and Actress Success'!$A$1:$B$72,2,FALSE)</f>
        <v>27.397260273972602</v>
      </c>
      <c r="X322" s="35">
        <v>1</v>
      </c>
      <c r="Y322" s="35"/>
      <c r="Z322" s="17" t="s">
        <v>784</v>
      </c>
      <c r="AA322" s="17"/>
      <c r="AB322" s="45">
        <f>VLOOKUP(Z322,'Actor and Actress Success'!$A$1:$B$72,2,FALSE)</f>
        <v>26.923076923076923</v>
      </c>
      <c r="AC322" s="35">
        <v>1</v>
      </c>
      <c r="AD322" s="17" t="s">
        <v>1589</v>
      </c>
      <c r="AE322" s="17"/>
      <c r="AF322" s="45" t="e">
        <f>VLOOKUP(AD322,'Actor and Actress Success'!$A$1:$B$72,2,FALSE)</f>
        <v>#N/A</v>
      </c>
      <c r="AG322" s="35"/>
      <c r="AH322" s="17" t="s">
        <v>420</v>
      </c>
      <c r="AI322" s="17"/>
      <c r="AK322" s="45" t="e">
        <f>VLOOKUP(AH322,'Actor and Actress Success'!$A$1:$B$72,2,FALSE)</f>
        <v>#N/A</v>
      </c>
    </row>
    <row r="323" spans="1:37">
      <c r="A323" s="18">
        <v>326</v>
      </c>
      <c r="B323" s="8" t="s">
        <v>606</v>
      </c>
      <c r="C323" s="10">
        <v>2006</v>
      </c>
      <c r="D323" s="12">
        <v>38982</v>
      </c>
      <c r="E323" s="12"/>
      <c r="F323" s="10" t="s">
        <v>624</v>
      </c>
      <c r="G323" s="10" t="s">
        <v>401</v>
      </c>
      <c r="H323" s="22" t="s">
        <v>6</v>
      </c>
      <c r="I323" s="22">
        <v>225</v>
      </c>
      <c r="J323" s="22">
        <v>1388</v>
      </c>
      <c r="K323" s="10">
        <v>0</v>
      </c>
      <c r="L323" s="20">
        <v>92500000</v>
      </c>
      <c r="M323" s="20">
        <v>30400000</v>
      </c>
      <c r="N323" s="20">
        <v>54090080</v>
      </c>
      <c r="O323" s="20"/>
      <c r="P323" s="17" t="s">
        <v>1651</v>
      </c>
      <c r="Q323" s="17"/>
      <c r="R323" s="17" t="s">
        <v>950</v>
      </c>
      <c r="S323" s="17"/>
      <c r="U323" s="17" t="s">
        <v>1652</v>
      </c>
      <c r="V323" s="17" t="s">
        <v>1653</v>
      </c>
      <c r="W323" s="45" t="e">
        <f>VLOOKUP(V323,'Actor and Actress Success'!$A$1:$B$72,2,FALSE)</f>
        <v>#N/A</v>
      </c>
      <c r="X323" s="35">
        <v>1</v>
      </c>
      <c r="Y323" s="35"/>
      <c r="Z323" s="17" t="s">
        <v>1654</v>
      </c>
      <c r="AA323" s="17"/>
      <c r="AB323" s="45" t="e">
        <f>VLOOKUP(Z323,'Actor and Actress Success'!$A$1:$B$72,2,FALSE)</f>
        <v>#N/A</v>
      </c>
      <c r="AC323" s="35">
        <v>1</v>
      </c>
      <c r="AD323" s="17" t="s">
        <v>1108</v>
      </c>
      <c r="AE323" s="17"/>
      <c r="AF323" s="45" t="e">
        <f>VLOOKUP(AD323,'Actor and Actress Success'!$A$1:$B$72,2,FALSE)</f>
        <v>#N/A</v>
      </c>
      <c r="AG323" s="35">
        <v>1</v>
      </c>
      <c r="AH323" s="17" t="s">
        <v>1655</v>
      </c>
      <c r="AI323" s="17"/>
      <c r="AK323" s="45" t="e">
        <f>VLOOKUP(AH323,'Actor and Actress Success'!$A$1:$B$72,2,FALSE)</f>
        <v>#N/A</v>
      </c>
    </row>
    <row r="324" spans="1:37">
      <c r="A324" s="18">
        <v>327</v>
      </c>
      <c r="B324" s="8" t="s">
        <v>607</v>
      </c>
      <c r="C324" s="10">
        <v>2007</v>
      </c>
      <c r="D324" s="12">
        <v>39101</v>
      </c>
      <c r="E324" s="12"/>
      <c r="F324" s="10" t="s">
        <v>624</v>
      </c>
      <c r="G324" s="10" t="s">
        <v>401</v>
      </c>
      <c r="H324" s="22" t="s">
        <v>408</v>
      </c>
      <c r="I324" s="22">
        <v>300</v>
      </c>
      <c r="J324" s="22">
        <v>1323</v>
      </c>
      <c r="K324" s="10">
        <v>0</v>
      </c>
      <c r="L324" s="20">
        <v>60000000</v>
      </c>
      <c r="M324" s="20">
        <v>39800000</v>
      </c>
      <c r="N324" s="20">
        <v>70020720</v>
      </c>
      <c r="O324" s="20"/>
      <c r="P324" s="17" t="s">
        <v>1656</v>
      </c>
      <c r="Q324" s="17"/>
      <c r="R324" s="17" t="s">
        <v>1659</v>
      </c>
      <c r="S324" s="17"/>
      <c r="T324" s="17" t="s">
        <v>1656</v>
      </c>
      <c r="U324" s="17" t="s">
        <v>1656</v>
      </c>
      <c r="V324" s="17" t="s">
        <v>959</v>
      </c>
      <c r="W324" s="45">
        <f>VLOOKUP(V324,'Actor and Actress Success'!$A$1:$B$72,2,FALSE)</f>
        <v>21.739130434782609</v>
      </c>
      <c r="X324" s="35">
        <v>1</v>
      </c>
      <c r="Y324" s="35"/>
      <c r="Z324" s="17" t="s">
        <v>1158</v>
      </c>
      <c r="AA324" s="17"/>
      <c r="AB324" s="45" t="e">
        <f>VLOOKUP(Z324,'Actor and Actress Success'!$A$1:$B$72,2,FALSE)</f>
        <v>#N/A</v>
      </c>
      <c r="AC324" s="35">
        <v>1</v>
      </c>
      <c r="AD324" s="17" t="s">
        <v>1657</v>
      </c>
      <c r="AE324" s="17"/>
      <c r="AF324" s="45" t="e">
        <f>VLOOKUP(AD324,'Actor and Actress Success'!$A$1:$B$72,2,FALSE)</f>
        <v>#N/A</v>
      </c>
      <c r="AG324" s="35">
        <v>1</v>
      </c>
      <c r="AH324" s="17" t="s">
        <v>1658</v>
      </c>
      <c r="AI324" s="17"/>
      <c r="AK324" s="45" t="e">
        <f>VLOOKUP(AH324,'Actor and Actress Success'!$A$1:$B$72,2,FALSE)</f>
        <v>#N/A</v>
      </c>
    </row>
    <row r="325" spans="1:37">
      <c r="A325" s="18">
        <v>328</v>
      </c>
      <c r="B325" s="8" t="s">
        <v>608</v>
      </c>
      <c r="C325" s="10">
        <v>2007</v>
      </c>
      <c r="D325" s="12">
        <v>39192</v>
      </c>
      <c r="E325" s="12"/>
      <c r="F325" s="10" t="s">
        <v>624</v>
      </c>
      <c r="G325" s="10" t="s">
        <v>401</v>
      </c>
      <c r="H325" s="22" t="s">
        <v>547</v>
      </c>
      <c r="I325" s="22">
        <v>425</v>
      </c>
      <c r="J325" s="22">
        <v>1357</v>
      </c>
      <c r="K325" s="10">
        <v>0</v>
      </c>
      <c r="L325" s="20">
        <v>72500000</v>
      </c>
      <c r="M325" s="20">
        <v>48750000</v>
      </c>
      <c r="N325" s="20">
        <v>60666100</v>
      </c>
      <c r="O325" s="20"/>
      <c r="P325" s="17" t="s">
        <v>1660</v>
      </c>
      <c r="Q325" s="17"/>
      <c r="R325" s="17" t="s">
        <v>801</v>
      </c>
      <c r="S325" s="17"/>
      <c r="T325" s="17" t="s">
        <v>1661</v>
      </c>
      <c r="U325" s="17" t="s">
        <v>949</v>
      </c>
      <c r="V325" s="17" t="s">
        <v>909</v>
      </c>
      <c r="W325" s="45" t="e">
        <f>VLOOKUP(V325,'Actor and Actress Success'!$A$1:$B$72,2,FALSE)</f>
        <v>#N/A</v>
      </c>
      <c r="X325" s="35">
        <v>1</v>
      </c>
      <c r="Y325" s="35"/>
      <c r="Z325" s="17" t="s">
        <v>958</v>
      </c>
      <c r="AA325" s="17"/>
      <c r="AB325" s="45" t="e">
        <f>VLOOKUP(Z325,'Actor and Actress Success'!$A$1:$B$72,2,FALSE)</f>
        <v>#N/A</v>
      </c>
      <c r="AC325" s="35">
        <v>1</v>
      </c>
      <c r="AD325" s="17" t="s">
        <v>1662</v>
      </c>
      <c r="AE325" s="17"/>
      <c r="AF325" s="45" t="e">
        <f>VLOOKUP(AD325,'Actor and Actress Success'!$A$1:$B$72,2,FALSE)</f>
        <v>#N/A</v>
      </c>
      <c r="AG325" s="35"/>
      <c r="AH325" s="17" t="s">
        <v>1663</v>
      </c>
      <c r="AI325" s="17"/>
      <c r="AK325" s="45" t="e">
        <f>VLOOKUP(AH325,'Actor and Actress Success'!$A$1:$B$72,2,FALSE)</f>
        <v>#N/A</v>
      </c>
    </row>
    <row r="326" spans="1:37">
      <c r="A326" s="18">
        <v>329</v>
      </c>
      <c r="B326" s="8" t="s">
        <v>614</v>
      </c>
      <c r="C326" s="10">
        <v>2008</v>
      </c>
      <c r="D326" s="12">
        <v>39647</v>
      </c>
      <c r="E326" s="12"/>
      <c r="F326" s="10" t="s">
        <v>401</v>
      </c>
      <c r="G326" s="10" t="s">
        <v>401</v>
      </c>
      <c r="H326" s="22" t="s">
        <v>408</v>
      </c>
      <c r="I326" s="22">
        <v>350</v>
      </c>
      <c r="J326" s="22">
        <v>1037</v>
      </c>
      <c r="K326" s="10">
        <v>0</v>
      </c>
      <c r="L326" s="20">
        <v>75000000</v>
      </c>
      <c r="M326" s="20">
        <v>36400000</v>
      </c>
      <c r="N326" s="20">
        <v>51496720</v>
      </c>
      <c r="O326" s="20"/>
      <c r="P326" s="17" t="s">
        <v>421</v>
      </c>
      <c r="Q326" s="17"/>
      <c r="R326" s="17" t="s">
        <v>1667</v>
      </c>
      <c r="S326" s="17"/>
      <c r="T326" s="17" t="s">
        <v>1664</v>
      </c>
      <c r="U326" s="17" t="s">
        <v>1664</v>
      </c>
      <c r="V326" s="17" t="s">
        <v>1665</v>
      </c>
      <c r="W326" s="45" t="e">
        <f>VLOOKUP(V326,'Actor and Actress Success'!$A$1:$B$72,2,FALSE)</f>
        <v>#N/A</v>
      </c>
      <c r="X326" s="35">
        <v>1</v>
      </c>
      <c r="Y326" s="35"/>
      <c r="Z326" s="17" t="s">
        <v>1666</v>
      </c>
      <c r="AA326" s="17"/>
      <c r="AB326" s="45" t="e">
        <f>VLOOKUP(Z326,'Actor and Actress Success'!$A$1:$B$72,2,FALSE)</f>
        <v>#N/A</v>
      </c>
      <c r="AC326" s="35">
        <v>1</v>
      </c>
      <c r="AD326" s="17" t="s">
        <v>1059</v>
      </c>
      <c r="AE326" s="17"/>
      <c r="AF326" s="45" t="e">
        <f>VLOOKUP(AD326,'Actor and Actress Success'!$A$1:$B$72,2,FALSE)</f>
        <v>#N/A</v>
      </c>
      <c r="AG326" s="35"/>
      <c r="AH326" s="17" t="s">
        <v>1149</v>
      </c>
      <c r="AI326" s="17"/>
      <c r="AK326" s="45" t="e">
        <f>VLOOKUP(AH326,'Actor and Actress Success'!$A$1:$B$72,2,FALSE)</f>
        <v>#N/A</v>
      </c>
    </row>
    <row r="327" spans="1:37">
      <c r="A327" s="18">
        <v>330</v>
      </c>
      <c r="B327" s="8" t="s">
        <v>1668</v>
      </c>
      <c r="C327" s="10">
        <v>2008</v>
      </c>
      <c r="D327" s="12">
        <v>39773</v>
      </c>
      <c r="E327" s="12"/>
      <c r="F327" s="10" t="s">
        <v>624</v>
      </c>
      <c r="G327" s="10" t="s">
        <v>401</v>
      </c>
      <c r="H327" s="22" t="s">
        <v>6</v>
      </c>
      <c r="I327" s="22">
        <v>1100</v>
      </c>
      <c r="J327" s="22">
        <v>1121</v>
      </c>
      <c r="K327" s="10">
        <v>59.64</v>
      </c>
      <c r="L327" s="20">
        <v>480000000</v>
      </c>
      <c r="M327" s="20">
        <v>312200000</v>
      </c>
      <c r="N327" s="20">
        <v>333246760</v>
      </c>
      <c r="O327" s="20"/>
      <c r="P327" s="17" t="s">
        <v>431</v>
      </c>
      <c r="Q327" s="17"/>
      <c r="R327" s="17" t="s">
        <v>418</v>
      </c>
      <c r="S327" s="17"/>
      <c r="T327" s="17" t="s">
        <v>431</v>
      </c>
      <c r="U327" s="17" t="s">
        <v>431</v>
      </c>
      <c r="V327" s="17" t="s">
        <v>16</v>
      </c>
      <c r="W327" s="45">
        <f>VLOOKUP(V327,'Actor and Actress Success'!$A$1:$B$72,2,FALSE)</f>
        <v>50.819672131147541</v>
      </c>
      <c r="X327" s="35">
        <v>1</v>
      </c>
      <c r="Y327" s="35"/>
      <c r="Z327" s="17" t="s">
        <v>811</v>
      </c>
      <c r="AA327" s="17"/>
      <c r="AB327" s="45" t="e">
        <f>VLOOKUP(Z327,'Actor and Actress Success'!$A$1:$B$72,2,FALSE)</f>
        <v>#N/A</v>
      </c>
      <c r="AC327" s="35"/>
      <c r="AD327" s="17" t="s">
        <v>442</v>
      </c>
      <c r="AE327" s="17"/>
      <c r="AF327" s="45">
        <f>VLOOKUP(AD327,'Actor and Actress Success'!$A$1:$B$72,2,FALSE)</f>
        <v>34.042553191489361</v>
      </c>
      <c r="AG327" s="35">
        <v>1</v>
      </c>
      <c r="AH327" s="17" t="s">
        <v>1653</v>
      </c>
      <c r="AI327" s="17"/>
      <c r="AK327" s="45" t="e">
        <f>VLOOKUP(AH327,'Actor and Actress Success'!$A$1:$B$72,2,FALSE)</f>
        <v>#N/A</v>
      </c>
    </row>
    <row r="328" spans="1:37">
      <c r="A328" s="18">
        <v>331</v>
      </c>
      <c r="B328" s="8" t="s">
        <v>615</v>
      </c>
      <c r="C328" s="10">
        <v>2009</v>
      </c>
      <c r="D328" s="12">
        <v>40053</v>
      </c>
      <c r="E328" s="12"/>
      <c r="F328" s="10" t="s">
        <v>401</v>
      </c>
      <c r="G328" s="10" t="s">
        <v>401</v>
      </c>
      <c r="H328" s="22" t="s">
        <v>439</v>
      </c>
      <c r="I328" s="22">
        <v>250</v>
      </c>
      <c r="J328" s="22">
        <v>1087</v>
      </c>
      <c r="K328" s="10">
        <v>0</v>
      </c>
      <c r="L328" s="20">
        <v>60000000</v>
      </c>
      <c r="M328" s="20">
        <v>25700000</v>
      </c>
      <c r="N328" s="20">
        <v>25377880</v>
      </c>
      <c r="O328" s="20"/>
      <c r="P328" s="17" t="s">
        <v>1547</v>
      </c>
      <c r="Q328" s="17"/>
      <c r="R328" s="17" t="s">
        <v>1071</v>
      </c>
      <c r="S328" s="17"/>
      <c r="T328" s="17" t="s">
        <v>1669</v>
      </c>
      <c r="U328" s="17" t="s">
        <v>1669</v>
      </c>
      <c r="V328" s="17" t="s">
        <v>1670</v>
      </c>
      <c r="W328" s="45" t="e">
        <f>VLOOKUP(V328,'Actor and Actress Success'!$A$1:$B$72,2,FALSE)</f>
        <v>#N/A</v>
      </c>
      <c r="X328" s="35">
        <v>1</v>
      </c>
      <c r="Y328" s="35"/>
      <c r="Z328" s="17" t="s">
        <v>1178</v>
      </c>
      <c r="AA328" s="17"/>
      <c r="AB328" s="45" t="e">
        <f>VLOOKUP(Z328,'Actor and Actress Success'!$A$1:$B$72,2,FALSE)</f>
        <v>#N/A</v>
      </c>
      <c r="AC328" s="35"/>
      <c r="AD328" s="17" t="s">
        <v>502</v>
      </c>
      <c r="AE328" s="17"/>
      <c r="AF328" s="45" t="e">
        <f>VLOOKUP(AD328,'Actor and Actress Success'!$A$1:$B$72,2,FALSE)</f>
        <v>#N/A</v>
      </c>
      <c r="AG328" s="35"/>
      <c r="AH328" s="17" t="s">
        <v>814</v>
      </c>
      <c r="AI328" s="17"/>
      <c r="AK328" s="45" t="e">
        <f>VLOOKUP(AH328,'Actor and Actress Success'!$A$1:$B$72,2,FALSE)</f>
        <v>#N/A</v>
      </c>
    </row>
    <row r="329" spans="1:37">
      <c r="A329" s="18">
        <v>332</v>
      </c>
      <c r="B329" s="8" t="s">
        <v>616</v>
      </c>
      <c r="C329" s="10">
        <v>2009</v>
      </c>
      <c r="D329" s="12">
        <v>40032</v>
      </c>
      <c r="E329" s="12"/>
      <c r="F329" s="10" t="s">
        <v>401</v>
      </c>
      <c r="G329" s="10" t="s">
        <v>401</v>
      </c>
      <c r="H329" s="22" t="s">
        <v>56</v>
      </c>
      <c r="I329" s="22">
        <v>300</v>
      </c>
      <c r="J329" s="22">
        <v>1069</v>
      </c>
      <c r="K329" s="10">
        <v>0</v>
      </c>
      <c r="L329" s="20">
        <v>80000000</v>
      </c>
      <c r="M329" s="20">
        <v>26900000</v>
      </c>
      <c r="N329" s="20">
        <v>33713680</v>
      </c>
      <c r="O329" s="20"/>
      <c r="P329" s="17" t="s">
        <v>482</v>
      </c>
      <c r="Q329" s="17"/>
      <c r="R329" s="17" t="s">
        <v>1217</v>
      </c>
      <c r="S329" s="17"/>
      <c r="T329" s="17" t="s">
        <v>482</v>
      </c>
      <c r="U329" s="17" t="s">
        <v>1674</v>
      </c>
      <c r="V329" s="17" t="s">
        <v>1671</v>
      </c>
      <c r="W329" s="45" t="e">
        <f>VLOOKUP(V329,'Actor and Actress Success'!$A$1:$B$72,2,FALSE)</f>
        <v>#N/A</v>
      </c>
      <c r="X329" s="35">
        <v>1</v>
      </c>
      <c r="Y329" s="35"/>
      <c r="Z329" s="17" t="s">
        <v>1672</v>
      </c>
      <c r="AA329" s="17"/>
      <c r="AB329" s="45" t="e">
        <f>VLOOKUP(Z329,'Actor and Actress Success'!$A$1:$B$72,2,FALSE)</f>
        <v>#N/A</v>
      </c>
      <c r="AC329" s="35">
        <v>1</v>
      </c>
      <c r="AD329" s="17" t="s">
        <v>1673</v>
      </c>
      <c r="AE329" s="17"/>
      <c r="AF329" s="45" t="e">
        <f>VLOOKUP(AD329,'Actor and Actress Success'!$A$1:$B$72,2,FALSE)</f>
        <v>#N/A</v>
      </c>
      <c r="AG329" s="35"/>
      <c r="AH329" s="17" t="s">
        <v>1074</v>
      </c>
      <c r="AI329" s="17"/>
      <c r="AK329" s="45" t="e">
        <f>VLOOKUP(AH329,'Actor and Actress Success'!$A$1:$B$72,2,FALSE)</f>
        <v>#N/A</v>
      </c>
    </row>
    <row r="330" spans="1:37">
      <c r="A330" s="18">
        <v>333</v>
      </c>
      <c r="B330" s="8" t="s">
        <v>617</v>
      </c>
      <c r="C330" s="10">
        <v>2010</v>
      </c>
      <c r="D330" s="12">
        <v>40536</v>
      </c>
      <c r="E330" s="12"/>
      <c r="F330" s="10" t="s">
        <v>624</v>
      </c>
      <c r="G330" s="10" t="s">
        <v>401</v>
      </c>
      <c r="H330" s="22" t="s">
        <v>1675</v>
      </c>
      <c r="I330" s="22">
        <v>500</v>
      </c>
      <c r="J330" s="22">
        <v>1433</v>
      </c>
      <c r="K330" s="10">
        <v>65</v>
      </c>
      <c r="L330" s="20">
        <v>250000000</v>
      </c>
      <c r="M330" s="20">
        <v>51046250</v>
      </c>
      <c r="N330" s="20">
        <v>44642840</v>
      </c>
      <c r="O330" s="20"/>
      <c r="P330" s="17" t="s">
        <v>1676</v>
      </c>
      <c r="Q330" s="17"/>
      <c r="R330" s="17" t="s">
        <v>430</v>
      </c>
      <c r="S330" s="17"/>
      <c r="T330" s="17" t="s">
        <v>1680</v>
      </c>
      <c r="U330" s="17" t="s">
        <v>1677</v>
      </c>
      <c r="V330" s="17" t="s">
        <v>429</v>
      </c>
      <c r="W330" s="45">
        <f>VLOOKUP(V330,'Actor and Actress Success'!$A$1:$B$72,2,FALSE)</f>
        <v>39.285714285714285</v>
      </c>
      <c r="X330" s="35">
        <v>1</v>
      </c>
      <c r="Y330" s="35">
        <f>'Star Economic history'!U4</f>
        <v>335500000</v>
      </c>
      <c r="Z330" s="17" t="s">
        <v>59</v>
      </c>
      <c r="AA330" s="17"/>
      <c r="AB330" s="45">
        <f>VLOOKUP(Z330,'Actor and Actress Success'!$A$1:$B$72,2,FALSE)</f>
        <v>46.428571428571431</v>
      </c>
      <c r="AC330" s="35">
        <v>1</v>
      </c>
      <c r="AD330" s="17" t="s">
        <v>1678</v>
      </c>
      <c r="AE330" s="17"/>
      <c r="AF330" s="45" t="e">
        <f>VLOOKUP(AD330,'Actor and Actress Success'!$A$1:$B$72,2,FALSE)</f>
        <v>#N/A</v>
      </c>
      <c r="AG330" s="35"/>
      <c r="AH330" s="17" t="s">
        <v>1679</v>
      </c>
      <c r="AI330" s="17"/>
      <c r="AK330" s="45" t="e">
        <f>VLOOKUP(AH330,'Actor and Actress Success'!$A$1:$B$72,2,FALSE)</f>
        <v>#N/A</v>
      </c>
    </row>
    <row r="331" spans="1:37">
      <c r="A331" s="18">
        <v>334</v>
      </c>
      <c r="B331" s="8" t="s">
        <v>618</v>
      </c>
      <c r="C331" s="10">
        <v>2010</v>
      </c>
      <c r="D331" s="12">
        <v>40277</v>
      </c>
      <c r="E331" s="12"/>
      <c r="F331" s="10" t="s">
        <v>624</v>
      </c>
      <c r="G331" s="10" t="s">
        <v>401</v>
      </c>
      <c r="H331" s="22" t="s">
        <v>1675</v>
      </c>
      <c r="I331" s="22">
        <v>425</v>
      </c>
      <c r="J331" s="22">
        <v>1384</v>
      </c>
      <c r="K331" s="10">
        <v>0</v>
      </c>
      <c r="L331" s="20">
        <v>180000000</v>
      </c>
      <c r="M331" s="20">
        <v>52500000</v>
      </c>
      <c r="N331" s="20">
        <v>54553180</v>
      </c>
      <c r="O331" s="20"/>
      <c r="P331" s="17" t="s">
        <v>969</v>
      </c>
      <c r="Q331" s="17"/>
      <c r="R331" s="17" t="s">
        <v>829</v>
      </c>
      <c r="S331" s="17"/>
      <c r="T331" s="17" t="s">
        <v>969</v>
      </c>
      <c r="U331" s="17" t="s">
        <v>969</v>
      </c>
      <c r="V331" s="17" t="s">
        <v>928</v>
      </c>
      <c r="W331" s="45" t="e">
        <f>VLOOKUP(V331,'Actor and Actress Success'!$A$1:$B$72,2,FALSE)</f>
        <v>#N/A</v>
      </c>
      <c r="X331" s="35">
        <v>1</v>
      </c>
      <c r="Y331" s="35"/>
      <c r="Z331" s="17" t="s">
        <v>1170</v>
      </c>
      <c r="AA331" s="17"/>
      <c r="AB331" s="45" t="e">
        <f>VLOOKUP(Z331,'Actor and Actress Success'!$A$1:$B$72,2,FALSE)</f>
        <v>#N/A</v>
      </c>
      <c r="AC331" s="35">
        <v>1</v>
      </c>
      <c r="AD331" s="17" t="s">
        <v>1671</v>
      </c>
      <c r="AE331" s="17"/>
      <c r="AF331" s="45" t="e">
        <f>VLOOKUP(AD331,'Actor and Actress Success'!$A$1:$B$72,2,FALSE)</f>
        <v>#N/A</v>
      </c>
      <c r="AG331" s="35"/>
      <c r="AH331" s="17" t="s">
        <v>934</v>
      </c>
      <c r="AI331" s="17"/>
      <c r="AK331" s="45" t="e">
        <f>VLOOKUP(AH331,'Actor and Actress Success'!$A$1:$B$72,2,FALSE)</f>
        <v>#N/A</v>
      </c>
    </row>
    <row r="332" spans="1:37">
      <c r="A332" s="18">
        <v>335</v>
      </c>
      <c r="B332" s="8" t="s">
        <v>581</v>
      </c>
      <c r="C332" s="10">
        <v>2011</v>
      </c>
      <c r="D332" s="12">
        <v>40648</v>
      </c>
      <c r="E332" s="12"/>
      <c r="F332" s="10" t="s">
        <v>624</v>
      </c>
      <c r="G332" s="10" t="s">
        <v>401</v>
      </c>
      <c r="H332" s="22" t="s">
        <v>439</v>
      </c>
      <c r="I332" s="22">
        <v>500</v>
      </c>
      <c r="J332" s="22">
        <v>1528</v>
      </c>
      <c r="K332" s="10">
        <v>0</v>
      </c>
      <c r="L332" s="20">
        <v>110000000</v>
      </c>
      <c r="M332" s="20">
        <v>33700000</v>
      </c>
      <c r="N332" s="20">
        <v>30008880</v>
      </c>
      <c r="O332" s="20"/>
      <c r="P332" s="17" t="s">
        <v>1423</v>
      </c>
      <c r="Q332" s="17"/>
      <c r="R332" s="17" t="s">
        <v>1682</v>
      </c>
      <c r="S332" s="17"/>
      <c r="T332" s="17" t="s">
        <v>1683</v>
      </c>
      <c r="U332" s="17" t="s">
        <v>1684</v>
      </c>
      <c r="V332" s="17" t="s">
        <v>546</v>
      </c>
      <c r="W332" s="45" t="e">
        <f>VLOOKUP(V332,'Actor and Actress Success'!$A$1:$B$72,2,FALSE)</f>
        <v>#N/A</v>
      </c>
      <c r="X332" s="35">
        <v>1</v>
      </c>
      <c r="Y332" s="35"/>
      <c r="Z332" s="17" t="s">
        <v>1183</v>
      </c>
      <c r="AA332" s="17"/>
      <c r="AB332" s="45" t="e">
        <f>VLOOKUP(Z332,'Actor and Actress Success'!$A$1:$B$72,2,FALSE)</f>
        <v>#N/A</v>
      </c>
      <c r="AC332" s="35">
        <v>1</v>
      </c>
      <c r="AD332" s="17" t="s">
        <v>808</v>
      </c>
      <c r="AE332" s="17"/>
      <c r="AF332" s="45" t="e">
        <f>VLOOKUP(AD332,'Actor and Actress Success'!$A$1:$B$72,2,FALSE)</f>
        <v>#N/A</v>
      </c>
      <c r="AG332" s="35">
        <v>1</v>
      </c>
      <c r="AH332" s="17" t="s">
        <v>1681</v>
      </c>
      <c r="AI332" s="17"/>
      <c r="AK332" s="45" t="e">
        <f>VLOOKUP(AH332,'Actor and Actress Success'!$A$1:$B$72,2,FALSE)</f>
        <v>#N/A</v>
      </c>
    </row>
    <row r="333" spans="1:37">
      <c r="A333" s="18">
        <v>336</v>
      </c>
      <c r="B333" s="8" t="s">
        <v>580</v>
      </c>
      <c r="C333" s="10">
        <v>2011</v>
      </c>
      <c r="D333" s="12">
        <v>40774</v>
      </c>
      <c r="E333" s="12"/>
      <c r="F333" s="10" t="s">
        <v>624</v>
      </c>
      <c r="G333" s="10" t="s">
        <v>401</v>
      </c>
      <c r="H333" s="22" t="s">
        <v>439</v>
      </c>
      <c r="I333" s="22">
        <v>700</v>
      </c>
      <c r="J333" s="22">
        <v>1487</v>
      </c>
      <c r="K333" s="10">
        <v>0</v>
      </c>
      <c r="L333" s="20">
        <v>230000000</v>
      </c>
      <c r="M333" s="20">
        <v>31700000</v>
      </c>
      <c r="N333" s="20">
        <v>35288220</v>
      </c>
      <c r="O333" s="20"/>
      <c r="P333" s="17" t="s">
        <v>1685</v>
      </c>
      <c r="Q333" s="17"/>
      <c r="R333" s="17" t="s">
        <v>829</v>
      </c>
      <c r="S333" s="17"/>
      <c r="T333" s="17" t="s">
        <v>1687</v>
      </c>
      <c r="U333" s="17" t="s">
        <v>1686</v>
      </c>
      <c r="V333" s="17" t="s">
        <v>511</v>
      </c>
      <c r="W333" s="45">
        <f>VLOOKUP(V333,'Actor and Actress Success'!$A$1:$B$72,2,FALSE)</f>
        <v>27.397260273972602</v>
      </c>
      <c r="X333" s="35">
        <v>1</v>
      </c>
      <c r="Y333" s="35"/>
      <c r="Z333" s="17" t="s">
        <v>784</v>
      </c>
      <c r="AA333" s="17"/>
      <c r="AB333" s="45">
        <f>VLOOKUP(Z333,'Actor and Actress Success'!$A$1:$B$72,2,FALSE)</f>
        <v>26.923076923076923</v>
      </c>
      <c r="AC333" s="35">
        <v>1</v>
      </c>
      <c r="AD333" s="17" t="s">
        <v>411</v>
      </c>
      <c r="AE333" s="17"/>
      <c r="AF333" s="45" t="e">
        <f>VLOOKUP(AD333,'Actor and Actress Success'!$A$1:$B$72,2,FALSE)</f>
        <v>#N/A</v>
      </c>
      <c r="AG333" s="35"/>
      <c r="AH333" s="17" t="s">
        <v>1673</v>
      </c>
      <c r="AI333" s="17"/>
      <c r="AK333" s="45" t="e">
        <f>VLOOKUP(AH333,'Actor and Actress Success'!$A$1:$B$72,2,FALSE)</f>
        <v>#N/A</v>
      </c>
    </row>
    <row r="334" spans="1:37">
      <c r="A334" s="18">
        <v>337</v>
      </c>
      <c r="B334" s="8" t="s">
        <v>578</v>
      </c>
      <c r="C334" s="10">
        <v>2012</v>
      </c>
      <c r="D334" s="12">
        <v>40956</v>
      </c>
      <c r="E334" s="12"/>
      <c r="F334" s="10" t="s">
        <v>401</v>
      </c>
      <c r="G334" s="10" t="s">
        <v>401</v>
      </c>
      <c r="H334" s="22" t="s">
        <v>56</v>
      </c>
      <c r="I334" s="22">
        <v>600</v>
      </c>
      <c r="J334" s="22">
        <v>1018</v>
      </c>
      <c r="K334" s="10">
        <v>0</v>
      </c>
      <c r="L334" s="20">
        <v>140000000</v>
      </c>
      <c r="M334" s="20">
        <v>85557500</v>
      </c>
      <c r="N334" s="20">
        <v>63444700</v>
      </c>
      <c r="O334" s="20"/>
      <c r="P334" s="17" t="s">
        <v>1688</v>
      </c>
      <c r="Q334" s="17"/>
      <c r="R334" s="17" t="s">
        <v>418</v>
      </c>
      <c r="S334" s="17"/>
      <c r="T334" s="17" t="s">
        <v>1688</v>
      </c>
      <c r="U334" s="17" t="s">
        <v>1689</v>
      </c>
      <c r="V334" s="17" t="s">
        <v>1690</v>
      </c>
      <c r="W334" s="45" t="e">
        <f>VLOOKUP(V334,'Actor and Actress Success'!$A$1:$B$72,2,FALSE)</f>
        <v>#N/A</v>
      </c>
      <c r="X334" s="35">
        <v>1</v>
      </c>
      <c r="Y334" s="35"/>
      <c r="Z334" s="17" t="s">
        <v>1691</v>
      </c>
      <c r="AA334" s="17"/>
      <c r="AB334" s="45" t="e">
        <f>VLOOKUP(Z334,'Actor and Actress Success'!$A$1:$B$72,2,FALSE)</f>
        <v>#N/A</v>
      </c>
      <c r="AC334" s="35">
        <v>1</v>
      </c>
      <c r="AD334" s="17" t="s">
        <v>1105</v>
      </c>
      <c r="AE334" s="17"/>
      <c r="AF334" s="45" t="e">
        <f>VLOOKUP(AD334,'Actor and Actress Success'!$A$1:$B$72,2,FALSE)</f>
        <v>#N/A</v>
      </c>
      <c r="AG334" s="35"/>
      <c r="AH334" s="17" t="s">
        <v>1692</v>
      </c>
      <c r="AI334" s="17"/>
      <c r="AK334" s="45" t="e">
        <f>VLOOKUP(AH334,'Actor and Actress Success'!$A$1:$B$72,2,FALSE)</f>
        <v>#N/A</v>
      </c>
    </row>
    <row r="335" spans="1:37">
      <c r="A335" s="18">
        <v>338</v>
      </c>
      <c r="B335" s="8" t="s">
        <v>579</v>
      </c>
      <c r="C335" s="10">
        <v>2012</v>
      </c>
      <c r="D335" s="12">
        <v>41040</v>
      </c>
      <c r="E335" s="12"/>
      <c r="F335" s="10" t="s">
        <v>401</v>
      </c>
      <c r="G335" s="10" t="s">
        <v>401</v>
      </c>
      <c r="H335" s="22" t="s">
        <v>408</v>
      </c>
      <c r="I335" s="22">
        <v>1050</v>
      </c>
      <c r="J335" s="22">
        <v>1001</v>
      </c>
      <c r="K335" s="10">
        <v>35</v>
      </c>
      <c r="L335" s="20">
        <v>260000000</v>
      </c>
      <c r="M335" s="20">
        <v>86880000</v>
      </c>
      <c r="N335" s="20">
        <v>73910760</v>
      </c>
      <c r="O335" s="20"/>
      <c r="P335" s="17" t="s">
        <v>520</v>
      </c>
      <c r="Q335" s="17"/>
      <c r="R335" s="17" t="s">
        <v>950</v>
      </c>
      <c r="S335" s="17"/>
      <c r="T335" s="17" t="s">
        <v>1368</v>
      </c>
      <c r="U335" s="17" t="s">
        <v>1139</v>
      </c>
      <c r="V335" s="17" t="s">
        <v>69</v>
      </c>
      <c r="W335" s="45">
        <f>VLOOKUP(V335,'Actor and Actress Success'!$A$1:$B$72,2,FALSE)</f>
        <v>46.808510638297875</v>
      </c>
      <c r="X335" s="35">
        <v>1</v>
      </c>
      <c r="Y335" s="35"/>
      <c r="Z335" s="17" t="s">
        <v>1473</v>
      </c>
      <c r="AA335" s="17"/>
      <c r="AB335" s="45" t="e">
        <f>VLOOKUP(Z335,'Actor and Actress Success'!$A$1:$B$72,2,FALSE)</f>
        <v>#N/A</v>
      </c>
      <c r="AC335" s="35">
        <v>1</v>
      </c>
      <c r="AD335" s="17" t="s">
        <v>1028</v>
      </c>
      <c r="AE335" s="17"/>
      <c r="AF335" s="45" t="e">
        <f>VLOOKUP(AD335,'Actor and Actress Success'!$A$1:$B$72,2,FALSE)</f>
        <v>#N/A</v>
      </c>
      <c r="AG335" s="35"/>
      <c r="AH335" s="17" t="s">
        <v>417</v>
      </c>
      <c r="AI335" s="17"/>
      <c r="AK335" s="45" t="e">
        <f>VLOOKUP(AH335,'Actor and Actress Success'!$A$1:$B$72,2,FALSE)</f>
        <v>#N/A</v>
      </c>
    </row>
    <row r="336" spans="1:37">
      <c r="A336" s="18">
        <v>339</v>
      </c>
      <c r="B336" s="8" t="s">
        <v>613</v>
      </c>
      <c r="C336" s="10">
        <v>2013</v>
      </c>
      <c r="D336" s="12">
        <v>41523</v>
      </c>
      <c r="E336" s="12"/>
      <c r="F336" s="10" t="s">
        <v>624</v>
      </c>
      <c r="G336" s="10" t="s">
        <v>401</v>
      </c>
      <c r="H336" s="22" t="s">
        <v>50</v>
      </c>
      <c r="I336" s="22">
        <v>2050</v>
      </c>
      <c r="J336" s="22">
        <v>1175</v>
      </c>
      <c r="K336" s="10">
        <v>0</v>
      </c>
      <c r="L336" s="20">
        <v>600000000</v>
      </c>
      <c r="M336" s="20">
        <v>221475000</v>
      </c>
      <c r="N336" s="20">
        <v>170328180</v>
      </c>
      <c r="O336" s="20"/>
      <c r="P336" s="17" t="s">
        <v>1098</v>
      </c>
      <c r="Q336" s="17"/>
      <c r="R336" s="17" t="s">
        <v>1695</v>
      </c>
      <c r="S336" s="17"/>
      <c r="T336" s="17" t="s">
        <v>1696</v>
      </c>
      <c r="U336" s="17" t="s">
        <v>1693</v>
      </c>
      <c r="V336" s="17" t="s">
        <v>1694</v>
      </c>
      <c r="W336" s="45" t="e">
        <f>VLOOKUP(V336,'Actor and Actress Success'!$A$1:$B$72,2,FALSE)</f>
        <v>#N/A</v>
      </c>
      <c r="X336" s="35">
        <v>1</v>
      </c>
      <c r="Y336" s="35"/>
      <c r="Z336" s="17" t="s">
        <v>803</v>
      </c>
      <c r="AA336" s="17"/>
      <c r="AB336" s="45">
        <f>VLOOKUP(Z336,'Actor and Actress Success'!$A$1:$B$72,2,FALSE)</f>
        <v>45</v>
      </c>
      <c r="AC336" s="35">
        <v>1</v>
      </c>
      <c r="AD336" s="17" t="s">
        <v>511</v>
      </c>
      <c r="AE336" s="17"/>
      <c r="AF336" s="45">
        <f>VLOOKUP(AD336,'Actor and Actress Success'!$A$1:$B$72,2,FALSE)</f>
        <v>27.397260273972602</v>
      </c>
      <c r="AG336" s="35"/>
      <c r="AH336" s="17" t="s">
        <v>1484</v>
      </c>
      <c r="AI336" s="17"/>
      <c r="AK336" s="45" t="e">
        <f>VLOOKUP(AH336,'Actor and Actress Success'!$A$1:$B$72,2,FALSE)</f>
        <v>#N/A</v>
      </c>
    </row>
    <row r="337" spans="1:37">
      <c r="A337" s="18">
        <v>340</v>
      </c>
      <c r="B337" s="8" t="s">
        <v>1697</v>
      </c>
      <c r="C337" s="10">
        <v>2013</v>
      </c>
      <c r="D337" s="12">
        <v>41362</v>
      </c>
      <c r="E337" s="12"/>
      <c r="F337" s="10" t="s">
        <v>401</v>
      </c>
      <c r="G337" s="10" t="s">
        <v>401</v>
      </c>
      <c r="H337" s="22" t="s">
        <v>428</v>
      </c>
      <c r="I337" s="22">
        <v>3150</v>
      </c>
      <c r="J337" s="22">
        <v>574</v>
      </c>
      <c r="K337" s="10">
        <v>8.57</v>
      </c>
      <c r="L337" s="20">
        <v>680000000</v>
      </c>
      <c r="M337" s="20">
        <v>657993750</v>
      </c>
      <c r="N337" s="20">
        <v>567575360</v>
      </c>
      <c r="O337" s="20"/>
      <c r="P337" s="17" t="s">
        <v>968</v>
      </c>
      <c r="Q337" s="17"/>
      <c r="R337" s="17" t="s">
        <v>1699</v>
      </c>
      <c r="S337" s="17"/>
      <c r="T337" s="17" t="s">
        <v>968</v>
      </c>
      <c r="U337" s="17" t="s">
        <v>1159</v>
      </c>
      <c r="V337" s="17" t="s">
        <v>429</v>
      </c>
      <c r="W337" s="45">
        <f>VLOOKUP(V337,'Actor and Actress Success'!$A$1:$B$72,2,FALSE)</f>
        <v>39.285714285714285</v>
      </c>
      <c r="X337" s="35">
        <v>1</v>
      </c>
      <c r="Y337" s="35">
        <f>'Star Economic history'!X4</f>
        <v>682158333.33333337</v>
      </c>
      <c r="Z337" s="17" t="s">
        <v>1698</v>
      </c>
      <c r="AA337" s="17"/>
      <c r="AB337" s="45" t="e">
        <f>VLOOKUP(Z337,'Actor and Actress Success'!$A$1:$B$72,2,FALSE)</f>
        <v>#N/A</v>
      </c>
      <c r="AC337" s="35">
        <v>1</v>
      </c>
      <c r="AD337" s="17" t="s">
        <v>453</v>
      </c>
      <c r="AE337" s="17"/>
      <c r="AF337" s="45" t="e">
        <f>VLOOKUP(AD337,'Actor and Actress Success'!$A$1:$B$72,2,FALSE)</f>
        <v>#N/A</v>
      </c>
      <c r="AG337" s="35"/>
      <c r="AH337" s="17" t="s">
        <v>872</v>
      </c>
      <c r="AI337" s="17"/>
      <c r="AK337" s="45" t="e">
        <f>VLOOKUP(AH337,'Actor and Actress Success'!$A$1:$B$72,2,FALSE)</f>
        <v>#N/A</v>
      </c>
    </row>
    <row r="338" spans="1:37">
      <c r="A338" s="18">
        <v>341</v>
      </c>
      <c r="B338" s="8" t="s">
        <v>611</v>
      </c>
      <c r="C338" s="10">
        <v>2014</v>
      </c>
      <c r="D338" s="12">
        <v>41971</v>
      </c>
      <c r="E338" s="12"/>
      <c r="F338" s="10" t="s">
        <v>401</v>
      </c>
      <c r="G338" s="10" t="s">
        <v>401</v>
      </c>
      <c r="H338" s="22" t="s">
        <v>408</v>
      </c>
      <c r="I338" s="22">
        <v>1200</v>
      </c>
      <c r="J338" s="22">
        <v>994</v>
      </c>
      <c r="K338" s="10">
        <v>0</v>
      </c>
      <c r="L338" s="20">
        <v>100000000</v>
      </c>
      <c r="M338" s="20">
        <v>81500000</v>
      </c>
      <c r="N338" s="20">
        <v>77615560</v>
      </c>
      <c r="O338" s="20"/>
      <c r="P338" s="17" t="s">
        <v>1492</v>
      </c>
      <c r="Q338" s="17"/>
      <c r="R338" s="17" t="s">
        <v>1700</v>
      </c>
      <c r="S338" s="17"/>
      <c r="T338" s="17" t="s">
        <v>1704</v>
      </c>
      <c r="U338" s="17" t="s">
        <v>1704</v>
      </c>
      <c r="V338" s="17" t="s">
        <v>1701</v>
      </c>
      <c r="W338" s="45" t="e">
        <f>VLOOKUP(V338,'Actor and Actress Success'!$A$1:$B$72,2,FALSE)</f>
        <v>#N/A</v>
      </c>
      <c r="X338" s="35">
        <v>1</v>
      </c>
      <c r="Y338" s="35"/>
      <c r="Z338" s="17" t="s">
        <v>1702</v>
      </c>
      <c r="AA338" s="17"/>
      <c r="AB338" s="45" t="e">
        <f>VLOOKUP(Z338,'Actor and Actress Success'!$A$1:$B$72,2,FALSE)</f>
        <v>#N/A</v>
      </c>
      <c r="AC338" s="35">
        <v>1</v>
      </c>
      <c r="AD338" s="17" t="s">
        <v>1703</v>
      </c>
      <c r="AE338" s="17"/>
      <c r="AF338" s="45" t="e">
        <f>VLOOKUP(AD338,'Actor and Actress Success'!$A$1:$B$72,2,FALSE)</f>
        <v>#N/A</v>
      </c>
      <c r="AG338" s="35">
        <v>1</v>
      </c>
      <c r="AH338" s="17" t="s">
        <v>1543</v>
      </c>
      <c r="AI338" s="17"/>
      <c r="AK338" s="45" t="e">
        <f>VLOOKUP(AH338,'Actor and Actress Success'!$A$1:$B$72,2,FALSE)</f>
        <v>#N/A</v>
      </c>
    </row>
    <row r="339" spans="1:37">
      <c r="A339" s="18">
        <v>342</v>
      </c>
      <c r="B339" s="8" t="s">
        <v>612</v>
      </c>
      <c r="C339" s="10">
        <v>2014</v>
      </c>
      <c r="D339" s="12">
        <v>41999</v>
      </c>
      <c r="E339" s="12"/>
      <c r="F339" s="10" t="s">
        <v>401</v>
      </c>
      <c r="G339" s="10" t="s">
        <v>401</v>
      </c>
      <c r="H339" s="22" t="s">
        <v>6</v>
      </c>
      <c r="I339" s="22">
        <v>350</v>
      </c>
      <c r="J339" s="22">
        <v>1025</v>
      </c>
      <c r="K339" s="10">
        <v>90</v>
      </c>
      <c r="L339" s="20">
        <v>65000000</v>
      </c>
      <c r="M339" s="20">
        <v>83400000</v>
      </c>
      <c r="N339" s="20">
        <v>62350000</v>
      </c>
      <c r="O339" s="20"/>
      <c r="P339" s="17" t="s">
        <v>1483</v>
      </c>
      <c r="Q339" s="17"/>
      <c r="R339" s="17" t="s">
        <v>1705</v>
      </c>
      <c r="S339" s="17"/>
      <c r="T339" s="17" t="s">
        <v>1483</v>
      </c>
      <c r="U339" s="17" t="s">
        <v>1483</v>
      </c>
      <c r="V339" s="17" t="s">
        <v>1706</v>
      </c>
      <c r="W339" s="45" t="e">
        <f>VLOOKUP(V339,'Actor and Actress Success'!$A$1:$B$72,2,FALSE)</f>
        <v>#N/A</v>
      </c>
      <c r="X339" s="35">
        <v>1</v>
      </c>
      <c r="Y339" s="35"/>
      <c r="Z339" s="17" t="s">
        <v>1707</v>
      </c>
      <c r="AA339" s="17"/>
      <c r="AB339" s="45" t="e">
        <f>VLOOKUP(Z339,'Actor and Actress Success'!$A$1:$B$72,2,FALSE)</f>
        <v>#N/A</v>
      </c>
      <c r="AC339" s="35">
        <v>1</v>
      </c>
      <c r="AD339" s="17" t="s">
        <v>1708</v>
      </c>
      <c r="AE339" s="17"/>
      <c r="AF339" s="45" t="e">
        <f>VLOOKUP(AD339,'Actor and Actress Success'!$A$1:$B$72,2,FALSE)</f>
        <v>#N/A</v>
      </c>
      <c r="AG339" s="35">
        <v>1</v>
      </c>
      <c r="AH339" s="17" t="s">
        <v>1709</v>
      </c>
      <c r="AI339" s="17"/>
      <c r="AJ339" s="34">
        <v>1</v>
      </c>
      <c r="AK339" s="45" t="e">
        <f>VLOOKUP(AH339,'Actor and Actress Success'!$A$1:$B$72,2,FALSE)</f>
        <v>#N/A</v>
      </c>
    </row>
    <row r="340" spans="1:37">
      <c r="A340" s="18">
        <v>343</v>
      </c>
      <c r="B340" s="8" t="s">
        <v>585</v>
      </c>
      <c r="C340" s="10">
        <v>2015</v>
      </c>
      <c r="D340" s="12">
        <v>42307</v>
      </c>
      <c r="E340" s="12"/>
      <c r="F340" s="10" t="s">
        <v>401</v>
      </c>
      <c r="G340" s="10" t="s">
        <v>401</v>
      </c>
      <c r="H340" s="22" t="s">
        <v>6</v>
      </c>
      <c r="I340" s="22">
        <v>900</v>
      </c>
      <c r="J340" s="22">
        <v>1027</v>
      </c>
      <c r="K340" s="10">
        <v>0</v>
      </c>
      <c r="L340" s="20">
        <v>100000000</v>
      </c>
      <c r="M340" s="20">
        <v>81200000</v>
      </c>
      <c r="N340" s="20">
        <v>58500000</v>
      </c>
      <c r="O340" s="20"/>
      <c r="P340" s="17" t="s">
        <v>1710</v>
      </c>
      <c r="Q340" s="17"/>
      <c r="R340" s="17" t="s">
        <v>1711</v>
      </c>
      <c r="S340" s="17"/>
      <c r="T340" s="17" t="s">
        <v>1710</v>
      </c>
      <c r="U340" s="17" t="s">
        <v>1710</v>
      </c>
      <c r="V340" s="17" t="s">
        <v>1158</v>
      </c>
      <c r="W340" s="45" t="e">
        <f>VLOOKUP(V340,'Actor and Actress Success'!$A$1:$B$72,2,FALSE)</f>
        <v>#N/A</v>
      </c>
      <c r="X340" s="35">
        <v>1</v>
      </c>
      <c r="Y340" s="35"/>
      <c r="Z340" s="17" t="s">
        <v>1519</v>
      </c>
      <c r="AA340" s="17"/>
      <c r="AB340" s="45" t="e">
        <f>VLOOKUP(Z340,'Actor and Actress Success'!$A$1:$B$72,2,FALSE)</f>
        <v>#N/A</v>
      </c>
      <c r="AC340" s="35">
        <v>1</v>
      </c>
      <c r="AD340" s="17" t="s">
        <v>1420</v>
      </c>
      <c r="AE340" s="17"/>
      <c r="AF340" s="45" t="e">
        <f>VLOOKUP(AD340,'Actor and Actress Success'!$A$1:$B$72,2,FALSE)</f>
        <v>#N/A</v>
      </c>
      <c r="AG340" s="35"/>
      <c r="AH340" s="17" t="s">
        <v>903</v>
      </c>
      <c r="AI340" s="17"/>
      <c r="AK340" s="45" t="e">
        <f>VLOOKUP(AH340,'Actor and Actress Success'!$A$1:$B$72,2,FALSE)</f>
        <v>#N/A</v>
      </c>
    </row>
    <row r="341" spans="1:37">
      <c r="A341" s="18">
        <v>344</v>
      </c>
      <c r="B341" s="8" t="s">
        <v>584</v>
      </c>
      <c r="C341" s="10">
        <v>2015</v>
      </c>
      <c r="D341" s="12">
        <v>42272</v>
      </c>
      <c r="E341" s="12"/>
      <c r="F341" s="10" t="s">
        <v>401</v>
      </c>
      <c r="G341" s="10" t="s">
        <v>401</v>
      </c>
      <c r="H341" s="22" t="s">
        <v>6</v>
      </c>
      <c r="I341" s="22">
        <v>850</v>
      </c>
      <c r="J341" s="22">
        <v>1016</v>
      </c>
      <c r="K341" s="10">
        <v>55</v>
      </c>
      <c r="L341" s="20">
        <v>130000000</v>
      </c>
      <c r="M341" s="20">
        <v>81900000</v>
      </c>
      <c r="N341" s="20">
        <v>65945440</v>
      </c>
      <c r="O341" s="20"/>
      <c r="P341" s="17" t="s">
        <v>1712</v>
      </c>
      <c r="Q341" s="17"/>
      <c r="R341" s="17" t="s">
        <v>1717</v>
      </c>
      <c r="S341" s="17"/>
      <c r="T341" s="17" t="s">
        <v>1718</v>
      </c>
      <c r="U341" s="17" t="s">
        <v>1719</v>
      </c>
      <c r="V341" s="17" t="s">
        <v>1713</v>
      </c>
      <c r="W341" s="45" t="e">
        <f>VLOOKUP(V341,'Actor and Actress Success'!$A$1:$B$72,2,FALSE)</f>
        <v>#N/A</v>
      </c>
      <c r="X341" s="35">
        <v>1</v>
      </c>
      <c r="Y341" s="35"/>
      <c r="Z341" s="17" t="s">
        <v>1714</v>
      </c>
      <c r="AA341" s="17"/>
      <c r="AB341" s="45" t="e">
        <f>VLOOKUP(Z341,'Actor and Actress Success'!$A$1:$B$72,2,FALSE)</f>
        <v>#N/A</v>
      </c>
      <c r="AC341" s="35">
        <v>1</v>
      </c>
      <c r="AD341" s="17" t="s">
        <v>1715</v>
      </c>
      <c r="AE341" s="17"/>
      <c r="AF341" s="45" t="e">
        <f>VLOOKUP(AD341,'Actor and Actress Success'!$A$1:$B$72,2,FALSE)</f>
        <v>#N/A</v>
      </c>
      <c r="AG341" s="35"/>
      <c r="AH341" s="17" t="s">
        <v>1716</v>
      </c>
      <c r="AI341" s="17"/>
      <c r="AK341" s="45" t="e">
        <f>VLOOKUP(AH341,'Actor and Actress Success'!$A$1:$B$72,2,FALSE)</f>
        <v>#N/A</v>
      </c>
    </row>
    <row r="342" spans="1:37">
      <c r="A342" s="18">
        <v>345</v>
      </c>
      <c r="B342" s="8" t="s">
        <v>609</v>
      </c>
      <c r="C342" s="10">
        <v>2016</v>
      </c>
      <c r="D342" s="12">
        <v>42496</v>
      </c>
      <c r="E342" s="12"/>
      <c r="F342" s="10" t="s">
        <v>624</v>
      </c>
      <c r="G342" s="10" t="s">
        <v>401</v>
      </c>
      <c r="H342" s="22" t="s">
        <v>408</v>
      </c>
      <c r="I342" s="22">
        <v>1050</v>
      </c>
      <c r="K342" s="10">
        <v>0</v>
      </c>
      <c r="L342" s="20">
        <v>160000000</v>
      </c>
      <c r="M342" s="17"/>
      <c r="N342" s="20">
        <v>34500000</v>
      </c>
      <c r="O342" s="20"/>
      <c r="P342" s="17" t="s">
        <v>1720</v>
      </c>
      <c r="Q342" s="17"/>
      <c r="R342" s="17" t="s">
        <v>1725</v>
      </c>
      <c r="S342" s="17"/>
      <c r="T342" s="17" t="s">
        <v>1721</v>
      </c>
      <c r="U342" s="17" t="s">
        <v>1721</v>
      </c>
      <c r="V342" s="17" t="s">
        <v>1327</v>
      </c>
      <c r="W342" s="45" t="e">
        <f>VLOOKUP(V342,'Actor and Actress Success'!$A$1:$B$72,2,FALSE)</f>
        <v>#N/A</v>
      </c>
      <c r="X342" s="35">
        <v>1</v>
      </c>
      <c r="Y342" s="35"/>
      <c r="Z342" s="17" t="s">
        <v>1722</v>
      </c>
      <c r="AA342" s="17"/>
      <c r="AB342" s="45" t="e">
        <f>VLOOKUP(Z342,'Actor and Actress Success'!$A$1:$B$72,2,FALSE)</f>
        <v>#N/A</v>
      </c>
      <c r="AC342" s="35">
        <v>1</v>
      </c>
      <c r="AD342" s="17" t="s">
        <v>1723</v>
      </c>
      <c r="AE342" s="17"/>
      <c r="AF342" s="45" t="e">
        <f>VLOOKUP(AD342,'Actor and Actress Success'!$A$1:$B$72,2,FALSE)</f>
        <v>#N/A</v>
      </c>
      <c r="AG342" s="35"/>
      <c r="AH342" s="17" t="s">
        <v>1724</v>
      </c>
      <c r="AI342" s="17"/>
      <c r="AK342" s="45" t="e">
        <f>VLOOKUP(AH342,'Actor and Actress Success'!$A$1:$B$72,2,FALSE)</f>
        <v>#N/A</v>
      </c>
    </row>
    <row r="343" spans="1:37">
      <c r="A343" s="18">
        <v>346</v>
      </c>
      <c r="B343" s="8" t="s">
        <v>610</v>
      </c>
      <c r="C343" s="10">
        <v>2016</v>
      </c>
      <c r="D343" s="12">
        <v>42496</v>
      </c>
      <c r="E343" s="12"/>
      <c r="F343" s="10" t="s">
        <v>401</v>
      </c>
      <c r="G343" s="10" t="s">
        <v>401</v>
      </c>
      <c r="H343" s="22" t="s">
        <v>6</v>
      </c>
      <c r="I343" s="22">
        <v>500</v>
      </c>
      <c r="K343" s="10">
        <v>0</v>
      </c>
      <c r="L343" s="20">
        <v>90000000</v>
      </c>
      <c r="M343" s="20">
        <v>667500</v>
      </c>
      <c r="N343" s="20">
        <v>36500000</v>
      </c>
      <c r="O343" s="20"/>
      <c r="P343" s="17" t="s">
        <v>1726</v>
      </c>
      <c r="Q343" s="17"/>
      <c r="R343" s="17" t="s">
        <v>1729</v>
      </c>
      <c r="S343" s="17"/>
      <c r="T343" s="17" t="s">
        <v>1085</v>
      </c>
      <c r="U343" s="17" t="s">
        <v>1727</v>
      </c>
      <c r="V343" s="17" t="s">
        <v>479</v>
      </c>
      <c r="W343" s="45" t="e">
        <f>VLOOKUP(V343,'Actor and Actress Success'!$A$1:$B$72,2,FALSE)</f>
        <v>#N/A</v>
      </c>
      <c r="X343" s="35">
        <v>1</v>
      </c>
      <c r="Y343" s="35"/>
      <c r="Z343" s="17" t="s">
        <v>1028</v>
      </c>
      <c r="AA343" s="17"/>
      <c r="AB343" s="45" t="e">
        <f>VLOOKUP(Z343,'Actor and Actress Success'!$A$1:$B$72,2,FALSE)</f>
        <v>#N/A</v>
      </c>
      <c r="AC343" s="35">
        <v>1</v>
      </c>
      <c r="AD343" s="17" t="s">
        <v>417</v>
      </c>
      <c r="AE343" s="17"/>
      <c r="AF343" s="45" t="e">
        <f>VLOOKUP(AD343,'Actor and Actress Success'!$A$1:$B$72,2,FALSE)</f>
        <v>#N/A</v>
      </c>
      <c r="AG343" s="35"/>
      <c r="AH343" s="17" t="s">
        <v>1728</v>
      </c>
      <c r="AI343" s="17"/>
      <c r="AK343" s="45" t="e">
        <f>VLOOKUP(AH343,'Actor and Actress Success'!$A$1:$B$72,2,FALSE)</f>
        <v>#N/A</v>
      </c>
    </row>
    <row r="344" spans="1:37">
      <c r="A344" s="18">
        <v>347</v>
      </c>
      <c r="B344" s="8" t="s">
        <v>620</v>
      </c>
      <c r="C344" s="10">
        <v>1994</v>
      </c>
      <c r="D344" s="12">
        <v>34495</v>
      </c>
      <c r="E344" s="12"/>
      <c r="F344" t="s">
        <v>621</v>
      </c>
      <c r="G344" t="s">
        <v>621</v>
      </c>
      <c r="H344" s="22" t="s">
        <v>50</v>
      </c>
      <c r="I344" s="22">
        <v>1055</v>
      </c>
      <c r="J344" s="22">
        <v>460</v>
      </c>
      <c r="K344" s="10">
        <v>0</v>
      </c>
      <c r="L344" s="20">
        <v>12500000</v>
      </c>
      <c r="M344" s="20">
        <v>45324500</v>
      </c>
      <c r="N344" s="20">
        <v>435036140</v>
      </c>
      <c r="O344" s="20"/>
      <c r="P344" s="17" t="s">
        <v>1730</v>
      </c>
      <c r="Q344" s="17"/>
      <c r="R344" s="17" t="s">
        <v>427</v>
      </c>
      <c r="S344" s="17">
        <f>S343+49850000+17550000</f>
        <v>67400000</v>
      </c>
      <c r="T344" s="17" t="s">
        <v>574</v>
      </c>
      <c r="U344" s="17" t="s">
        <v>574</v>
      </c>
      <c r="V344" s="17" t="s">
        <v>397</v>
      </c>
      <c r="W344" s="45">
        <f>VLOOKUP(V344,'Actor and Actress Success'!$A$1:$B$72,2,FALSE)</f>
        <v>44.117647058823529</v>
      </c>
      <c r="X344" s="35">
        <v>1</v>
      </c>
      <c r="Y344" s="35">
        <f>'Star Economic history'!E6</f>
        <v>14525000</v>
      </c>
      <c r="Z344" s="17" t="s">
        <v>559</v>
      </c>
      <c r="AA344" s="17"/>
      <c r="AB344" s="45" t="e">
        <f>VLOOKUP(Z344,'Actor and Actress Success'!$A$1:$B$72,2,FALSE)</f>
        <v>#N/A</v>
      </c>
      <c r="AC344" s="35">
        <v>1</v>
      </c>
      <c r="AD344" s="17" t="s">
        <v>1731</v>
      </c>
      <c r="AE344" s="17"/>
      <c r="AF344" s="45" t="e">
        <f>VLOOKUP(AD344,'Actor and Actress Success'!$A$1:$B$72,2,FALSE)</f>
        <v>#N/A</v>
      </c>
      <c r="AG344" s="35"/>
      <c r="AH344" s="17" t="s">
        <v>775</v>
      </c>
      <c r="AI344" s="17"/>
      <c r="AK344" s="45" t="e">
        <f>VLOOKUP(AH344,'Actor and Actress Success'!$A$1:$B$72,2,FALSE)</f>
        <v>#N/A</v>
      </c>
    </row>
    <row r="345" spans="1:37">
      <c r="A345" s="18">
        <v>348</v>
      </c>
      <c r="B345" s="8" t="s">
        <v>622</v>
      </c>
      <c r="C345" s="10">
        <v>1994</v>
      </c>
      <c r="D345" s="12">
        <v>34432</v>
      </c>
      <c r="E345" s="12"/>
      <c r="F345" t="s">
        <v>621</v>
      </c>
      <c r="G345" t="s">
        <v>621</v>
      </c>
      <c r="H345" s="22" t="s">
        <v>439</v>
      </c>
      <c r="I345" s="22">
        <v>180</v>
      </c>
      <c r="J345" s="22">
        <v>428</v>
      </c>
      <c r="K345" s="10">
        <v>0</v>
      </c>
      <c r="L345" s="20">
        <v>30000000</v>
      </c>
      <c r="M345" s="20">
        <v>98906250</v>
      </c>
      <c r="N345" s="20">
        <v>933887460</v>
      </c>
      <c r="O345" s="20"/>
      <c r="P345" s="17" t="s">
        <v>441</v>
      </c>
      <c r="Q345" s="21">
        <f>82350000</f>
        <v>82350000</v>
      </c>
      <c r="R345" s="17" t="s">
        <v>1608</v>
      </c>
      <c r="S345" s="17"/>
      <c r="T345" s="17" t="s">
        <v>503</v>
      </c>
      <c r="U345" s="17" t="s">
        <v>464</v>
      </c>
      <c r="V345" s="17" t="s">
        <v>442</v>
      </c>
      <c r="W345" s="45">
        <f>VLOOKUP(V345,'Actor and Actress Success'!$A$1:$B$72,2,FALSE)</f>
        <v>34.042553191489361</v>
      </c>
      <c r="X345" s="35">
        <v>1</v>
      </c>
      <c r="Y345" s="35">
        <f>'Star Economic history'!E5</f>
        <v>0</v>
      </c>
      <c r="Z345" s="17" t="s">
        <v>410</v>
      </c>
      <c r="AA345" s="17"/>
      <c r="AB345" s="45">
        <f>VLOOKUP(Z345,'Actor and Actress Success'!$A$1:$B$72,2,FALSE)</f>
        <v>27.659574468085108</v>
      </c>
      <c r="AC345" s="35">
        <v>1</v>
      </c>
      <c r="AD345" s="17" t="s">
        <v>69</v>
      </c>
      <c r="AE345" s="17"/>
      <c r="AF345" s="45">
        <f>VLOOKUP(AD345,'Actor and Actress Success'!$A$1:$B$72,2,FALSE)</f>
        <v>46.808510638297875</v>
      </c>
      <c r="AG345" s="35">
        <v>1</v>
      </c>
      <c r="AH345" s="17" t="s">
        <v>437</v>
      </c>
      <c r="AI345" s="17"/>
      <c r="AK345" s="45" t="e">
        <f>VLOOKUP(AH345,'Actor and Actress Success'!$A$1:$B$72,2,FALSE)</f>
        <v>#N/A</v>
      </c>
    </row>
    <row r="346" spans="1:37">
      <c r="A346" s="18">
        <v>350</v>
      </c>
      <c r="B346" s="8" t="s">
        <v>623</v>
      </c>
      <c r="C346" s="10">
        <v>1994</v>
      </c>
      <c r="D346" s="12">
        <v>34348</v>
      </c>
      <c r="E346" s="12"/>
      <c r="F346" t="s">
        <v>179</v>
      </c>
      <c r="G346" t="s">
        <v>179</v>
      </c>
      <c r="H346" s="22" t="s">
        <v>428</v>
      </c>
      <c r="I346" s="22">
        <v>170</v>
      </c>
      <c r="J346" s="22">
        <v>338</v>
      </c>
      <c r="K346" s="10">
        <v>0</v>
      </c>
      <c r="L346" s="20">
        <v>24000000</v>
      </c>
      <c r="M346" s="20">
        <v>76762500</v>
      </c>
      <c r="N346" s="20">
        <v>740126420</v>
      </c>
      <c r="O346" s="20"/>
      <c r="P346" s="17" t="s">
        <v>1732</v>
      </c>
      <c r="Q346" s="17"/>
      <c r="R346" s="17" t="s">
        <v>427</v>
      </c>
      <c r="S346" s="17">
        <f>21935000+11190000+1687500+13875000+20000000+30900000</f>
        <v>99587500</v>
      </c>
      <c r="T346" s="17" t="s">
        <v>1633</v>
      </c>
      <c r="U346" s="17" t="s">
        <v>1633</v>
      </c>
      <c r="V346" s="17" t="s">
        <v>511</v>
      </c>
      <c r="W346" s="45">
        <f>VLOOKUP(V346,'Actor and Actress Success'!$A$1:$B$72,2,FALSE)</f>
        <v>27.397260273972602</v>
      </c>
      <c r="X346" s="35">
        <v>1</v>
      </c>
      <c r="Y346" s="35"/>
      <c r="Z346" s="17" t="s">
        <v>398</v>
      </c>
      <c r="AA346" s="17"/>
      <c r="AB346" s="45">
        <f>VLOOKUP(Z346,'Actor and Actress Success'!$A$1:$B$72,2,FALSE)</f>
        <v>21.052631578947366</v>
      </c>
      <c r="AC346" s="35">
        <v>1</v>
      </c>
      <c r="AD346" s="17" t="s">
        <v>465</v>
      </c>
      <c r="AE346" s="17"/>
      <c r="AF346" s="45" t="e">
        <f>VLOOKUP(AD346,'Actor and Actress Success'!$A$1:$B$72,2,FALSE)</f>
        <v>#N/A</v>
      </c>
      <c r="AG346" s="35"/>
      <c r="AH346" s="17" t="s">
        <v>420</v>
      </c>
      <c r="AI346" s="17"/>
      <c r="AK346" s="45" t="e">
        <f>VLOOKUP(AH346,'Actor and Actress Success'!$A$1:$B$72,2,FALSE)</f>
        <v>#N/A</v>
      </c>
    </row>
    <row r="347" spans="1:37">
      <c r="A347" s="18">
        <v>351</v>
      </c>
      <c r="B347" s="8" t="s">
        <v>625</v>
      </c>
      <c r="C347" s="10">
        <v>1995</v>
      </c>
      <c r="D347" s="12">
        <v>34915</v>
      </c>
      <c r="E347" s="12"/>
      <c r="F347" t="s">
        <v>621</v>
      </c>
      <c r="G347" t="s">
        <v>621</v>
      </c>
      <c r="H347" s="22" t="s">
        <v>408</v>
      </c>
      <c r="I347" s="22">
        <v>125</v>
      </c>
      <c r="J347" s="22">
        <v>469</v>
      </c>
      <c r="K347" s="10">
        <v>0</v>
      </c>
      <c r="L347" s="20">
        <v>22500000</v>
      </c>
      <c r="M347" s="20">
        <v>55128750</v>
      </c>
      <c r="N347" s="20">
        <v>346676660</v>
      </c>
      <c r="O347" s="20"/>
      <c r="P347" s="17" t="s">
        <v>816</v>
      </c>
      <c r="Q347" s="17"/>
      <c r="R347" s="17" t="s">
        <v>1053</v>
      </c>
      <c r="S347" s="17"/>
      <c r="T347" s="17" t="s">
        <v>1733</v>
      </c>
      <c r="U347" s="17" t="s">
        <v>1734</v>
      </c>
      <c r="V347" s="17" t="s">
        <v>1735</v>
      </c>
      <c r="W347" s="45" t="e">
        <f>VLOOKUP(V347,'Actor and Actress Success'!$A$1:$B$72,2,FALSE)</f>
        <v>#N/A</v>
      </c>
      <c r="X347" s="35">
        <v>1</v>
      </c>
      <c r="Y347" s="35"/>
      <c r="Z347" s="17" t="s">
        <v>416</v>
      </c>
      <c r="AA347" s="17"/>
      <c r="AB347" s="45">
        <f>VLOOKUP(Z347,'Actor and Actress Success'!$A$1:$B$72,2,FALSE)</f>
        <v>14.035087719298245</v>
      </c>
      <c r="AC347" s="35">
        <v>1</v>
      </c>
      <c r="AD347" s="17" t="s">
        <v>498</v>
      </c>
      <c r="AE347" s="17"/>
      <c r="AF347" s="45" t="e">
        <f>VLOOKUP(AD347,'Actor and Actress Success'!$A$1:$B$72,2,FALSE)</f>
        <v>#N/A</v>
      </c>
      <c r="AG347" s="35">
        <v>1</v>
      </c>
      <c r="AH347" s="17" t="s">
        <v>1736</v>
      </c>
      <c r="AI347" s="17"/>
      <c r="AK347" s="45" t="e">
        <f>VLOOKUP(AH347,'Actor and Actress Success'!$A$1:$B$72,2,FALSE)</f>
        <v>#N/A</v>
      </c>
    </row>
    <row r="348" spans="1:37">
      <c r="A348" s="18">
        <v>352</v>
      </c>
      <c r="B348" s="8" t="s">
        <v>626</v>
      </c>
      <c r="C348" s="10">
        <v>1995</v>
      </c>
      <c r="D348" s="12">
        <v>34838</v>
      </c>
      <c r="E348" s="12"/>
      <c r="F348" t="s">
        <v>621</v>
      </c>
      <c r="G348" t="s">
        <v>621</v>
      </c>
      <c r="H348" s="22" t="s">
        <v>50</v>
      </c>
      <c r="I348" s="22">
        <v>180</v>
      </c>
      <c r="J348" s="22">
        <v>456</v>
      </c>
      <c r="K348" s="10">
        <v>0</v>
      </c>
      <c r="L348" s="20">
        <v>25000000</v>
      </c>
      <c r="M348" s="20">
        <v>63715000</v>
      </c>
      <c r="N348" s="20">
        <v>456894460</v>
      </c>
      <c r="O348" s="20"/>
      <c r="P348" s="17" t="s">
        <v>1591</v>
      </c>
      <c r="Q348" s="17"/>
      <c r="R348" s="17" t="s">
        <v>446</v>
      </c>
      <c r="S348" s="17"/>
      <c r="T348" s="17" t="s">
        <v>1596</v>
      </c>
      <c r="U348" s="17" t="s">
        <v>1591</v>
      </c>
      <c r="V348" s="17" t="s">
        <v>79</v>
      </c>
      <c r="W348" s="45">
        <f>VLOOKUP(V348,'Actor and Actress Success'!$A$1:$B$72,2,FALSE)</f>
        <v>26.373626373626376</v>
      </c>
      <c r="X348" s="35">
        <v>1</v>
      </c>
      <c r="Y348" s="35">
        <f>'Star Economic history'!F8</f>
        <v>60200000</v>
      </c>
      <c r="Z348" s="17" t="s">
        <v>488</v>
      </c>
      <c r="AA348" s="17"/>
      <c r="AB348" s="45" t="e">
        <f>VLOOKUP(Z348,'Actor and Actress Success'!$A$1:$B$72,2,FALSE)</f>
        <v>#N/A</v>
      </c>
      <c r="AC348" s="35">
        <v>1</v>
      </c>
      <c r="AD348" s="17" t="s">
        <v>70</v>
      </c>
      <c r="AE348" s="17"/>
      <c r="AF348" s="45" t="e">
        <f>VLOOKUP(AD348,'Actor and Actress Success'!$A$1:$B$72,2,FALSE)</f>
        <v>#N/A</v>
      </c>
      <c r="AG348" s="35"/>
      <c r="AH348" s="17" t="s">
        <v>1737</v>
      </c>
      <c r="AI348" s="17"/>
      <c r="AK348" s="45" t="e">
        <f>VLOOKUP(AH348,'Actor and Actress Success'!$A$1:$B$72,2,FALSE)</f>
        <v>#N/A</v>
      </c>
    </row>
    <row r="349" spans="1:37">
      <c r="A349" s="18">
        <v>353</v>
      </c>
      <c r="B349" s="8" t="s">
        <v>627</v>
      </c>
      <c r="C349" s="10">
        <v>1995</v>
      </c>
      <c r="D349" s="12">
        <v>34838</v>
      </c>
      <c r="E349" s="12"/>
      <c r="F349" t="s">
        <v>179</v>
      </c>
      <c r="G349" t="s">
        <v>179</v>
      </c>
      <c r="H349" s="22" t="s">
        <v>50</v>
      </c>
      <c r="I349" s="22">
        <v>165</v>
      </c>
      <c r="J349" s="22">
        <v>367</v>
      </c>
      <c r="K349" s="10">
        <v>0</v>
      </c>
      <c r="L349" s="20">
        <v>22500000</v>
      </c>
      <c r="M349" s="20">
        <v>64115000</v>
      </c>
      <c r="N349" s="20">
        <v>489311460</v>
      </c>
      <c r="O349" s="20"/>
      <c r="P349" s="17" t="s">
        <v>1738</v>
      </c>
      <c r="Q349" s="17"/>
      <c r="R349" s="17" t="s">
        <v>1608</v>
      </c>
      <c r="S349" s="17"/>
      <c r="T349" s="17" t="s">
        <v>783</v>
      </c>
      <c r="U349" s="17" t="s">
        <v>1739</v>
      </c>
      <c r="V349" s="17" t="s">
        <v>468</v>
      </c>
      <c r="W349" s="45">
        <f>VLOOKUP(V349,'Actor and Actress Success'!$A$1:$B$72,2,FALSE)</f>
        <v>14.285714285714285</v>
      </c>
      <c r="X349" s="35">
        <v>1</v>
      </c>
      <c r="Y349" s="35"/>
      <c r="Z349" s="17" t="s">
        <v>776</v>
      </c>
      <c r="AA349" s="17"/>
      <c r="AB349" s="45" t="e">
        <f>VLOOKUP(Z349,'Actor and Actress Success'!$A$1:$B$72,2,FALSE)</f>
        <v>#N/A</v>
      </c>
      <c r="AC349" s="35"/>
      <c r="AD349" s="17" t="s">
        <v>406</v>
      </c>
      <c r="AE349" s="17"/>
      <c r="AF349" s="45" t="e">
        <f>VLOOKUP(AD349,'Actor and Actress Success'!$A$1:$B$72,2,FALSE)</f>
        <v>#N/A</v>
      </c>
      <c r="AG349" s="35"/>
      <c r="AH349" s="17" t="s">
        <v>1629</v>
      </c>
      <c r="AI349" s="17"/>
      <c r="AK349" s="45" t="e">
        <f>VLOOKUP(AH349,'Actor and Actress Success'!$A$1:$B$72,2,FALSE)</f>
        <v>#N/A</v>
      </c>
    </row>
    <row r="350" spans="1:37">
      <c r="A350" s="18">
        <v>354</v>
      </c>
      <c r="B350" s="8" t="s">
        <v>628</v>
      </c>
      <c r="C350" s="10">
        <v>1995</v>
      </c>
      <c r="D350" s="12">
        <v>34775</v>
      </c>
      <c r="E350" s="12"/>
      <c r="F350" t="s">
        <v>179</v>
      </c>
      <c r="G350" t="s">
        <v>179</v>
      </c>
      <c r="H350" s="22" t="s">
        <v>50</v>
      </c>
      <c r="I350" s="22">
        <v>195</v>
      </c>
      <c r="J350" s="22">
        <v>347</v>
      </c>
      <c r="K350" s="10">
        <v>87.5</v>
      </c>
      <c r="L350" s="20">
        <v>32500000</v>
      </c>
      <c r="M350" s="20">
        <v>95890000</v>
      </c>
      <c r="N350" s="20">
        <v>675755520</v>
      </c>
      <c r="O350" s="20"/>
      <c r="P350" s="17" t="s">
        <v>816</v>
      </c>
      <c r="Q350" s="17"/>
      <c r="R350" s="17" t="s">
        <v>430</v>
      </c>
      <c r="S350" s="17"/>
      <c r="T350" s="17" t="s">
        <v>1734</v>
      </c>
      <c r="U350" s="17" t="s">
        <v>1734</v>
      </c>
      <c r="V350" s="17" t="s">
        <v>396</v>
      </c>
      <c r="W350" s="45" t="e">
        <f>VLOOKUP(V350,'Actor and Actress Success'!$A$1:$B$72,2,FALSE)</f>
        <v>#N/A</v>
      </c>
      <c r="X350" s="35"/>
      <c r="Y350" s="35"/>
      <c r="Z350" s="17" t="s">
        <v>429</v>
      </c>
      <c r="AA350" s="17"/>
      <c r="AB350" s="45">
        <f>VLOOKUP(Z350,'Actor and Actress Success'!$A$1:$B$72,2,FALSE)</f>
        <v>39.285714285714285</v>
      </c>
      <c r="AC350" s="35">
        <v>1</v>
      </c>
      <c r="AD350" s="17" t="s">
        <v>410</v>
      </c>
      <c r="AE350" s="17"/>
      <c r="AF350" s="45">
        <f>VLOOKUP(AD350,'Actor and Actress Success'!$A$1:$B$72,2,FALSE)</f>
        <v>27.659574468085108</v>
      </c>
      <c r="AG350" s="35">
        <v>1</v>
      </c>
      <c r="AH350" s="17" t="s">
        <v>725</v>
      </c>
      <c r="AI350" s="17"/>
      <c r="AK350" s="45" t="e">
        <f>VLOOKUP(AH350,'Actor and Actress Success'!$A$1:$B$72,2,FALSE)</f>
        <v>#N/A</v>
      </c>
    </row>
    <row r="351" spans="1:37">
      <c r="A351" s="18">
        <v>355</v>
      </c>
      <c r="B351" s="8" t="s">
        <v>629</v>
      </c>
      <c r="C351" s="10">
        <v>1996</v>
      </c>
      <c r="D351" s="12">
        <v>35174</v>
      </c>
      <c r="E351" s="12"/>
      <c r="F351" t="s">
        <v>621</v>
      </c>
      <c r="G351" t="s">
        <v>621</v>
      </c>
      <c r="H351" s="22" t="s">
        <v>50</v>
      </c>
      <c r="I351" s="22">
        <v>200</v>
      </c>
      <c r="J351" s="22">
        <v>443</v>
      </c>
      <c r="K351" s="10">
        <v>81.25</v>
      </c>
      <c r="L351" s="20">
        <v>45000000</v>
      </c>
      <c r="M351" s="20">
        <v>103541250</v>
      </c>
      <c r="N351" s="20">
        <v>642504940</v>
      </c>
      <c r="O351" s="20"/>
      <c r="P351" s="17" t="s">
        <v>1740</v>
      </c>
      <c r="Q351" s="17"/>
      <c r="R351" s="17" t="s">
        <v>67</v>
      </c>
      <c r="S351" s="17"/>
      <c r="T351" s="17" t="s">
        <v>574</v>
      </c>
      <c r="V351" s="17" t="s">
        <v>555</v>
      </c>
      <c r="W351" s="45">
        <f>VLOOKUP(V351,'Actor and Actress Success'!$A$1:$B$72,2,FALSE)</f>
        <v>11.607142857142858</v>
      </c>
      <c r="X351" s="35">
        <v>1</v>
      </c>
      <c r="Y351" s="35">
        <f>'Star Economic history'!G9</f>
        <v>34066666.666666664</v>
      </c>
      <c r="Z351" s="17" t="s">
        <v>429</v>
      </c>
      <c r="AA351" s="17"/>
      <c r="AB351" s="45">
        <f>VLOOKUP(Z351,'Actor and Actress Success'!$A$1:$B$72,2,FALSE)</f>
        <v>39.285714285714285</v>
      </c>
      <c r="AC351" s="35">
        <v>1</v>
      </c>
      <c r="AD351" s="17" t="s">
        <v>534</v>
      </c>
      <c r="AE351" s="17"/>
      <c r="AF351" s="45" t="e">
        <f>VLOOKUP(AD351,'Actor and Actress Success'!$A$1:$B$72,2,FALSE)</f>
        <v>#N/A</v>
      </c>
      <c r="AG351" s="35">
        <v>1</v>
      </c>
      <c r="AH351" s="17" t="s">
        <v>502</v>
      </c>
      <c r="AI351" s="17"/>
      <c r="AJ351" s="34">
        <v>1</v>
      </c>
      <c r="AK351" s="45" t="e">
        <f>VLOOKUP(AH351,'Actor and Actress Success'!$A$1:$B$72,2,FALSE)</f>
        <v>#N/A</v>
      </c>
    </row>
    <row r="352" spans="1:37">
      <c r="A352" s="18">
        <v>356</v>
      </c>
      <c r="B352" s="8" t="s">
        <v>630</v>
      </c>
      <c r="C352" s="10">
        <v>1996</v>
      </c>
      <c r="D352" s="12">
        <v>35195</v>
      </c>
      <c r="E352" s="12"/>
      <c r="F352" t="s">
        <v>621</v>
      </c>
      <c r="G352" t="s">
        <v>621</v>
      </c>
      <c r="H352" s="22" t="s">
        <v>50</v>
      </c>
      <c r="I352" s="22">
        <v>190</v>
      </c>
      <c r="J352" s="22">
        <v>441</v>
      </c>
      <c r="K352" s="10">
        <v>70</v>
      </c>
      <c r="L352" s="20">
        <v>42500000</v>
      </c>
      <c r="M352" s="20">
        <v>107825000</v>
      </c>
      <c r="N352" s="20">
        <v>651952180</v>
      </c>
      <c r="O352" s="20"/>
      <c r="P352" s="17" t="s">
        <v>539</v>
      </c>
      <c r="Q352" s="17"/>
      <c r="R352" s="17" t="s">
        <v>446</v>
      </c>
      <c r="S352" s="17"/>
      <c r="T352" s="17" t="s">
        <v>443</v>
      </c>
      <c r="U352" s="17" t="s">
        <v>443</v>
      </c>
      <c r="V352" s="38" t="s">
        <v>397</v>
      </c>
      <c r="W352" s="45">
        <f>VLOOKUP(V352,'Actor and Actress Success'!$A$1:$B$72,2,FALSE)</f>
        <v>44.117647058823529</v>
      </c>
      <c r="X352" s="35">
        <v>1</v>
      </c>
      <c r="Y352" s="35">
        <f>'Star Economic history'!G6</f>
        <v>41531250</v>
      </c>
      <c r="Z352" s="38" t="s">
        <v>393</v>
      </c>
      <c r="AA352" s="38"/>
      <c r="AB352" s="45">
        <f>VLOOKUP(Z352,'Actor and Actress Success'!$A$1:$B$72,2,FALSE)</f>
        <v>27.450980392156865</v>
      </c>
      <c r="AC352" s="35">
        <v>1</v>
      </c>
      <c r="AD352" s="17" t="s">
        <v>394</v>
      </c>
      <c r="AE352" s="17"/>
      <c r="AF352" s="45" t="e">
        <f>VLOOKUP(AD352,'Actor and Actress Success'!$A$1:$B$72,2,FALSE)</f>
        <v>#N/A</v>
      </c>
      <c r="AG352" s="35">
        <v>1</v>
      </c>
      <c r="AH352" s="17" t="s">
        <v>1741</v>
      </c>
      <c r="AI352" s="17"/>
      <c r="AJ352" s="34">
        <v>1</v>
      </c>
      <c r="AK352" s="45" t="e">
        <f>VLOOKUP(AH352,'Actor and Actress Success'!$A$1:$B$72,2,FALSE)</f>
        <v>#N/A</v>
      </c>
    </row>
    <row r="353" spans="1:37">
      <c r="A353" s="18">
        <v>357</v>
      </c>
      <c r="B353" s="8" t="s">
        <v>631</v>
      </c>
      <c r="C353" s="10">
        <v>1996</v>
      </c>
      <c r="D353" s="12">
        <v>35363</v>
      </c>
      <c r="E353" s="12"/>
      <c r="F353" t="s">
        <v>179</v>
      </c>
      <c r="G353" t="s">
        <v>179</v>
      </c>
      <c r="H353" s="22" t="s">
        <v>6</v>
      </c>
      <c r="I353" s="22">
        <v>25</v>
      </c>
      <c r="J353" s="22">
        <v>391</v>
      </c>
      <c r="K353" s="10">
        <v>85</v>
      </c>
      <c r="L353" s="20">
        <v>25000000</v>
      </c>
      <c r="M353" s="20">
        <v>63781250</v>
      </c>
      <c r="N353" s="20">
        <v>331857460</v>
      </c>
      <c r="O353" s="20"/>
      <c r="P353" s="17" t="s">
        <v>1039</v>
      </c>
      <c r="Q353" s="17"/>
      <c r="R353" s="17" t="s">
        <v>515</v>
      </c>
      <c r="S353" s="17"/>
      <c r="T353" s="17" t="s">
        <v>1039</v>
      </c>
      <c r="U353" s="17" t="s">
        <v>1039</v>
      </c>
      <c r="V353" s="17" t="s">
        <v>546</v>
      </c>
      <c r="W353" s="45" t="e">
        <f>VLOOKUP(V353,'Actor and Actress Success'!$A$1:$B$72,2,FALSE)</f>
        <v>#N/A</v>
      </c>
      <c r="X353" s="35"/>
      <c r="Y353" s="35"/>
      <c r="Z353" s="17" t="s">
        <v>394</v>
      </c>
      <c r="AA353" s="17"/>
      <c r="AB353" s="45" t="e">
        <f>VLOOKUP(Z353,'Actor and Actress Success'!$A$1:$B$72,2,FALSE)</f>
        <v>#N/A</v>
      </c>
      <c r="AC353" s="35">
        <v>1</v>
      </c>
      <c r="AD353" s="17" t="s">
        <v>538</v>
      </c>
      <c r="AE353" s="17"/>
      <c r="AF353" s="45" t="e">
        <f>VLOOKUP(AD353,'Actor and Actress Success'!$A$1:$B$72,2,FALSE)</f>
        <v>#N/A</v>
      </c>
      <c r="AG353" s="35">
        <v>1</v>
      </c>
      <c r="AH353" s="17" t="s">
        <v>1724</v>
      </c>
      <c r="AI353" s="17"/>
      <c r="AK353" s="45" t="e">
        <f>VLOOKUP(AH353,'Actor and Actress Success'!$A$1:$B$72,2,FALSE)</f>
        <v>#N/A</v>
      </c>
    </row>
    <row r="354" spans="1:37">
      <c r="A354" s="18">
        <v>358</v>
      </c>
      <c r="B354" s="8" t="s">
        <v>632</v>
      </c>
      <c r="C354" s="10">
        <v>1996</v>
      </c>
      <c r="D354" s="12">
        <v>35258</v>
      </c>
      <c r="E354" s="12"/>
      <c r="F354" t="s">
        <v>179</v>
      </c>
      <c r="G354" t="s">
        <v>179</v>
      </c>
      <c r="H354" s="22" t="s">
        <v>50</v>
      </c>
      <c r="I354" s="22">
        <v>150</v>
      </c>
      <c r="J354" s="22">
        <v>365</v>
      </c>
      <c r="K354" s="10">
        <v>95</v>
      </c>
      <c r="L354" s="20">
        <v>27500000</v>
      </c>
      <c r="M354" s="20">
        <v>75193750</v>
      </c>
      <c r="N354" s="20">
        <v>502648740</v>
      </c>
      <c r="O354" s="20"/>
      <c r="P354" s="17" t="s">
        <v>731</v>
      </c>
      <c r="Q354" s="17"/>
      <c r="R354" s="17" t="s">
        <v>744</v>
      </c>
      <c r="S354" s="17">
        <f>S346+69575000+65850000</f>
        <v>235012500</v>
      </c>
      <c r="T354" s="17" t="s">
        <v>741</v>
      </c>
      <c r="U354" s="17" t="s">
        <v>741</v>
      </c>
      <c r="V354" s="17" t="s">
        <v>555</v>
      </c>
      <c r="W354" s="45">
        <f>VLOOKUP(V354,'Actor and Actress Success'!$A$1:$B$72,2,FALSE)</f>
        <v>11.607142857142858</v>
      </c>
      <c r="X354" s="35">
        <v>1</v>
      </c>
      <c r="Y354" s="35">
        <f>'Star Economic history'!G9</f>
        <v>34066666.666666664</v>
      </c>
      <c r="Z354" s="17" t="s">
        <v>559</v>
      </c>
      <c r="AA354" s="17"/>
      <c r="AB354" s="45" t="e">
        <f>VLOOKUP(Z354,'Actor and Actress Success'!$A$1:$B$72,2,FALSE)</f>
        <v>#N/A</v>
      </c>
      <c r="AC354" s="35">
        <v>1</v>
      </c>
      <c r="AD354" s="17" t="s">
        <v>1742</v>
      </c>
      <c r="AE354" s="17"/>
      <c r="AF354" s="45" t="e">
        <f>VLOOKUP(AD354,'Actor and Actress Success'!$A$1:$B$72,2,FALSE)</f>
        <v>#N/A</v>
      </c>
      <c r="AG354" s="35"/>
      <c r="AH354" s="17" t="s">
        <v>732</v>
      </c>
      <c r="AI354" s="17"/>
      <c r="AK354" s="45" t="e">
        <f>VLOOKUP(AH354,'Actor and Actress Success'!$A$1:$B$72,2,FALSE)</f>
        <v>#N/A</v>
      </c>
    </row>
    <row r="355" spans="1:37">
      <c r="A355" s="18">
        <v>359</v>
      </c>
      <c r="B355" s="8" t="s">
        <v>633</v>
      </c>
      <c r="C355" s="10">
        <v>1997</v>
      </c>
      <c r="D355" s="12">
        <v>35720</v>
      </c>
      <c r="E355" s="12"/>
      <c r="F355" t="s">
        <v>621</v>
      </c>
      <c r="G355" t="s">
        <v>621</v>
      </c>
      <c r="H355" s="22" t="s">
        <v>50</v>
      </c>
      <c r="I355" s="22">
        <v>100</v>
      </c>
      <c r="J355" s="22">
        <v>481</v>
      </c>
      <c r="K355" s="10">
        <v>0</v>
      </c>
      <c r="L355" s="20">
        <v>15000000</v>
      </c>
      <c r="M355" s="20">
        <v>40126250</v>
      </c>
      <c r="N355" s="20">
        <v>242479160</v>
      </c>
      <c r="O355" s="20"/>
      <c r="P355" s="17" t="s">
        <v>1743</v>
      </c>
      <c r="Q355" s="17"/>
      <c r="R355" s="17" t="s">
        <v>1744</v>
      </c>
      <c r="S355" s="17"/>
      <c r="V355" s="17" t="s">
        <v>468</v>
      </c>
      <c r="W355" s="45">
        <f>VLOOKUP(V355,'Actor and Actress Success'!$A$1:$B$72,2,FALSE)</f>
        <v>14.285714285714285</v>
      </c>
      <c r="X355" s="35">
        <v>1</v>
      </c>
      <c r="Y355" s="35"/>
      <c r="Z355" s="17" t="s">
        <v>555</v>
      </c>
      <c r="AA355" s="17"/>
      <c r="AB355" s="45">
        <f>VLOOKUP(Z355,'Actor and Actress Success'!$A$1:$B$72,2,FALSE)</f>
        <v>11.607142857142858</v>
      </c>
      <c r="AC355" s="35">
        <v>1</v>
      </c>
      <c r="AD355" s="17" t="s">
        <v>498</v>
      </c>
      <c r="AE355" s="17"/>
      <c r="AF355" s="45" t="e">
        <f>VLOOKUP(AD355,'Actor and Actress Success'!$A$1:$B$72,2,FALSE)</f>
        <v>#N/A</v>
      </c>
      <c r="AG355" s="35">
        <v>1</v>
      </c>
      <c r="AH355" s="17" t="s">
        <v>561</v>
      </c>
      <c r="AI355" s="17"/>
      <c r="AK355" s="45" t="e">
        <f>VLOOKUP(AH355,'Actor and Actress Success'!$A$1:$B$72,2,FALSE)</f>
        <v>#N/A</v>
      </c>
    </row>
    <row r="356" spans="1:37">
      <c r="A356" s="18">
        <v>360</v>
      </c>
      <c r="B356" s="8" t="s">
        <v>634</v>
      </c>
      <c r="C356" s="10">
        <v>1997</v>
      </c>
      <c r="D356" s="12">
        <v>35748</v>
      </c>
      <c r="E356" s="12"/>
      <c r="F356" t="s">
        <v>179</v>
      </c>
      <c r="G356" t="s">
        <v>179</v>
      </c>
      <c r="H356" s="22" t="s">
        <v>428</v>
      </c>
      <c r="I356" s="22">
        <v>95</v>
      </c>
      <c r="J356" s="22">
        <v>401</v>
      </c>
      <c r="K356" s="10">
        <v>0</v>
      </c>
      <c r="L356" s="20">
        <v>17500000</v>
      </c>
      <c r="M356" s="20">
        <v>37687500</v>
      </c>
      <c r="N356" s="20">
        <v>248499460</v>
      </c>
      <c r="O356" s="20"/>
      <c r="P356" s="17" t="s">
        <v>1745</v>
      </c>
      <c r="Q356" s="17"/>
      <c r="R356" s="17" t="s">
        <v>1018</v>
      </c>
      <c r="S356" s="17"/>
      <c r="T356" s="17" t="s">
        <v>1652</v>
      </c>
      <c r="U356" s="17" t="s">
        <v>1750</v>
      </c>
      <c r="V356" s="17" t="s">
        <v>1746</v>
      </c>
      <c r="W356" s="45" t="e">
        <f>VLOOKUP(V356,'Actor and Actress Success'!$A$1:$B$72,2,FALSE)</f>
        <v>#N/A</v>
      </c>
      <c r="X356" s="35">
        <v>1</v>
      </c>
      <c r="Y356" s="35"/>
      <c r="Z356" s="17" t="s">
        <v>1747</v>
      </c>
      <c r="AA356" s="17"/>
      <c r="AB356" s="45" t="e">
        <f>VLOOKUP(Z356,'Actor and Actress Success'!$A$1:$B$72,2,FALSE)</f>
        <v>#N/A</v>
      </c>
      <c r="AC356" s="35">
        <v>1</v>
      </c>
      <c r="AD356" s="17" t="s">
        <v>1748</v>
      </c>
      <c r="AE356" s="17"/>
      <c r="AF356" s="45" t="e">
        <f>VLOOKUP(AD356,'Actor and Actress Success'!$A$1:$B$72,2,FALSE)</f>
        <v>#N/A</v>
      </c>
      <c r="AG356" s="35"/>
      <c r="AH356" s="17" t="s">
        <v>1749</v>
      </c>
      <c r="AI356" s="17"/>
      <c r="AK356" s="45" t="e">
        <f>VLOOKUP(AH356,'Actor and Actress Success'!$A$1:$B$72,2,FALSE)</f>
        <v>#N/A</v>
      </c>
    </row>
    <row r="357" spans="1:37">
      <c r="A357" s="18">
        <v>361</v>
      </c>
      <c r="B357" s="8" t="s">
        <v>635</v>
      </c>
      <c r="C357" s="10">
        <v>1997</v>
      </c>
      <c r="D357" s="12">
        <v>35685</v>
      </c>
      <c r="E357" s="12"/>
      <c r="F357" t="s">
        <v>179</v>
      </c>
      <c r="G357" t="s">
        <v>179</v>
      </c>
      <c r="H357" s="22" t="s">
        <v>50</v>
      </c>
      <c r="I357" s="22">
        <v>130</v>
      </c>
      <c r="J357" s="22">
        <v>386</v>
      </c>
      <c r="K357" s="10">
        <v>0</v>
      </c>
      <c r="L357" s="20">
        <v>22500000</v>
      </c>
      <c r="M357" s="20">
        <v>63306250</v>
      </c>
      <c r="N357" s="20">
        <v>345009500</v>
      </c>
      <c r="O357" s="20"/>
      <c r="P357" s="17" t="s">
        <v>1751</v>
      </c>
      <c r="Q357" s="17"/>
      <c r="R357" s="17" t="s">
        <v>1752</v>
      </c>
      <c r="S357" s="17"/>
      <c r="T357" s="17" t="s">
        <v>1753</v>
      </c>
      <c r="U357" s="17" t="s">
        <v>1753</v>
      </c>
      <c r="V357" s="17" t="s">
        <v>1588</v>
      </c>
      <c r="W357" s="45">
        <f>VLOOKUP(V357,'Actor and Actress Success'!$A$1:$B$72,2,FALSE)</f>
        <v>4.7619047619047619</v>
      </c>
      <c r="X357" s="35">
        <v>1</v>
      </c>
      <c r="Y357" s="35"/>
      <c r="Z357" s="17" t="s">
        <v>79</v>
      </c>
      <c r="AA357" s="17">
        <f>'Star Economic history'!H8</f>
        <v>53012500</v>
      </c>
      <c r="AB357" s="45">
        <f>VLOOKUP(Z357,'Actor and Actress Success'!$A$1:$B$72,2,FALSE)</f>
        <v>26.373626373626376</v>
      </c>
      <c r="AC357" s="35">
        <v>1</v>
      </c>
      <c r="AD357" s="17" t="s">
        <v>1754</v>
      </c>
      <c r="AE357" s="17"/>
      <c r="AF357" s="45" t="e">
        <f>VLOOKUP(AD357,'Actor and Actress Success'!$A$1:$B$72,2,FALSE)</f>
        <v>#N/A</v>
      </c>
      <c r="AG357" s="35"/>
      <c r="AH357" s="17" t="s">
        <v>524</v>
      </c>
      <c r="AI357" s="17"/>
      <c r="AK357" s="45" t="e">
        <f>VLOOKUP(AH357,'Actor and Actress Success'!$A$1:$B$72,2,FALSE)</f>
        <v>#N/A</v>
      </c>
    </row>
    <row r="358" spans="1:37">
      <c r="A358" s="18">
        <v>362</v>
      </c>
      <c r="B358" s="8" t="s">
        <v>636</v>
      </c>
      <c r="C358" s="10">
        <v>1997</v>
      </c>
      <c r="D358" s="12">
        <v>35769</v>
      </c>
      <c r="E358" s="12"/>
      <c r="F358" t="s">
        <v>179</v>
      </c>
      <c r="G358" t="s">
        <v>179</v>
      </c>
      <c r="H358" s="22" t="s">
        <v>50</v>
      </c>
      <c r="I358" s="22">
        <v>200</v>
      </c>
      <c r="J358" s="22">
        <v>363</v>
      </c>
      <c r="K358" s="10">
        <v>0</v>
      </c>
      <c r="L358" s="20">
        <v>40000000</v>
      </c>
      <c r="M358" s="20">
        <v>107292500</v>
      </c>
      <c r="N358" s="20">
        <v>553219260</v>
      </c>
      <c r="O358" s="20"/>
      <c r="P358" s="17" t="s">
        <v>1755</v>
      </c>
      <c r="Q358" s="17"/>
      <c r="R358" s="17" t="s">
        <v>427</v>
      </c>
      <c r="S358" s="17">
        <f>S349+84000000</f>
        <v>84000000</v>
      </c>
      <c r="T358" s="17" t="s">
        <v>1634</v>
      </c>
      <c r="U358" s="17" t="s">
        <v>1634</v>
      </c>
      <c r="V358" s="17" t="s">
        <v>77</v>
      </c>
      <c r="W358" s="45">
        <f>VLOOKUP(V358,'Actor and Actress Success'!$A$1:$B$72,2,FALSE)</f>
        <v>23.404255319148938</v>
      </c>
      <c r="X358" s="35">
        <v>1</v>
      </c>
      <c r="Y358" s="35"/>
      <c r="Z358" s="17" t="s">
        <v>79</v>
      </c>
      <c r="AA358" s="17">
        <f>'Star Economic history'!H8</f>
        <v>53012500</v>
      </c>
      <c r="AB358" s="45">
        <f>VLOOKUP(Z358,'Actor and Actress Success'!$A$1:$B$72,2,FALSE)</f>
        <v>26.373626373626376</v>
      </c>
      <c r="AC358" s="35">
        <v>1</v>
      </c>
      <c r="AD358" s="17" t="s">
        <v>1756</v>
      </c>
      <c r="AE358" s="17"/>
      <c r="AF358" s="45" t="e">
        <f>VLOOKUP(AD358,'Actor and Actress Success'!$A$1:$B$72,2,FALSE)</f>
        <v>#N/A</v>
      </c>
      <c r="AG358" s="35"/>
      <c r="AH358" s="17" t="s">
        <v>500</v>
      </c>
      <c r="AI358" s="17"/>
      <c r="AJ358" s="34">
        <v>1</v>
      </c>
      <c r="AK358" s="45" t="e">
        <f>VLOOKUP(AH358,'Actor and Actress Success'!$A$1:$B$72,2,FALSE)</f>
        <v>#N/A</v>
      </c>
    </row>
    <row r="359" spans="1:37">
      <c r="A359" s="18">
        <v>363</v>
      </c>
      <c r="B359" s="8" t="s">
        <v>637</v>
      </c>
      <c r="C359" s="10">
        <v>1998</v>
      </c>
      <c r="D359" s="12">
        <v>36112</v>
      </c>
      <c r="E359" s="12"/>
      <c r="F359" t="s">
        <v>621</v>
      </c>
      <c r="G359" t="s">
        <v>621</v>
      </c>
      <c r="H359" s="22" t="s">
        <v>6</v>
      </c>
      <c r="I359" s="22">
        <v>110</v>
      </c>
      <c r="J359" s="22">
        <v>486</v>
      </c>
      <c r="K359" s="10">
        <v>0</v>
      </c>
      <c r="L359" s="20">
        <v>20000000</v>
      </c>
      <c r="M359" s="20">
        <v>46250000</v>
      </c>
      <c r="N359" s="20">
        <v>209043340</v>
      </c>
      <c r="O359" s="20"/>
      <c r="P359" s="17" t="s">
        <v>1757</v>
      </c>
      <c r="Q359" s="17"/>
      <c r="R359" s="17" t="s">
        <v>1758</v>
      </c>
      <c r="S359" s="17"/>
      <c r="T359" s="17" t="s">
        <v>712</v>
      </c>
      <c r="U359" s="17" t="s">
        <v>712</v>
      </c>
      <c r="V359" s="17" t="s">
        <v>564</v>
      </c>
      <c r="W359" s="45" t="e">
        <f>VLOOKUP(V359,'Actor and Actress Success'!$A$1:$B$72,2,FALSE)</f>
        <v>#N/A</v>
      </c>
      <c r="X359" s="35">
        <v>1</v>
      </c>
      <c r="Y359" s="35"/>
      <c r="Z359" s="17" t="s">
        <v>383</v>
      </c>
      <c r="AA359" s="17"/>
      <c r="AB359" s="45">
        <f>VLOOKUP(Z359,'Actor and Actress Success'!$A$1:$B$72,2,FALSE)</f>
        <v>47.5</v>
      </c>
      <c r="AC359" s="35">
        <v>1</v>
      </c>
      <c r="AD359" s="17" t="s">
        <v>1759</v>
      </c>
      <c r="AE359" s="17"/>
      <c r="AF359" s="45" t="e">
        <f>VLOOKUP(AD359,'Actor and Actress Success'!$A$1:$B$72,2,FALSE)</f>
        <v>#N/A</v>
      </c>
      <c r="AG359" s="35"/>
      <c r="AH359" s="17" t="s">
        <v>465</v>
      </c>
      <c r="AI359" s="17"/>
      <c r="AK359" s="45" t="e">
        <f>VLOOKUP(AH359,'Actor and Actress Success'!$A$1:$B$72,2,FALSE)</f>
        <v>#N/A</v>
      </c>
    </row>
    <row r="360" spans="1:37">
      <c r="A360" s="18">
        <v>364</v>
      </c>
      <c r="B360" s="8" t="s">
        <v>638</v>
      </c>
      <c r="C360" s="10">
        <v>1998</v>
      </c>
      <c r="D360" s="12">
        <v>35916</v>
      </c>
      <c r="E360" s="12"/>
      <c r="F360" t="s">
        <v>621</v>
      </c>
      <c r="G360" t="s">
        <v>621</v>
      </c>
      <c r="H360" s="22" t="s">
        <v>439</v>
      </c>
      <c r="I360" s="22">
        <v>160</v>
      </c>
      <c r="J360" s="22">
        <v>455</v>
      </c>
      <c r="K360" s="10">
        <v>0</v>
      </c>
      <c r="L360" s="20">
        <v>37500000</v>
      </c>
      <c r="M360" s="20">
        <v>94245000</v>
      </c>
      <c r="N360" s="20">
        <v>466526940</v>
      </c>
      <c r="O360" s="20"/>
      <c r="P360" s="17" t="s">
        <v>1760</v>
      </c>
      <c r="Q360" s="17"/>
      <c r="R360" s="17" t="s">
        <v>427</v>
      </c>
      <c r="S360" s="17">
        <f>S354+35825000</f>
        <v>270837500</v>
      </c>
      <c r="T360" s="17" t="s">
        <v>485</v>
      </c>
      <c r="U360" s="17" t="s">
        <v>485</v>
      </c>
      <c r="V360" s="37" t="s">
        <v>451</v>
      </c>
      <c r="W360" s="45">
        <f>VLOOKUP(V360,'Actor and Actress Success'!$A$1:$B$72,2,FALSE)</f>
        <v>22.857142857142858</v>
      </c>
      <c r="X360" s="35">
        <v>1</v>
      </c>
      <c r="Y360" s="35">
        <f>'Star Economic history'!I3</f>
        <v>84006250</v>
      </c>
      <c r="Z360" s="37" t="s">
        <v>398</v>
      </c>
      <c r="AA360" s="37"/>
      <c r="AB360" s="45">
        <f>VLOOKUP(Z360,'Actor and Actress Success'!$A$1:$B$72,2,FALSE)</f>
        <v>21.052631578947366</v>
      </c>
      <c r="AC360" s="35">
        <v>1</v>
      </c>
      <c r="AD360" s="17" t="s">
        <v>471</v>
      </c>
      <c r="AE360" s="17"/>
      <c r="AF360" s="45" t="e">
        <f>VLOOKUP(AD360,'Actor and Actress Success'!$A$1:$B$72,2,FALSE)</f>
        <v>#N/A</v>
      </c>
      <c r="AG360" s="35"/>
      <c r="AH360" s="17" t="s">
        <v>1761</v>
      </c>
      <c r="AI360" s="17"/>
      <c r="AK360" s="45" t="e">
        <f>VLOOKUP(AH360,'Actor and Actress Success'!$A$1:$B$72,2,FALSE)</f>
        <v>#N/A</v>
      </c>
    </row>
    <row r="361" spans="1:37">
      <c r="A361" s="18">
        <v>365</v>
      </c>
      <c r="B361" s="8" t="s">
        <v>639</v>
      </c>
      <c r="C361" s="10">
        <v>1998</v>
      </c>
      <c r="D361" s="12">
        <v>35811</v>
      </c>
      <c r="E361" s="12"/>
      <c r="F361" t="s">
        <v>179</v>
      </c>
      <c r="G361" t="s">
        <v>179</v>
      </c>
      <c r="H361" s="22" t="s">
        <v>50</v>
      </c>
      <c r="I361" s="22">
        <v>145</v>
      </c>
      <c r="J361" s="22">
        <v>395</v>
      </c>
      <c r="K361" s="10">
        <v>0</v>
      </c>
      <c r="L361" s="20">
        <v>20000000</v>
      </c>
      <c r="M361" s="20">
        <v>55581250</v>
      </c>
      <c r="N361" s="20">
        <v>304997660</v>
      </c>
      <c r="O361" s="20"/>
      <c r="P361" s="17" t="s">
        <v>731</v>
      </c>
      <c r="Q361" s="17"/>
      <c r="R361" s="17" t="s">
        <v>427</v>
      </c>
      <c r="S361" s="17">
        <f>S334+49500000</f>
        <v>49500000</v>
      </c>
      <c r="V361" s="17" t="s">
        <v>555</v>
      </c>
      <c r="W361" s="45">
        <f>VLOOKUP(V361,'Actor and Actress Success'!$A$1:$B$72,2,FALSE)</f>
        <v>11.607142857142858</v>
      </c>
      <c r="X361" s="35">
        <v>1</v>
      </c>
      <c r="Y361" s="35">
        <f>'Star Economic history'!I9</f>
        <v>26328571.428571429</v>
      </c>
      <c r="Z361" s="17" t="s">
        <v>1762</v>
      </c>
      <c r="AA361" s="17"/>
      <c r="AB361" s="45" t="e">
        <f>VLOOKUP(Z361,'Actor and Actress Success'!$A$1:$B$72,2,FALSE)</f>
        <v>#N/A</v>
      </c>
      <c r="AC361" s="35"/>
      <c r="AD361" s="17" t="s">
        <v>420</v>
      </c>
      <c r="AE361" s="17"/>
      <c r="AF361" s="45" t="e">
        <f>VLOOKUP(AD361,'Actor and Actress Success'!$A$1:$B$72,2,FALSE)</f>
        <v>#N/A</v>
      </c>
      <c r="AG361" s="35"/>
      <c r="AH361" s="17" t="s">
        <v>542</v>
      </c>
      <c r="AI361" s="17"/>
      <c r="AJ361" s="34">
        <v>1</v>
      </c>
      <c r="AK361" s="45" t="e">
        <f>VLOOKUP(AH361,'Actor and Actress Success'!$A$1:$B$72,2,FALSE)</f>
        <v>#N/A</v>
      </c>
    </row>
    <row r="362" spans="1:37">
      <c r="A362" s="18">
        <v>366</v>
      </c>
      <c r="B362" s="8" t="s">
        <v>640</v>
      </c>
      <c r="C362" s="10">
        <v>1998</v>
      </c>
      <c r="D362" s="12">
        <v>35958</v>
      </c>
      <c r="E362" s="12"/>
      <c r="F362" t="s">
        <v>179</v>
      </c>
      <c r="G362" t="s">
        <v>179</v>
      </c>
      <c r="H362" s="22" t="s">
        <v>439</v>
      </c>
      <c r="I362" s="22">
        <v>165</v>
      </c>
      <c r="J362" s="22">
        <v>351</v>
      </c>
      <c r="K362" s="10">
        <v>0</v>
      </c>
      <c r="L362" s="20">
        <v>50000000</v>
      </c>
      <c r="M362" s="20">
        <v>150252500</v>
      </c>
      <c r="N362" s="20">
        <v>664641120</v>
      </c>
      <c r="O362" s="20"/>
      <c r="P362" s="17" t="s">
        <v>441</v>
      </c>
      <c r="Q362" s="17">
        <f>Q331+93650000+135900000+55750000</f>
        <v>285300000</v>
      </c>
      <c r="R362" s="17" t="s">
        <v>430</v>
      </c>
      <c r="S362" s="17"/>
      <c r="T362" s="17" t="s">
        <v>450</v>
      </c>
      <c r="U362" s="17" t="s">
        <v>464</v>
      </c>
      <c r="V362" s="17" t="s">
        <v>442</v>
      </c>
      <c r="W362" s="45">
        <f>VLOOKUP(V362,'Actor and Actress Success'!$A$1:$B$72,2,FALSE)</f>
        <v>34.042553191489361</v>
      </c>
      <c r="X362" s="35">
        <v>1</v>
      </c>
      <c r="Y362" s="35">
        <f>'Star Economic history'!I5</f>
        <v>130016666.66666667</v>
      </c>
      <c r="Z362" s="17" t="s">
        <v>398</v>
      </c>
      <c r="AA362" s="17"/>
      <c r="AB362" s="45">
        <f>VLOOKUP(Z362,'Actor and Actress Success'!$A$1:$B$72,2,FALSE)</f>
        <v>21.052631578947366</v>
      </c>
      <c r="AC362" s="35">
        <v>1</v>
      </c>
      <c r="AD362" s="17" t="s">
        <v>502</v>
      </c>
      <c r="AE362" s="17"/>
      <c r="AF362" s="45" t="e">
        <f>VLOOKUP(AD362,'Actor and Actress Success'!$A$1:$B$72,2,FALSE)</f>
        <v>#N/A</v>
      </c>
      <c r="AG362" s="35">
        <v>1</v>
      </c>
      <c r="AH362" s="17" t="s">
        <v>1673</v>
      </c>
      <c r="AI362" s="17"/>
      <c r="AK362" s="45" t="e">
        <f>VLOOKUP(AH362,'Actor and Actress Success'!$A$1:$B$72,2,FALSE)</f>
        <v>#N/A</v>
      </c>
    </row>
    <row r="363" spans="1:37">
      <c r="A363" s="18">
        <v>367</v>
      </c>
      <c r="B363" s="8" t="s">
        <v>641</v>
      </c>
      <c r="C363" s="10">
        <v>1999</v>
      </c>
      <c r="D363" s="12">
        <v>36217</v>
      </c>
      <c r="E363" s="12"/>
      <c r="F363" t="s">
        <v>621</v>
      </c>
      <c r="G363" t="s">
        <v>621</v>
      </c>
      <c r="H363" s="22" t="s">
        <v>408</v>
      </c>
      <c r="I363" s="22">
        <v>90</v>
      </c>
      <c r="J363" s="22">
        <v>482</v>
      </c>
      <c r="K363" s="10">
        <v>60</v>
      </c>
      <c r="L363" s="20">
        <v>22500000</v>
      </c>
      <c r="M363" s="20">
        <v>68375000</v>
      </c>
      <c r="N363" s="20">
        <v>233124540</v>
      </c>
      <c r="O363" s="20"/>
      <c r="P363" s="17" t="s">
        <v>421</v>
      </c>
      <c r="Q363" s="17"/>
      <c r="R363" s="17" t="s">
        <v>1763</v>
      </c>
      <c r="S363" s="17"/>
      <c r="T363" s="17" t="s">
        <v>1483</v>
      </c>
      <c r="U363" s="17" t="s">
        <v>1483</v>
      </c>
      <c r="V363" s="17" t="s">
        <v>419</v>
      </c>
      <c r="W363" s="45">
        <f>VLOOKUP(V363,'Actor and Actress Success'!$A$1:$B$72,2,FALSE)</f>
        <v>21.212121212121211</v>
      </c>
      <c r="X363" s="35">
        <v>1</v>
      </c>
      <c r="Y363" s="35"/>
      <c r="Z363" s="17" t="s">
        <v>479</v>
      </c>
      <c r="AA363" s="17"/>
      <c r="AB363" s="45" t="e">
        <f>VLOOKUP(Z363,'Actor and Actress Success'!$A$1:$B$72,2,FALSE)</f>
        <v>#N/A</v>
      </c>
      <c r="AC363" s="35">
        <v>1</v>
      </c>
      <c r="AD363" s="17" t="s">
        <v>1556</v>
      </c>
      <c r="AE363" s="17"/>
      <c r="AF363" s="45" t="e">
        <f>VLOOKUP(AD363,'Actor and Actress Success'!$A$1:$B$72,2,FALSE)</f>
        <v>#N/A</v>
      </c>
      <c r="AG363" s="35"/>
      <c r="AK363" s="45" t="e">
        <f>VLOOKUP(AH363,'Actor and Actress Success'!$A$1:$B$72,2,FALSE)</f>
        <v>#N/A</v>
      </c>
    </row>
    <row r="364" spans="1:37">
      <c r="A364" s="18">
        <v>368</v>
      </c>
      <c r="B364" s="8" t="s">
        <v>642</v>
      </c>
      <c r="C364" s="10">
        <v>1999</v>
      </c>
      <c r="D364" s="12">
        <v>36406</v>
      </c>
      <c r="E364" s="12"/>
      <c r="F364" t="s">
        <v>621</v>
      </c>
      <c r="G364" t="s">
        <v>621</v>
      </c>
      <c r="H364" s="22" t="s">
        <v>408</v>
      </c>
      <c r="I364" s="22">
        <v>160</v>
      </c>
      <c r="J364" s="22">
        <v>461</v>
      </c>
      <c r="K364" s="10">
        <v>70</v>
      </c>
      <c r="L364" s="20">
        <v>40000000</v>
      </c>
      <c r="M364" s="20">
        <v>105880000</v>
      </c>
      <c r="N364" s="20">
        <v>413455680</v>
      </c>
      <c r="O364" s="20"/>
      <c r="P364" s="17" t="s">
        <v>1764</v>
      </c>
      <c r="Q364" s="17"/>
      <c r="R364" s="17" t="s">
        <v>63</v>
      </c>
      <c r="S364" s="17"/>
      <c r="T364" s="17" t="s">
        <v>816</v>
      </c>
      <c r="U364" s="17" t="s">
        <v>816</v>
      </c>
      <c r="V364" s="17" t="s">
        <v>397</v>
      </c>
      <c r="W364" s="45">
        <f>VLOOKUP(V364,'Actor and Actress Success'!$A$1:$B$72,2,FALSE)</f>
        <v>44.117647058823529</v>
      </c>
      <c r="X364" s="35">
        <v>1</v>
      </c>
      <c r="Y364" s="35">
        <f>'Star Economic history'!J6</f>
        <v>42866666.666666664</v>
      </c>
      <c r="Z364" s="17" t="s">
        <v>449</v>
      </c>
      <c r="AA364" s="17"/>
      <c r="AB364" s="45">
        <f>VLOOKUP(Z364,'Actor and Actress Success'!$A$1:$B$72,2,FALSE)</f>
        <v>42.307692307692307</v>
      </c>
      <c r="AC364" s="35">
        <v>1</v>
      </c>
      <c r="AD364" s="17" t="s">
        <v>819</v>
      </c>
      <c r="AE364" s="17"/>
      <c r="AF364" s="45" t="e">
        <f>VLOOKUP(AD364,'Actor and Actress Success'!$A$1:$B$72,2,FALSE)</f>
        <v>#N/A</v>
      </c>
      <c r="AG364" s="35"/>
      <c r="AH364" s="17" t="s">
        <v>1765</v>
      </c>
      <c r="AI364" s="17"/>
      <c r="AK364" s="45" t="e">
        <f>VLOOKUP(AH364,'Actor and Actress Success'!$A$1:$B$72,2,FALSE)</f>
        <v>#N/A</v>
      </c>
    </row>
    <row r="365" spans="1:37">
      <c r="A365" s="18">
        <v>369</v>
      </c>
      <c r="B365" s="8" t="s">
        <v>643</v>
      </c>
      <c r="C365" s="10">
        <v>1999</v>
      </c>
      <c r="D365" s="12">
        <v>36490</v>
      </c>
      <c r="E365" s="12"/>
      <c r="F365" t="s">
        <v>179</v>
      </c>
      <c r="G365" t="s">
        <v>179</v>
      </c>
      <c r="H365" s="22" t="s">
        <v>439</v>
      </c>
      <c r="I365" s="22">
        <v>185</v>
      </c>
      <c r="J365" s="22">
        <v>362</v>
      </c>
      <c r="K365" s="10">
        <v>60</v>
      </c>
      <c r="L365" s="20">
        <v>60000000</v>
      </c>
      <c r="M365" s="20">
        <v>151187500</v>
      </c>
      <c r="N365" s="20">
        <v>555997860</v>
      </c>
      <c r="O365" s="20"/>
      <c r="P365" s="17" t="s">
        <v>895</v>
      </c>
      <c r="Q365" s="17"/>
      <c r="R365" s="17" t="s">
        <v>63</v>
      </c>
      <c r="S365" s="17"/>
      <c r="T365" s="17" t="s">
        <v>895</v>
      </c>
      <c r="U365" s="17" t="s">
        <v>895</v>
      </c>
      <c r="V365" s="17" t="s">
        <v>511</v>
      </c>
      <c r="W365" s="45">
        <f>VLOOKUP(V365,'Actor and Actress Success'!$A$1:$B$72,2,FALSE)</f>
        <v>27.397260273972602</v>
      </c>
      <c r="X365" s="35">
        <v>1</v>
      </c>
      <c r="Y365" s="35"/>
      <c r="Z365" s="17" t="s">
        <v>419</v>
      </c>
      <c r="AA365" s="17"/>
      <c r="AB365" s="45">
        <f>VLOOKUP(Z365,'Actor and Actress Success'!$A$1:$B$72,2,FALSE)</f>
        <v>21.212121212121211</v>
      </c>
      <c r="AC365" s="35">
        <v>1</v>
      </c>
      <c r="AD365" s="17" t="s">
        <v>546</v>
      </c>
      <c r="AE365" s="17"/>
      <c r="AF365" s="45" t="e">
        <f>VLOOKUP(AD365,'Actor and Actress Success'!$A$1:$B$72,2,FALSE)</f>
        <v>#N/A</v>
      </c>
      <c r="AG365" s="35"/>
      <c r="AH365" s="17" t="s">
        <v>384</v>
      </c>
      <c r="AI365" s="17"/>
      <c r="AK365" s="45" t="e">
        <f>VLOOKUP(AH365,'Actor and Actress Success'!$A$1:$B$72,2,FALSE)</f>
        <v>#N/A</v>
      </c>
    </row>
    <row r="366" spans="1:37">
      <c r="A366" s="18">
        <v>371</v>
      </c>
      <c r="B366" s="8" t="s">
        <v>644</v>
      </c>
      <c r="C366" s="10">
        <v>2000</v>
      </c>
      <c r="D366" s="12">
        <v>36693</v>
      </c>
      <c r="E366" s="12"/>
      <c r="F366" t="s">
        <v>621</v>
      </c>
      <c r="G366" t="s">
        <v>621</v>
      </c>
      <c r="H366" s="22" t="s">
        <v>439</v>
      </c>
      <c r="I366" s="22">
        <v>190</v>
      </c>
      <c r="J366" s="22">
        <v>452</v>
      </c>
      <c r="K366" s="10">
        <v>45</v>
      </c>
      <c r="L366" s="20">
        <v>55000000</v>
      </c>
      <c r="M366" s="20">
        <v>130980000</v>
      </c>
      <c r="N366" s="20">
        <v>488570500</v>
      </c>
      <c r="O366" s="20"/>
      <c r="P366" s="17" t="s">
        <v>1614</v>
      </c>
      <c r="Q366" s="17"/>
      <c r="R366" s="17" t="s">
        <v>1018</v>
      </c>
      <c r="S366" s="17"/>
      <c r="T366" s="17" t="s">
        <v>1766</v>
      </c>
      <c r="U366" s="17" t="s">
        <v>1767</v>
      </c>
      <c r="V366" s="17" t="s">
        <v>451</v>
      </c>
      <c r="W366" s="45">
        <f>VLOOKUP(V366,'Actor and Actress Success'!$A$1:$B$72,2,FALSE)</f>
        <v>22.857142857142858</v>
      </c>
      <c r="X366" s="35">
        <v>1</v>
      </c>
      <c r="Y366" s="35">
        <f>'Star Economic history'!K3</f>
        <v>89606250</v>
      </c>
      <c r="Z366" s="17" t="s">
        <v>436</v>
      </c>
      <c r="AA366" s="17"/>
      <c r="AB366" s="45" t="e">
        <f>VLOOKUP(Z366,'Actor and Actress Success'!$A$1:$B$72,2,FALSE)</f>
        <v>#N/A</v>
      </c>
      <c r="AC366" s="35">
        <v>1</v>
      </c>
      <c r="AD366" s="17" t="s">
        <v>452</v>
      </c>
      <c r="AE366" s="17"/>
      <c r="AF366" s="45" t="e">
        <f>VLOOKUP(AD366,'Actor and Actress Success'!$A$1:$B$72,2,FALSE)</f>
        <v>#N/A</v>
      </c>
      <c r="AG366" s="35"/>
      <c r="AH366" s="17" t="s">
        <v>71</v>
      </c>
      <c r="AI366" s="17"/>
      <c r="AK366" s="45" t="e">
        <f>VLOOKUP(AH366,'Actor and Actress Success'!$A$1:$B$72,2,FALSE)</f>
        <v>#N/A</v>
      </c>
    </row>
    <row r="367" spans="1:37">
      <c r="A367" s="18">
        <v>372</v>
      </c>
      <c r="B367" s="8" t="s">
        <v>645</v>
      </c>
      <c r="C367" s="10">
        <v>2000</v>
      </c>
      <c r="D367" s="12">
        <v>36728</v>
      </c>
      <c r="E367" s="12"/>
      <c r="F367" t="s">
        <v>621</v>
      </c>
      <c r="G367" t="s">
        <v>621</v>
      </c>
      <c r="H367" s="22" t="s">
        <v>439</v>
      </c>
      <c r="I367" s="22">
        <v>260</v>
      </c>
      <c r="J367" s="22">
        <v>436</v>
      </c>
      <c r="K367" s="10">
        <v>40</v>
      </c>
      <c r="L367" s="20">
        <v>90000000</v>
      </c>
      <c r="M367" s="20">
        <v>193435000</v>
      </c>
      <c r="N367" s="20">
        <v>697799080</v>
      </c>
      <c r="O367" s="20"/>
      <c r="P367" s="17" t="s">
        <v>441</v>
      </c>
      <c r="Q367" s="17">
        <f>Q360+188500000+116500000</f>
        <v>305000000</v>
      </c>
      <c r="R367" s="17" t="s">
        <v>1018</v>
      </c>
      <c r="S367" s="17"/>
      <c r="T367" s="17" t="s">
        <v>1776</v>
      </c>
      <c r="U367" s="17" t="s">
        <v>450</v>
      </c>
      <c r="V367" s="17" t="s">
        <v>451</v>
      </c>
      <c r="W367" s="45">
        <f>VLOOKUP(V367,'Actor and Actress Success'!$A$1:$B$72,2,FALSE)</f>
        <v>22.857142857142858</v>
      </c>
      <c r="X367" s="35">
        <v>1</v>
      </c>
      <c r="Y367" s="35">
        <f>'Star Economic history'!K3</f>
        <v>89606250</v>
      </c>
      <c r="Z367" s="17" t="s">
        <v>419</v>
      </c>
      <c r="AA367" s="17"/>
      <c r="AB367" s="45">
        <f>VLOOKUP(Z367,'Actor and Actress Success'!$A$1:$B$72,2,FALSE)</f>
        <v>21.212121212121211</v>
      </c>
      <c r="AC367" s="35">
        <v>1</v>
      </c>
      <c r="AD367" s="17" t="s">
        <v>537</v>
      </c>
      <c r="AE367" s="17"/>
      <c r="AF367" s="45" t="e">
        <f>VLOOKUP(AD367,'Actor and Actress Success'!$A$1:$B$72,2,FALSE)</f>
        <v>#N/A</v>
      </c>
      <c r="AG367" s="35">
        <v>1</v>
      </c>
      <c r="AH367" s="17" t="s">
        <v>546</v>
      </c>
      <c r="AI367" s="17"/>
      <c r="AK367" s="45" t="e">
        <f>VLOOKUP(AH367,'Actor and Actress Success'!$A$1:$B$72,2,FALSE)</f>
        <v>#N/A</v>
      </c>
    </row>
    <row r="368" spans="1:37">
      <c r="A368" s="18">
        <v>373</v>
      </c>
      <c r="B368" s="8" t="s">
        <v>646</v>
      </c>
      <c r="C368" s="10">
        <v>2000</v>
      </c>
      <c r="D368" s="12">
        <v>36574</v>
      </c>
      <c r="E368" s="12"/>
      <c r="F368" t="s">
        <v>179</v>
      </c>
      <c r="G368" t="s">
        <v>179</v>
      </c>
      <c r="H368" s="22" t="s">
        <v>50</v>
      </c>
      <c r="I368" s="22">
        <v>55</v>
      </c>
      <c r="J368" s="22">
        <v>417</v>
      </c>
      <c r="K368" s="10">
        <v>0</v>
      </c>
      <c r="L368" s="20">
        <v>6000000</v>
      </c>
      <c r="M368" s="20">
        <v>17230500</v>
      </c>
      <c r="N368" s="20">
        <v>90489740</v>
      </c>
      <c r="O368" s="20"/>
      <c r="P368" s="17" t="s">
        <v>1770</v>
      </c>
      <c r="Q368" s="17"/>
      <c r="R368" s="17" t="s">
        <v>759</v>
      </c>
      <c r="S368" s="17"/>
      <c r="T368" s="17" t="s">
        <v>1768</v>
      </c>
      <c r="U368" s="17" t="s">
        <v>1768</v>
      </c>
      <c r="V368" s="17" t="s">
        <v>755</v>
      </c>
      <c r="W368" s="45" t="e">
        <f>VLOOKUP(V368,'Actor and Actress Success'!$A$1:$B$72,2,FALSE)</f>
        <v>#N/A</v>
      </c>
      <c r="X368" s="35">
        <v>1</v>
      </c>
      <c r="Y368" s="35"/>
      <c r="Z368" s="17" t="s">
        <v>465</v>
      </c>
      <c r="AA368" s="17"/>
      <c r="AB368" s="45" t="e">
        <f>VLOOKUP(Z368,'Actor and Actress Success'!$A$1:$B$72,2,FALSE)</f>
        <v>#N/A</v>
      </c>
      <c r="AC368" s="35"/>
      <c r="AD368" s="17" t="s">
        <v>1769</v>
      </c>
      <c r="AE368" s="17"/>
      <c r="AF368" s="45" t="e">
        <f>VLOOKUP(AD368,'Actor and Actress Success'!$A$1:$B$72,2,FALSE)</f>
        <v>#N/A</v>
      </c>
      <c r="AG368" s="35"/>
      <c r="AH368" s="17" t="s">
        <v>561</v>
      </c>
      <c r="AI368" s="17"/>
      <c r="AK368" s="45" t="e">
        <f>VLOOKUP(AH368,'Actor and Actress Success'!$A$1:$B$72,2,FALSE)</f>
        <v>#N/A</v>
      </c>
    </row>
    <row r="369" spans="1:37">
      <c r="A369" s="18">
        <v>374</v>
      </c>
      <c r="B369" s="8" t="s">
        <v>647</v>
      </c>
      <c r="C369" s="10">
        <v>2000</v>
      </c>
      <c r="D369" s="12">
        <v>36721</v>
      </c>
      <c r="E369" s="12"/>
      <c r="F369" t="s">
        <v>179</v>
      </c>
      <c r="G369" t="s">
        <v>179</v>
      </c>
      <c r="H369" s="22" t="s">
        <v>408</v>
      </c>
      <c r="I369" s="22">
        <v>215</v>
      </c>
      <c r="J369" s="22">
        <v>366</v>
      </c>
      <c r="K369" s="10">
        <v>0</v>
      </c>
      <c r="L369" s="20">
        <v>47500000</v>
      </c>
      <c r="M369" s="20">
        <v>143378750</v>
      </c>
      <c r="N369" s="20">
        <v>496628440</v>
      </c>
      <c r="O369" s="20"/>
      <c r="P369" s="17" t="s">
        <v>421</v>
      </c>
      <c r="Q369" s="17"/>
      <c r="R369" s="17" t="s">
        <v>1763</v>
      </c>
      <c r="S369" s="17"/>
      <c r="T369" s="17" t="s">
        <v>834</v>
      </c>
      <c r="U369" s="17" t="s">
        <v>834</v>
      </c>
      <c r="V369" s="17" t="s">
        <v>79</v>
      </c>
      <c r="W369" s="45">
        <f>VLOOKUP(V369,'Actor and Actress Success'!$A$1:$B$72,2,FALSE)</f>
        <v>26.373626373626376</v>
      </c>
      <c r="X369" s="35">
        <v>1</v>
      </c>
      <c r="Y369" s="35">
        <f>'Star Economic history'!K8</f>
        <v>24466666.666666668</v>
      </c>
      <c r="Z369" s="17" t="s">
        <v>898</v>
      </c>
      <c r="AA369" s="17"/>
      <c r="AB369" s="45" t="e">
        <f>VLOOKUP(Z369,'Actor and Actress Success'!$A$1:$B$72,2,FALSE)</f>
        <v>#N/A</v>
      </c>
      <c r="AC369" s="35">
        <v>1</v>
      </c>
      <c r="AD369" s="17" t="s">
        <v>419</v>
      </c>
      <c r="AE369" s="17"/>
      <c r="AF369" s="45">
        <f>VLOOKUP(AD369,'Actor and Actress Success'!$A$1:$B$72,2,FALSE)</f>
        <v>21.212121212121211</v>
      </c>
      <c r="AG369" s="35">
        <v>1</v>
      </c>
      <c r="AH369" s="17" t="s">
        <v>1771</v>
      </c>
      <c r="AI369" s="17"/>
      <c r="AK369" s="45" t="e">
        <f>VLOOKUP(AH369,'Actor and Actress Success'!$A$1:$B$72,2,FALSE)</f>
        <v>#N/A</v>
      </c>
    </row>
    <row r="370" spans="1:37">
      <c r="A370" s="18">
        <v>375</v>
      </c>
      <c r="B370" s="8" t="s">
        <v>648</v>
      </c>
      <c r="C370" s="10">
        <v>2001</v>
      </c>
      <c r="D370" s="12">
        <v>37246</v>
      </c>
      <c r="E370" s="12"/>
      <c r="F370" t="s">
        <v>621</v>
      </c>
      <c r="G370" t="s">
        <v>621</v>
      </c>
      <c r="H370" s="22" t="s">
        <v>439</v>
      </c>
      <c r="I370" s="22">
        <v>175</v>
      </c>
      <c r="J370" s="22">
        <v>468</v>
      </c>
      <c r="K370" s="10">
        <v>0</v>
      </c>
      <c r="L370" s="20">
        <v>50000000</v>
      </c>
      <c r="M370" s="20">
        <v>105440000</v>
      </c>
      <c r="N370" s="20">
        <v>351492900</v>
      </c>
      <c r="O370" s="20"/>
      <c r="P370" s="17" t="s">
        <v>1772</v>
      </c>
      <c r="Q370" s="17"/>
      <c r="R370" s="17" t="s">
        <v>950</v>
      </c>
      <c r="S370" s="17"/>
      <c r="T370" s="17" t="s">
        <v>1773</v>
      </c>
      <c r="U370" s="17" t="s">
        <v>714</v>
      </c>
      <c r="V370" s="17" t="s">
        <v>451</v>
      </c>
      <c r="W370" s="45">
        <f>VLOOKUP(V370,'Actor and Actress Success'!$A$1:$B$72,2,FALSE)</f>
        <v>22.857142857142858</v>
      </c>
      <c r="X370" s="35">
        <v>1</v>
      </c>
      <c r="Y370" s="35">
        <f>'Star Economic history'!L3</f>
        <v>69550000</v>
      </c>
      <c r="Z370" s="17" t="s">
        <v>410</v>
      </c>
      <c r="AA370" s="17"/>
      <c r="AB370" s="45">
        <f>VLOOKUP(Z370,'Actor and Actress Success'!$A$1:$B$72,2,FALSE)</f>
        <v>27.659574468085108</v>
      </c>
      <c r="AC370" s="35">
        <v>1</v>
      </c>
      <c r="AD370" s="17" t="s">
        <v>394</v>
      </c>
      <c r="AE370" s="17"/>
      <c r="AF370" s="45" t="e">
        <f>VLOOKUP(AD370,'Actor and Actress Success'!$A$1:$B$72,2,FALSE)</f>
        <v>#N/A</v>
      </c>
      <c r="AG370" s="35">
        <v>1</v>
      </c>
      <c r="AH370" s="17" t="s">
        <v>538</v>
      </c>
      <c r="AI370" s="17"/>
      <c r="AK370" s="45" t="e">
        <f>VLOOKUP(AH370,'Actor and Actress Success'!$A$1:$B$72,2,FALSE)</f>
        <v>#N/A</v>
      </c>
    </row>
    <row r="371" spans="1:37">
      <c r="A371" s="18">
        <v>376</v>
      </c>
      <c r="B371" s="8" t="s">
        <v>649</v>
      </c>
      <c r="C371" s="10">
        <v>2001</v>
      </c>
      <c r="D371" s="12">
        <v>37008</v>
      </c>
      <c r="E371" s="12"/>
      <c r="F371" t="s">
        <v>621</v>
      </c>
      <c r="G371" t="s">
        <v>621</v>
      </c>
      <c r="H371" s="22" t="s">
        <v>408</v>
      </c>
      <c r="I371" s="22">
        <v>160</v>
      </c>
      <c r="J371" s="22">
        <v>465</v>
      </c>
      <c r="K371" s="10">
        <v>0</v>
      </c>
      <c r="L371" s="20">
        <v>55000000</v>
      </c>
      <c r="M371" s="20">
        <v>117976250</v>
      </c>
      <c r="N371" s="20">
        <v>382150120</v>
      </c>
      <c r="O371" s="20"/>
      <c r="P371" s="17" t="s">
        <v>1774</v>
      </c>
      <c r="Q371" s="17"/>
      <c r="R371" s="17" t="s">
        <v>1763</v>
      </c>
      <c r="S371" s="17"/>
      <c r="T371" s="17" t="s">
        <v>1774</v>
      </c>
      <c r="U371" s="17" t="s">
        <v>1775</v>
      </c>
      <c r="V371" s="17" t="s">
        <v>898</v>
      </c>
      <c r="W371" s="45" t="e">
        <f>VLOOKUP(V371,'Actor and Actress Success'!$A$1:$B$72,2,FALSE)</f>
        <v>#N/A</v>
      </c>
      <c r="X371" s="35">
        <v>1</v>
      </c>
      <c r="Y371" s="35"/>
      <c r="Z371" s="17" t="s">
        <v>419</v>
      </c>
      <c r="AA371" s="17"/>
      <c r="AB371" s="45">
        <f>VLOOKUP(Z371,'Actor and Actress Success'!$A$1:$B$72,2,FALSE)</f>
        <v>21.212121212121211</v>
      </c>
      <c r="AC371" s="35">
        <v>1</v>
      </c>
      <c r="AD371" s="17" t="s">
        <v>1126</v>
      </c>
      <c r="AE371" s="17"/>
      <c r="AF371" s="45" t="e">
        <f>VLOOKUP(AD371,'Actor and Actress Success'!$A$1:$B$72,2,FALSE)</f>
        <v>#N/A</v>
      </c>
      <c r="AG371" s="35">
        <v>1</v>
      </c>
      <c r="AH371" s="17" t="s">
        <v>70</v>
      </c>
      <c r="AI371" s="17"/>
      <c r="AK371" s="45" t="e">
        <f>VLOOKUP(AH371,'Actor and Actress Success'!$A$1:$B$72,2,FALSE)</f>
        <v>#N/A</v>
      </c>
    </row>
    <row r="372" spans="1:37">
      <c r="A372" s="18">
        <v>377</v>
      </c>
      <c r="B372" s="8" t="s">
        <v>650</v>
      </c>
      <c r="C372" s="10">
        <v>2001</v>
      </c>
      <c r="D372" s="12">
        <v>36973</v>
      </c>
      <c r="E372" s="12"/>
      <c r="F372" t="s">
        <v>179</v>
      </c>
      <c r="G372" t="s">
        <v>179</v>
      </c>
      <c r="H372" s="22" t="s">
        <v>1109</v>
      </c>
      <c r="I372" s="22">
        <v>120</v>
      </c>
      <c r="J372" s="22">
        <v>380</v>
      </c>
      <c r="K372" s="10">
        <v>0</v>
      </c>
      <c r="L372" s="20">
        <v>32500000</v>
      </c>
      <c r="M372" s="20">
        <v>94662500</v>
      </c>
      <c r="N372" s="20">
        <v>383632040</v>
      </c>
      <c r="O372" s="20"/>
      <c r="P372" s="17" t="s">
        <v>1613</v>
      </c>
      <c r="Q372" s="17"/>
      <c r="R372" s="17" t="s">
        <v>427</v>
      </c>
      <c r="S372" s="17">
        <f>S369+8650000</f>
        <v>8650000</v>
      </c>
      <c r="T372" s="17" t="s">
        <v>1633</v>
      </c>
      <c r="U372" s="17" t="s">
        <v>1777</v>
      </c>
      <c r="V372" s="17" t="s">
        <v>405</v>
      </c>
      <c r="W372" s="45" t="e">
        <f>VLOOKUP(V372,'Actor and Actress Success'!$A$1:$B$72,2,FALSE)</f>
        <v>#N/A</v>
      </c>
      <c r="X372" s="35">
        <v>1</v>
      </c>
      <c r="Y372" s="35"/>
      <c r="Z372" s="17" t="s">
        <v>416</v>
      </c>
      <c r="AA372" s="17"/>
      <c r="AB372" s="45">
        <f>VLOOKUP(Z372,'Actor and Actress Success'!$A$1:$B$72,2,FALSE)</f>
        <v>14.035087719298245</v>
      </c>
      <c r="AC372" s="35">
        <v>1</v>
      </c>
      <c r="AD372" s="17" t="s">
        <v>426</v>
      </c>
      <c r="AE372" s="17"/>
      <c r="AF372" s="45" t="e">
        <f>VLOOKUP(AD372,'Actor and Actress Success'!$A$1:$B$72,2,FALSE)</f>
        <v>#N/A</v>
      </c>
      <c r="AG372" s="35">
        <v>1</v>
      </c>
      <c r="AH372" s="17" t="s">
        <v>437</v>
      </c>
      <c r="AI372" s="17"/>
      <c r="AK372" s="45" t="e">
        <f>VLOOKUP(AH372,'Actor and Actress Success'!$A$1:$B$72,2,FALSE)</f>
        <v>#N/A</v>
      </c>
    </row>
    <row r="373" spans="1:37">
      <c r="A373" s="18">
        <v>378</v>
      </c>
      <c r="B373" s="8" t="s">
        <v>651</v>
      </c>
      <c r="C373" s="10">
        <v>2001</v>
      </c>
      <c r="D373" s="12">
        <v>37155</v>
      </c>
      <c r="E373" s="12"/>
      <c r="F373" t="s">
        <v>179</v>
      </c>
      <c r="G373" t="s">
        <v>179</v>
      </c>
      <c r="H373" s="22" t="s">
        <v>408</v>
      </c>
      <c r="I373" s="22">
        <v>325</v>
      </c>
      <c r="J373" s="22">
        <v>316</v>
      </c>
      <c r="K373" s="10">
        <v>73.33</v>
      </c>
      <c r="L373" s="20">
        <v>170000000</v>
      </c>
      <c r="M373" s="20">
        <v>318300000</v>
      </c>
      <c r="N373" s="20">
        <v>992979020</v>
      </c>
      <c r="O373" s="20"/>
      <c r="P373" s="17" t="s">
        <v>448</v>
      </c>
      <c r="Q373" s="17"/>
      <c r="R373" s="17" t="s">
        <v>430</v>
      </c>
      <c r="S373" s="17"/>
      <c r="T373" s="17" t="s">
        <v>773</v>
      </c>
      <c r="U373" s="17" t="s">
        <v>447</v>
      </c>
      <c r="V373" s="17" t="s">
        <v>397</v>
      </c>
      <c r="W373" s="45">
        <f>VLOOKUP(V373,'Actor and Actress Success'!$A$1:$B$72,2,FALSE)</f>
        <v>44.117647058823529</v>
      </c>
      <c r="X373" s="35">
        <v>1</v>
      </c>
      <c r="Y373" s="35">
        <f>'Star Economic history'!L6</f>
        <v>279750000</v>
      </c>
      <c r="Z373" s="17" t="s">
        <v>435</v>
      </c>
      <c r="AA373" s="17"/>
      <c r="AB373" s="45">
        <f>VLOOKUP(Z373,'Actor and Actress Success'!$A$1:$B$72,2,FALSE)</f>
        <v>24.324324324324326</v>
      </c>
      <c r="AC373" s="35">
        <v>1</v>
      </c>
      <c r="AD373" s="17" t="s">
        <v>788</v>
      </c>
      <c r="AE373" s="17"/>
      <c r="AF373" s="45">
        <f>VLOOKUP(AD373,'Actor and Actress Success'!$A$1:$B$72,2,FALSE)</f>
        <v>45.652173913043477</v>
      </c>
      <c r="AG373" s="35">
        <v>1</v>
      </c>
      <c r="AH373" s="17" t="s">
        <v>818</v>
      </c>
      <c r="AI373" s="17"/>
      <c r="AK373" s="45">
        <f>VLOOKUP(AH373,'Actor and Actress Success'!$A$1:$B$72,2,FALSE)</f>
        <v>30</v>
      </c>
    </row>
    <row r="374" spans="1:37">
      <c r="A374" s="18">
        <v>379</v>
      </c>
      <c r="B374" s="8" t="s">
        <v>652</v>
      </c>
      <c r="C374" s="10">
        <v>2002</v>
      </c>
      <c r="D374" s="12">
        <v>37610</v>
      </c>
      <c r="E374" s="12"/>
      <c r="F374" t="s">
        <v>621</v>
      </c>
      <c r="G374" t="s">
        <v>621</v>
      </c>
      <c r="H374" s="22" t="s">
        <v>50</v>
      </c>
      <c r="I374" s="22">
        <v>450</v>
      </c>
      <c r="J374" s="22">
        <v>427</v>
      </c>
      <c r="K374" s="10">
        <v>0</v>
      </c>
      <c r="L374" s="20">
        <v>300000000</v>
      </c>
      <c r="M374" s="20">
        <v>429600000</v>
      </c>
      <c r="N374" s="20">
        <v>940833960</v>
      </c>
      <c r="O374" s="20"/>
      <c r="P374" s="17" t="s">
        <v>769</v>
      </c>
      <c r="Q374" s="17"/>
      <c r="R374" s="17" t="s">
        <v>1778</v>
      </c>
      <c r="S374" s="17"/>
      <c r="U374" s="17" t="s">
        <v>969</v>
      </c>
      <c r="V374" s="17" t="s">
        <v>497</v>
      </c>
      <c r="W374" s="45">
        <f>VLOOKUP(V374,'Actor and Actress Success'!$A$1:$B$72,2,FALSE)</f>
        <v>33.333333333333329</v>
      </c>
      <c r="X374" s="35">
        <v>1</v>
      </c>
      <c r="Y374" s="35"/>
      <c r="Z374" s="17" t="s">
        <v>511</v>
      </c>
      <c r="AA374" s="17"/>
      <c r="AB374" s="45">
        <f>VLOOKUP(Z374,'Actor and Actress Success'!$A$1:$B$72,2,FALSE)</f>
        <v>27.397260273972602</v>
      </c>
      <c r="AC374" s="35">
        <v>1</v>
      </c>
      <c r="AD374" s="17" t="s">
        <v>79</v>
      </c>
      <c r="AE374" s="17">
        <f>'Star Economic history'!M8</f>
        <v>31362500</v>
      </c>
      <c r="AF374" s="45">
        <f>VLOOKUP(AD374,'Actor and Actress Success'!$A$1:$B$72,2,FALSE)</f>
        <v>26.373626373626376</v>
      </c>
      <c r="AG374" s="35">
        <v>1</v>
      </c>
      <c r="AH374" s="17" t="s">
        <v>872</v>
      </c>
      <c r="AI374" s="17"/>
      <c r="AK374" s="45" t="e">
        <f>VLOOKUP(AH374,'Actor and Actress Success'!$A$1:$B$72,2,FALSE)</f>
        <v>#N/A</v>
      </c>
    </row>
    <row r="375" spans="1:37">
      <c r="A375" s="18">
        <v>380</v>
      </c>
      <c r="B375" s="8" t="s">
        <v>653</v>
      </c>
      <c r="C375" s="10">
        <v>2002</v>
      </c>
      <c r="D375" s="12">
        <v>37281</v>
      </c>
      <c r="E375" s="12"/>
      <c r="F375" t="s">
        <v>621</v>
      </c>
      <c r="G375" t="s">
        <v>621</v>
      </c>
      <c r="H375" s="22" t="s">
        <v>50</v>
      </c>
      <c r="I375" s="22">
        <v>375</v>
      </c>
      <c r="J375" s="22">
        <v>429</v>
      </c>
      <c r="K375" s="10">
        <v>0</v>
      </c>
      <c r="L375" s="20">
        <v>130000000</v>
      </c>
      <c r="M375" s="20">
        <v>228425000</v>
      </c>
      <c r="N375" s="20">
        <v>775507260</v>
      </c>
      <c r="O375" s="20"/>
      <c r="P375" s="17" t="s">
        <v>1779</v>
      </c>
      <c r="Q375" s="17"/>
      <c r="R375" s="17" t="s">
        <v>829</v>
      </c>
      <c r="S375" s="17"/>
      <c r="T375" s="17" t="s">
        <v>1779</v>
      </c>
      <c r="U375" s="17" t="s">
        <v>1781</v>
      </c>
      <c r="V375" s="17" t="s">
        <v>77</v>
      </c>
      <c r="W375" s="45">
        <f>VLOOKUP(V375,'Actor and Actress Success'!$A$1:$B$72,2,FALSE)</f>
        <v>23.404255319148938</v>
      </c>
      <c r="X375" s="35">
        <v>1</v>
      </c>
      <c r="Y375" s="35"/>
      <c r="Z375" s="17" t="s">
        <v>394</v>
      </c>
      <c r="AA375" s="17"/>
      <c r="AB375" s="45" t="e">
        <f>VLOOKUP(Z375,'Actor and Actress Success'!$A$1:$B$72,2,FALSE)</f>
        <v>#N/A</v>
      </c>
      <c r="AC375" s="35">
        <v>1</v>
      </c>
      <c r="AD375" s="17" t="s">
        <v>469</v>
      </c>
      <c r="AE375" s="17"/>
      <c r="AF375" s="45" t="e">
        <f>VLOOKUP(AD375,'Actor and Actress Success'!$A$1:$B$72,2,FALSE)</f>
        <v>#N/A</v>
      </c>
      <c r="AG375" s="35"/>
      <c r="AH375" s="17" t="s">
        <v>1780</v>
      </c>
      <c r="AI375" s="17"/>
      <c r="AK375" s="45" t="e">
        <f>VLOOKUP(AH375,'Actor and Actress Success'!$A$1:$B$72,2,FALSE)</f>
        <v>#N/A</v>
      </c>
    </row>
    <row r="376" spans="1:37">
      <c r="A376" s="18">
        <v>381</v>
      </c>
      <c r="B376" s="8" t="s">
        <v>654</v>
      </c>
      <c r="C376" s="10">
        <v>2002</v>
      </c>
      <c r="D376" s="12">
        <v>37442</v>
      </c>
      <c r="E376" s="12"/>
      <c r="F376" t="s">
        <v>179</v>
      </c>
      <c r="G376" t="s">
        <v>179</v>
      </c>
      <c r="H376" s="22" t="s">
        <v>408</v>
      </c>
      <c r="I376" s="22">
        <v>325</v>
      </c>
      <c r="J376" s="22">
        <v>326</v>
      </c>
      <c r="K376" s="10">
        <v>0</v>
      </c>
      <c r="L376" s="20">
        <v>150000000</v>
      </c>
      <c r="M376" s="20">
        <v>297106250</v>
      </c>
      <c r="N376" s="20">
        <v>845435360</v>
      </c>
      <c r="O376" s="20"/>
      <c r="P376" s="17" t="s">
        <v>448</v>
      </c>
      <c r="Q376" s="17"/>
      <c r="R376" s="17" t="s">
        <v>950</v>
      </c>
      <c r="S376" s="17"/>
      <c r="T376" s="17" t="s">
        <v>1782</v>
      </c>
      <c r="U376" s="17" t="s">
        <v>1783</v>
      </c>
      <c r="V376" s="17" t="s">
        <v>435</v>
      </c>
      <c r="W376" s="45">
        <f>VLOOKUP(V376,'Actor and Actress Success'!$A$1:$B$72,2,FALSE)</f>
        <v>24.324324324324326</v>
      </c>
      <c r="X376" s="35">
        <v>1</v>
      </c>
      <c r="Y376" s="35"/>
      <c r="Z376" s="17" t="s">
        <v>569</v>
      </c>
      <c r="AA376" s="17"/>
      <c r="AB376" s="45" t="e">
        <f>VLOOKUP(Z376,'Actor and Actress Success'!$A$1:$B$72,2,FALSE)</f>
        <v>#N/A</v>
      </c>
      <c r="AC376" s="35">
        <v>1</v>
      </c>
      <c r="AD376" s="17" t="s">
        <v>784</v>
      </c>
      <c r="AE376" s="17"/>
      <c r="AF376" s="45">
        <f>VLOOKUP(AD376,'Actor and Actress Success'!$A$1:$B$72,2,FALSE)</f>
        <v>26.923076923076923</v>
      </c>
      <c r="AG376" s="35">
        <v>1</v>
      </c>
      <c r="AH376" s="17" t="s">
        <v>71</v>
      </c>
      <c r="AI376" s="17"/>
      <c r="AK376" s="45" t="e">
        <f>VLOOKUP(AH376,'Actor and Actress Success'!$A$1:$B$72,2,FALSE)</f>
        <v>#N/A</v>
      </c>
    </row>
    <row r="377" spans="1:37">
      <c r="A377" s="18">
        <v>382</v>
      </c>
      <c r="B377" s="8" t="s">
        <v>655</v>
      </c>
      <c r="C377" s="10">
        <v>2002</v>
      </c>
      <c r="D377" s="12">
        <v>37358</v>
      </c>
      <c r="E377" s="12"/>
      <c r="F377" t="s">
        <v>179</v>
      </c>
      <c r="G377" t="s">
        <v>179</v>
      </c>
      <c r="H377" s="22" t="s">
        <v>50</v>
      </c>
      <c r="I377" s="22">
        <v>295</v>
      </c>
      <c r="J377" s="22">
        <v>343</v>
      </c>
      <c r="K377" s="10">
        <v>100</v>
      </c>
      <c r="L377" s="20">
        <v>95000000</v>
      </c>
      <c r="M377" s="20">
        <v>250243750</v>
      </c>
      <c r="N377" s="20">
        <v>706597980</v>
      </c>
      <c r="O377" s="20"/>
      <c r="P377" s="17" t="s">
        <v>421</v>
      </c>
      <c r="Q377" s="17"/>
      <c r="R377" s="17" t="s">
        <v>1763</v>
      </c>
      <c r="S377" s="17"/>
      <c r="T377" s="17" t="s">
        <v>834</v>
      </c>
      <c r="U377" s="17" t="s">
        <v>834</v>
      </c>
      <c r="V377" s="17" t="s">
        <v>429</v>
      </c>
      <c r="W377" s="45">
        <f>VLOOKUP(V377,'Actor and Actress Success'!$A$1:$B$72,2,FALSE)</f>
        <v>39.285714285714285</v>
      </c>
      <c r="X377" s="35">
        <v>1</v>
      </c>
      <c r="Y377" s="35">
        <f>'Star Economic history'!M4</f>
        <v>88891666.666666672</v>
      </c>
      <c r="Z377" s="17" t="s">
        <v>1784</v>
      </c>
      <c r="AA377" s="17"/>
      <c r="AB377" s="45" t="e">
        <f>VLOOKUP(Z377,'Actor and Actress Success'!$A$1:$B$72,2,FALSE)</f>
        <v>#N/A</v>
      </c>
      <c r="AC377" s="35"/>
      <c r="AD377" s="17" t="s">
        <v>416</v>
      </c>
      <c r="AE377" s="17"/>
      <c r="AF377" s="45">
        <f>VLOOKUP(AD377,'Actor and Actress Success'!$A$1:$B$72,2,FALSE)</f>
        <v>14.035087719298245</v>
      </c>
      <c r="AG377" s="35">
        <v>1</v>
      </c>
      <c r="AH377" s="17" t="s">
        <v>1035</v>
      </c>
      <c r="AI377" s="17"/>
      <c r="AJ377" s="34">
        <v>1</v>
      </c>
      <c r="AK377" s="45" t="e">
        <f>VLOOKUP(AH377,'Actor and Actress Success'!$A$1:$B$72,2,FALSE)</f>
        <v>#N/A</v>
      </c>
    </row>
    <row r="378" spans="1:37">
      <c r="A378" s="18">
        <v>383</v>
      </c>
      <c r="B378" s="8" t="s">
        <v>656</v>
      </c>
      <c r="C378" s="10">
        <v>2003</v>
      </c>
      <c r="D378" s="12">
        <v>37876</v>
      </c>
      <c r="E378" s="12"/>
      <c r="F378" t="s">
        <v>621</v>
      </c>
      <c r="G378" t="s">
        <v>621</v>
      </c>
      <c r="H378" s="22" t="s">
        <v>6</v>
      </c>
      <c r="I378" s="22">
        <v>120</v>
      </c>
      <c r="J378" s="22">
        <v>498</v>
      </c>
      <c r="K378" s="10">
        <v>0</v>
      </c>
      <c r="L378" s="20">
        <v>20000000</v>
      </c>
      <c r="M378" s="20">
        <v>42791500</v>
      </c>
      <c r="N378" s="20">
        <v>114570940</v>
      </c>
      <c r="O378" s="20"/>
      <c r="P378" s="17" t="s">
        <v>1785</v>
      </c>
      <c r="Q378" s="17"/>
      <c r="R378" s="17" t="s">
        <v>1790</v>
      </c>
      <c r="S378" s="17"/>
      <c r="T378" s="17" t="s">
        <v>1786</v>
      </c>
      <c r="U378" s="17" t="s">
        <v>1787</v>
      </c>
      <c r="V378" s="17" t="s">
        <v>416</v>
      </c>
      <c r="W378" s="45">
        <f>VLOOKUP(V378,'Actor and Actress Success'!$A$1:$B$72,2,FALSE)</f>
        <v>14.035087719298245</v>
      </c>
      <c r="X378" s="35">
        <v>1</v>
      </c>
      <c r="Y378" s="35"/>
      <c r="Z378" s="17" t="s">
        <v>565</v>
      </c>
      <c r="AA378" s="17"/>
      <c r="AB378" s="45" t="e">
        <f>VLOOKUP(Z378,'Actor and Actress Success'!$A$1:$B$72,2,FALSE)</f>
        <v>#N/A</v>
      </c>
      <c r="AC378" s="35">
        <v>1</v>
      </c>
      <c r="AD378" s="17" t="s">
        <v>1788</v>
      </c>
      <c r="AE378" s="17"/>
      <c r="AF378" s="45" t="e">
        <f>VLOOKUP(AD378,'Actor and Actress Success'!$A$1:$B$72,2,FALSE)</f>
        <v>#N/A</v>
      </c>
      <c r="AG378" s="35"/>
      <c r="AH378" s="17" t="s">
        <v>1789</v>
      </c>
      <c r="AI378" s="17"/>
      <c r="AK378" s="45" t="e">
        <f>VLOOKUP(AH378,'Actor and Actress Success'!$A$1:$B$72,2,FALSE)</f>
        <v>#N/A</v>
      </c>
    </row>
    <row r="379" spans="1:37">
      <c r="A379" s="18">
        <v>384</v>
      </c>
      <c r="B379" s="8" t="s">
        <v>657</v>
      </c>
      <c r="C379" s="10">
        <v>2003</v>
      </c>
      <c r="D379" s="12">
        <v>37806</v>
      </c>
      <c r="E379" s="12"/>
      <c r="F379" t="s">
        <v>621</v>
      </c>
      <c r="G379" t="s">
        <v>621</v>
      </c>
      <c r="H379" s="22" t="s">
        <v>757</v>
      </c>
      <c r="I379" s="22">
        <v>230</v>
      </c>
      <c r="J379" s="22">
        <v>489</v>
      </c>
      <c r="K379" s="10">
        <v>0</v>
      </c>
      <c r="L379" s="20">
        <v>30000000</v>
      </c>
      <c r="M379" s="20">
        <v>58950000</v>
      </c>
      <c r="N379" s="20">
        <v>168661020</v>
      </c>
      <c r="O379" s="20"/>
      <c r="P379" s="17" t="s">
        <v>539</v>
      </c>
      <c r="Q379" s="17"/>
      <c r="R379" s="17" t="s">
        <v>446</v>
      </c>
      <c r="S379" s="17"/>
      <c r="T379" s="17" t="s">
        <v>781</v>
      </c>
      <c r="U379" s="17" t="s">
        <v>892</v>
      </c>
      <c r="V379" s="17" t="s">
        <v>394</v>
      </c>
      <c r="W379" s="45" t="e">
        <f>VLOOKUP(V379,'Actor and Actress Success'!$A$1:$B$72,2,FALSE)</f>
        <v>#N/A</v>
      </c>
      <c r="X379" s="35">
        <v>1</v>
      </c>
      <c r="Y379" s="35"/>
      <c r="Z379" s="17" t="s">
        <v>1791</v>
      </c>
      <c r="AA379" s="17"/>
      <c r="AB379" s="45" t="e">
        <f>VLOOKUP(Z379,'Actor and Actress Success'!$A$1:$B$72,2,FALSE)</f>
        <v>#N/A</v>
      </c>
      <c r="AC379" s="35"/>
      <c r="AD379" s="17" t="s">
        <v>1792</v>
      </c>
      <c r="AE379" s="17"/>
      <c r="AF379" s="45" t="e">
        <f>VLOOKUP(AD379,'Actor and Actress Success'!$A$1:$B$72,2,FALSE)</f>
        <v>#N/A</v>
      </c>
      <c r="AG379" s="35"/>
      <c r="AH379" s="17" t="s">
        <v>1793</v>
      </c>
      <c r="AI379" s="17"/>
      <c r="AK379" s="45" t="e">
        <f>VLOOKUP(AH379,'Actor and Actress Success'!$A$1:$B$72,2,FALSE)</f>
        <v>#N/A</v>
      </c>
    </row>
    <row r="380" spans="1:37">
      <c r="A380" s="18">
        <v>385</v>
      </c>
      <c r="B380" s="8" t="s">
        <v>658</v>
      </c>
      <c r="C380" s="10">
        <v>2003</v>
      </c>
      <c r="D380" s="12">
        <v>37750</v>
      </c>
      <c r="E380" s="12"/>
      <c r="F380" t="s">
        <v>179</v>
      </c>
      <c r="G380" t="s">
        <v>179</v>
      </c>
      <c r="H380" s="22" t="s">
        <v>56</v>
      </c>
      <c r="I380" s="22">
        <v>155</v>
      </c>
      <c r="J380" s="22">
        <v>399</v>
      </c>
      <c r="K380" s="10">
        <v>0</v>
      </c>
      <c r="L380" s="20">
        <v>50000000</v>
      </c>
      <c r="M380" s="20">
        <v>122635000</v>
      </c>
      <c r="N380" s="20">
        <v>278786200</v>
      </c>
      <c r="O380" s="20"/>
      <c r="P380" s="17" t="s">
        <v>1794</v>
      </c>
      <c r="Q380" s="17"/>
      <c r="R380" s="17" t="s">
        <v>430</v>
      </c>
      <c r="S380" s="17"/>
      <c r="T380" s="17" t="s">
        <v>1794</v>
      </c>
      <c r="U380" s="17" t="s">
        <v>1377</v>
      </c>
      <c r="V380" s="17" t="s">
        <v>823</v>
      </c>
      <c r="W380" s="45">
        <f>VLOOKUP(V380,'Actor and Actress Success'!$A$1:$B$72,2,FALSE)</f>
        <v>38.461538461538467</v>
      </c>
      <c r="X380" s="35">
        <v>1</v>
      </c>
      <c r="Y380" s="35"/>
      <c r="Z380" s="17" t="s">
        <v>824</v>
      </c>
      <c r="AA380" s="17"/>
      <c r="AB380" s="45" t="e">
        <f>VLOOKUP(Z380,'Actor and Actress Success'!$A$1:$B$72,2,FALSE)</f>
        <v>#N/A</v>
      </c>
      <c r="AC380" s="35">
        <v>1</v>
      </c>
      <c r="AD380" s="17" t="s">
        <v>1321</v>
      </c>
      <c r="AE380" s="17"/>
      <c r="AF380" s="45" t="e">
        <f>VLOOKUP(AD380,'Actor and Actress Success'!$A$1:$B$72,2,FALSE)</f>
        <v>#N/A</v>
      </c>
      <c r="AG380" s="35"/>
      <c r="AH380" s="17" t="s">
        <v>934</v>
      </c>
      <c r="AI380" s="17"/>
      <c r="AK380" s="45" t="e">
        <f>VLOOKUP(AH380,'Actor and Actress Success'!$A$1:$B$72,2,FALSE)</f>
        <v>#N/A</v>
      </c>
    </row>
    <row r="381" spans="1:37">
      <c r="A381" s="18">
        <v>386</v>
      </c>
      <c r="B381" s="8" t="s">
        <v>659</v>
      </c>
      <c r="C381" s="10">
        <v>2003</v>
      </c>
      <c r="D381" s="12">
        <v>37813</v>
      </c>
      <c r="E381" s="12"/>
      <c r="F381" t="s">
        <v>179</v>
      </c>
      <c r="G381" t="s">
        <v>179</v>
      </c>
      <c r="H381" s="22" t="s">
        <v>50</v>
      </c>
      <c r="I381" s="22">
        <v>425</v>
      </c>
      <c r="J381" s="22">
        <v>334</v>
      </c>
      <c r="K381" s="10">
        <v>100</v>
      </c>
      <c r="L381" s="20">
        <v>160000000</v>
      </c>
      <c r="M381" s="20">
        <v>285240000</v>
      </c>
      <c r="N381" s="20">
        <v>777359660</v>
      </c>
      <c r="O381" s="20"/>
      <c r="P381" s="17" t="s">
        <v>484</v>
      </c>
      <c r="Q381" s="17"/>
      <c r="R381" s="17" t="s">
        <v>67</v>
      </c>
      <c r="S381" s="17"/>
      <c r="T381" s="17" t="s">
        <v>484</v>
      </c>
      <c r="U381" s="17" t="s">
        <v>1795</v>
      </c>
      <c r="V381" s="17" t="s">
        <v>429</v>
      </c>
      <c r="W381" s="45">
        <f>VLOOKUP(V381,'Actor and Actress Success'!$A$1:$B$72,2,FALSE)</f>
        <v>39.285714285714285</v>
      </c>
      <c r="X381" s="35">
        <v>1</v>
      </c>
      <c r="Y381" s="35">
        <f>'Star Economic history'!N4</f>
        <v>111900000</v>
      </c>
      <c r="Z381" s="17" t="s">
        <v>79</v>
      </c>
      <c r="AA381" s="17">
        <f>'Star Economic history'!N8</f>
        <v>100066666.66666667</v>
      </c>
      <c r="AB381" s="45">
        <f>VLOOKUP(Z381,'Actor and Actress Success'!$A$1:$B$72,2,FALSE)</f>
        <v>26.373626373626376</v>
      </c>
      <c r="AC381" s="35">
        <v>1</v>
      </c>
      <c r="AD381" s="17" t="s">
        <v>405</v>
      </c>
      <c r="AE381" s="17"/>
      <c r="AF381" s="45" t="e">
        <f>VLOOKUP(AD381,'Actor and Actress Success'!$A$1:$B$72,2,FALSE)</f>
        <v>#N/A</v>
      </c>
      <c r="AG381" s="35"/>
      <c r="AH381" s="17" t="s">
        <v>469</v>
      </c>
      <c r="AI381" s="17"/>
      <c r="AK381" s="45" t="e">
        <f>VLOOKUP(AH381,'Actor and Actress Success'!$A$1:$B$72,2,FALSE)</f>
        <v>#N/A</v>
      </c>
    </row>
    <row r="382" spans="1:37">
      <c r="A382" s="18">
        <v>387</v>
      </c>
      <c r="B382" s="8" t="s">
        <v>660</v>
      </c>
      <c r="C382" s="10">
        <v>2004</v>
      </c>
      <c r="D382" s="12">
        <v>38282</v>
      </c>
      <c r="E382" s="12"/>
      <c r="F382" t="s">
        <v>621</v>
      </c>
      <c r="G382" t="s">
        <v>621</v>
      </c>
      <c r="H382" s="22" t="s">
        <v>757</v>
      </c>
      <c r="I382" s="22">
        <v>235</v>
      </c>
      <c r="J382" s="22">
        <v>487</v>
      </c>
      <c r="K382" s="10">
        <v>0</v>
      </c>
      <c r="L382" s="20">
        <v>50000000</v>
      </c>
      <c r="M382" s="20">
        <v>101766000</v>
      </c>
      <c r="N382" s="20">
        <v>204875440</v>
      </c>
      <c r="O382" s="20"/>
      <c r="P382" s="17" t="s">
        <v>1796</v>
      </c>
      <c r="Q382" s="17"/>
      <c r="R382" s="17" t="s">
        <v>1635</v>
      </c>
      <c r="S382" s="17"/>
      <c r="T382" s="17" t="s">
        <v>1799</v>
      </c>
      <c r="U382" s="17" t="s">
        <v>1797</v>
      </c>
      <c r="V382" s="17" t="s">
        <v>772</v>
      </c>
      <c r="W382" s="45">
        <f>VLOOKUP(V382,'Actor and Actress Success'!$A$1:$B$72,2,FALSE)</f>
        <v>20.833333333333336</v>
      </c>
      <c r="X382" s="35">
        <v>1</v>
      </c>
      <c r="Y382" s="35"/>
      <c r="Z382" s="17" t="s">
        <v>514</v>
      </c>
      <c r="AA382" s="17"/>
      <c r="AB382" s="45" t="e">
        <f>VLOOKUP(Z382,'Actor and Actress Success'!$A$1:$B$72,2,FALSE)</f>
        <v>#N/A</v>
      </c>
      <c r="AC382" s="35">
        <v>1</v>
      </c>
      <c r="AD382" s="17" t="s">
        <v>1060</v>
      </c>
      <c r="AE382" s="17"/>
      <c r="AF382" s="45" t="e">
        <f>VLOOKUP(AD382,'Actor and Actress Success'!$A$1:$B$72,2,FALSE)</f>
        <v>#N/A</v>
      </c>
      <c r="AG382" s="35"/>
      <c r="AH382" s="17" t="s">
        <v>1798</v>
      </c>
      <c r="AI382" s="17"/>
      <c r="AK382" s="45" t="e">
        <f>VLOOKUP(AH382,'Actor and Actress Success'!$A$1:$B$72,2,FALSE)</f>
        <v>#N/A</v>
      </c>
    </row>
    <row r="383" spans="1:37">
      <c r="A383" s="18">
        <v>388</v>
      </c>
      <c r="B383" s="8" t="s">
        <v>661</v>
      </c>
      <c r="C383" s="10">
        <v>2004</v>
      </c>
      <c r="D383" s="12">
        <v>38149</v>
      </c>
      <c r="E383" s="12"/>
      <c r="F383" t="s">
        <v>621</v>
      </c>
      <c r="G383" t="s">
        <v>621</v>
      </c>
      <c r="H383" s="22" t="s">
        <v>6</v>
      </c>
      <c r="I383" s="22">
        <v>160</v>
      </c>
      <c r="J383" s="22">
        <v>492</v>
      </c>
      <c r="K383" s="10">
        <v>0</v>
      </c>
      <c r="L383" s="20">
        <v>25000000</v>
      </c>
      <c r="M383" s="20">
        <v>57380000</v>
      </c>
      <c r="N383" s="20">
        <v>137633320</v>
      </c>
      <c r="O383" s="20"/>
      <c r="P383" s="17" t="s">
        <v>483</v>
      </c>
      <c r="Q383" s="17"/>
      <c r="R383" s="17" t="s">
        <v>1800</v>
      </c>
      <c r="S383" s="17"/>
      <c r="T383" s="17" t="s">
        <v>483</v>
      </c>
      <c r="U383" s="17" t="s">
        <v>483</v>
      </c>
      <c r="V383" s="17" t="s">
        <v>1050</v>
      </c>
      <c r="W383" s="45" t="e">
        <f>VLOOKUP(V383,'Actor and Actress Success'!$A$1:$B$72,2,FALSE)</f>
        <v>#N/A</v>
      </c>
      <c r="X383" s="35">
        <v>1</v>
      </c>
      <c r="Y383" s="35"/>
      <c r="Z383" s="17" t="s">
        <v>1094</v>
      </c>
      <c r="AA383" s="17"/>
      <c r="AB383" s="45" t="e">
        <f>VLOOKUP(Z383,'Actor and Actress Success'!$A$1:$B$72,2,FALSE)</f>
        <v>#N/A</v>
      </c>
      <c r="AC383" s="35"/>
      <c r="AD383" s="17" t="s">
        <v>1801</v>
      </c>
      <c r="AE383" s="17"/>
      <c r="AF383" s="45" t="e">
        <f>VLOOKUP(AD383,'Actor and Actress Success'!$A$1:$B$72,2,FALSE)</f>
        <v>#N/A</v>
      </c>
      <c r="AG383" s="35">
        <v>1</v>
      </c>
      <c r="AH383" s="17" t="s">
        <v>1802</v>
      </c>
      <c r="AI383" s="17"/>
      <c r="AK383" s="45" t="e">
        <f>VLOOKUP(AH383,'Actor and Actress Success'!$A$1:$B$72,2,FALSE)</f>
        <v>#N/A</v>
      </c>
    </row>
    <row r="384" spans="1:37">
      <c r="A384" s="18">
        <v>389</v>
      </c>
      <c r="B384" s="8" t="s">
        <v>662</v>
      </c>
      <c r="C384" s="10">
        <v>2004</v>
      </c>
      <c r="D384" s="12">
        <v>38261</v>
      </c>
      <c r="E384" s="12"/>
      <c r="F384" t="s">
        <v>179</v>
      </c>
      <c r="G384" t="s">
        <v>179</v>
      </c>
      <c r="H384" s="22" t="s">
        <v>439</v>
      </c>
      <c r="I384" s="22">
        <v>140</v>
      </c>
      <c r="J384" s="22">
        <v>416</v>
      </c>
      <c r="K384" s="10">
        <v>0</v>
      </c>
      <c r="L384" s="20">
        <v>20000000</v>
      </c>
      <c r="M384" s="20">
        <v>52983000</v>
      </c>
      <c r="N384" s="20">
        <v>136429260</v>
      </c>
      <c r="O384" s="20"/>
      <c r="P384" s="17" t="s">
        <v>731</v>
      </c>
      <c r="Q384" s="17"/>
      <c r="R384" s="17" t="s">
        <v>1809</v>
      </c>
      <c r="S384" s="17"/>
      <c r="T384" s="17" t="s">
        <v>1803</v>
      </c>
      <c r="U384" s="17" t="s">
        <v>1804</v>
      </c>
      <c r="V384" s="17" t="s">
        <v>1805</v>
      </c>
      <c r="W384" s="45" t="e">
        <f>VLOOKUP(V384,'Actor and Actress Success'!$A$1:$B$72,2,FALSE)</f>
        <v>#N/A</v>
      </c>
      <c r="X384" s="35">
        <v>1</v>
      </c>
      <c r="Y384" s="35"/>
      <c r="Z384" s="17" t="s">
        <v>1806</v>
      </c>
      <c r="AA384" s="17"/>
      <c r="AB384" s="45" t="e">
        <f>VLOOKUP(Z384,'Actor and Actress Success'!$A$1:$B$72,2,FALSE)</f>
        <v>#N/A</v>
      </c>
      <c r="AC384" s="35"/>
      <c r="AD384" s="17" t="s">
        <v>1807</v>
      </c>
      <c r="AE384" s="17"/>
      <c r="AF384" s="45" t="e">
        <f>VLOOKUP(AD384,'Actor and Actress Success'!$A$1:$B$72,2,FALSE)</f>
        <v>#N/A</v>
      </c>
      <c r="AG384" s="35"/>
      <c r="AH384" s="17" t="s">
        <v>1808</v>
      </c>
      <c r="AI384" s="17"/>
      <c r="AK384" s="45" t="e">
        <f>VLOOKUP(AH384,'Actor and Actress Success'!$A$1:$B$72,2,FALSE)</f>
        <v>#N/A</v>
      </c>
    </row>
    <row r="385" spans="1:37">
      <c r="A385" s="18">
        <v>390</v>
      </c>
      <c r="B385" s="8" t="s">
        <v>663</v>
      </c>
      <c r="C385" s="10">
        <v>2004</v>
      </c>
      <c r="D385" s="12">
        <v>38303</v>
      </c>
      <c r="E385" s="12"/>
      <c r="F385" t="s">
        <v>179</v>
      </c>
      <c r="G385" t="s">
        <v>179</v>
      </c>
      <c r="H385" s="22" t="s">
        <v>408</v>
      </c>
      <c r="I385" s="22">
        <v>375</v>
      </c>
      <c r="J385" s="22">
        <v>368</v>
      </c>
      <c r="K385" s="10">
        <v>64.38</v>
      </c>
      <c r="L385" s="20">
        <v>110000000</v>
      </c>
      <c r="M385" s="20">
        <v>260475000</v>
      </c>
      <c r="N385" s="20">
        <v>487644300</v>
      </c>
      <c r="O385" s="20"/>
      <c r="P385" s="17" t="s">
        <v>448</v>
      </c>
      <c r="Q385" s="17"/>
      <c r="R385" s="17" t="s">
        <v>950</v>
      </c>
      <c r="S385" s="17"/>
      <c r="T385" s="17" t="s">
        <v>1783</v>
      </c>
      <c r="U385" s="17" t="s">
        <v>1777</v>
      </c>
      <c r="V385" s="17" t="s">
        <v>397</v>
      </c>
      <c r="W385" s="45">
        <f>VLOOKUP(V385,'Actor and Actress Success'!$A$1:$B$72,2,FALSE)</f>
        <v>44.117647058823529</v>
      </c>
      <c r="X385" s="35">
        <v>1</v>
      </c>
      <c r="Y385" s="35">
        <f>'Star Economic history'!O6</f>
        <v>118975000</v>
      </c>
      <c r="Z385" s="17" t="s">
        <v>788</v>
      </c>
      <c r="AA385" s="17"/>
      <c r="AB385" s="45">
        <f>VLOOKUP(Z385,'Actor and Actress Success'!$A$1:$B$72,2,FALSE)</f>
        <v>45.652173913043477</v>
      </c>
      <c r="AC385" s="35">
        <v>1</v>
      </c>
      <c r="AD385" s="17" t="s">
        <v>803</v>
      </c>
      <c r="AE385" s="17"/>
      <c r="AF385" s="45">
        <f>VLOOKUP(AD385,'Actor and Actress Success'!$A$1:$B$72,2,FALSE)</f>
        <v>45</v>
      </c>
      <c r="AG385" s="35">
        <v>1</v>
      </c>
      <c r="AH385" s="17" t="s">
        <v>60</v>
      </c>
      <c r="AI385" s="17"/>
      <c r="AK385" s="45" t="e">
        <f>VLOOKUP(AH385,'Actor and Actress Success'!$A$1:$B$72,2,FALSE)</f>
        <v>#N/A</v>
      </c>
    </row>
    <row r="386" spans="1:37">
      <c r="A386" s="18">
        <v>391</v>
      </c>
      <c r="B386" s="8" t="s">
        <v>664</v>
      </c>
      <c r="C386" s="10">
        <v>2005</v>
      </c>
      <c r="D386" s="12">
        <v>38597</v>
      </c>
      <c r="E386" s="12"/>
      <c r="F386" t="s">
        <v>621</v>
      </c>
      <c r="G386" t="s">
        <v>621</v>
      </c>
      <c r="H386" s="22" t="s">
        <v>56</v>
      </c>
      <c r="I386" s="22">
        <v>225</v>
      </c>
      <c r="J386" s="22">
        <v>488</v>
      </c>
      <c r="K386" s="10">
        <v>0</v>
      </c>
      <c r="L386" s="20">
        <v>45000000</v>
      </c>
      <c r="M386" s="20">
        <v>93225000</v>
      </c>
      <c r="N386" s="20">
        <v>201726360</v>
      </c>
      <c r="O386" s="20"/>
      <c r="P386" s="17" t="s">
        <v>1810</v>
      </c>
      <c r="Q386" s="17"/>
      <c r="R386" s="17" t="s">
        <v>950</v>
      </c>
      <c r="S386" s="17"/>
      <c r="T386" s="17" t="s">
        <v>1810</v>
      </c>
      <c r="U386" s="17" t="s">
        <v>1811</v>
      </c>
      <c r="V386" s="17" t="s">
        <v>931</v>
      </c>
      <c r="W386" s="45">
        <f>VLOOKUP(V386,'Actor and Actress Success'!$A$1:$B$72,2,FALSE)</f>
        <v>31.428571428571427</v>
      </c>
      <c r="X386" s="35">
        <v>1</v>
      </c>
      <c r="Y386" s="35"/>
      <c r="Z386" s="17" t="s">
        <v>1082</v>
      </c>
      <c r="AA386" s="17"/>
      <c r="AB386" s="45" t="e">
        <f>VLOOKUP(Z386,'Actor and Actress Success'!$A$1:$B$72,2,FALSE)</f>
        <v>#N/A</v>
      </c>
      <c r="AC386" s="35">
        <v>1</v>
      </c>
      <c r="AD386" s="17" t="s">
        <v>1657</v>
      </c>
      <c r="AE386" s="17"/>
      <c r="AF386" s="45" t="e">
        <f>VLOOKUP(AD386,'Actor and Actress Success'!$A$1:$B$72,2,FALSE)</f>
        <v>#N/A</v>
      </c>
      <c r="AG386" s="35">
        <v>1</v>
      </c>
      <c r="AH386" s="17" t="s">
        <v>1812</v>
      </c>
      <c r="AI386" s="17"/>
      <c r="AK386" s="45" t="e">
        <f>VLOOKUP(AH386,'Actor and Actress Success'!$A$1:$B$72,2,FALSE)</f>
        <v>#N/A</v>
      </c>
    </row>
    <row r="387" spans="1:37">
      <c r="A387" s="18">
        <v>392</v>
      </c>
      <c r="B387" s="8" t="s">
        <v>92</v>
      </c>
      <c r="C387" s="10">
        <v>2005</v>
      </c>
      <c r="D387" s="12">
        <v>38583</v>
      </c>
      <c r="E387" s="12"/>
      <c r="F387" t="s">
        <v>621</v>
      </c>
      <c r="G387" t="s">
        <v>621</v>
      </c>
      <c r="H387" s="22" t="s">
        <v>56</v>
      </c>
      <c r="I387" s="22">
        <v>375</v>
      </c>
      <c r="J387" s="22">
        <v>473</v>
      </c>
      <c r="K387" s="10">
        <v>50</v>
      </c>
      <c r="L387" s="20">
        <v>100000000</v>
      </c>
      <c r="M387" s="20">
        <v>195600000</v>
      </c>
      <c r="N387" s="20">
        <v>309536040</v>
      </c>
      <c r="O387" s="20"/>
      <c r="P387" s="17" t="s">
        <v>711</v>
      </c>
      <c r="Q387" s="17"/>
      <c r="R387" s="17" t="s">
        <v>67</v>
      </c>
      <c r="S387" s="17"/>
      <c r="T387" s="17" t="s">
        <v>711</v>
      </c>
      <c r="U387" s="17" t="s">
        <v>1813</v>
      </c>
      <c r="V387" s="17" t="s">
        <v>435</v>
      </c>
      <c r="W387" s="45">
        <f>VLOOKUP(V387,'Actor and Actress Success'!$A$1:$B$72,2,FALSE)</f>
        <v>24.324324324324326</v>
      </c>
      <c r="X387" s="35">
        <v>1</v>
      </c>
      <c r="Y387" s="35"/>
      <c r="Z387" s="17" t="s">
        <v>803</v>
      </c>
      <c r="AA387" s="17"/>
      <c r="AB387" s="45">
        <f>VLOOKUP(Z387,'Actor and Actress Success'!$A$1:$B$72,2,FALSE)</f>
        <v>45</v>
      </c>
      <c r="AC387" s="35">
        <v>1</v>
      </c>
      <c r="AD387" s="17" t="s">
        <v>818</v>
      </c>
      <c r="AE387" s="17"/>
      <c r="AF387" s="45">
        <f>VLOOKUP(AD387,'Actor and Actress Success'!$A$1:$B$72,2,FALSE)</f>
        <v>30</v>
      </c>
      <c r="AG387" s="35">
        <v>1</v>
      </c>
      <c r="AH387" s="17" t="s">
        <v>1189</v>
      </c>
      <c r="AI387" s="17"/>
      <c r="AK387" s="45" t="e">
        <f>VLOOKUP(AH387,'Actor and Actress Success'!$A$1:$B$72,2,FALSE)</f>
        <v>#N/A</v>
      </c>
    </row>
    <row r="388" spans="1:37">
      <c r="A388" s="18">
        <v>393</v>
      </c>
      <c r="B388" s="8" t="s">
        <v>665</v>
      </c>
      <c r="C388" s="10">
        <v>2005</v>
      </c>
      <c r="D388" s="12">
        <v>38590</v>
      </c>
      <c r="E388" s="12"/>
      <c r="F388" t="s">
        <v>179</v>
      </c>
      <c r="G388" t="s">
        <v>179</v>
      </c>
      <c r="H388" s="22" t="s">
        <v>6</v>
      </c>
      <c r="I388" s="22">
        <v>70</v>
      </c>
      <c r="J388" s="22">
        <v>420</v>
      </c>
      <c r="K388" s="10">
        <v>100</v>
      </c>
      <c r="L388" s="20">
        <v>22500000</v>
      </c>
      <c r="M388" s="20">
        <v>56068750</v>
      </c>
      <c r="N388" s="20">
        <v>61870160</v>
      </c>
      <c r="O388" s="20"/>
      <c r="P388" s="17" t="s">
        <v>1814</v>
      </c>
      <c r="Q388" s="17"/>
      <c r="R388" s="17" t="s">
        <v>1816</v>
      </c>
      <c r="S388" s="17"/>
      <c r="T388" s="17" t="s">
        <v>1814</v>
      </c>
      <c r="U388" s="17" t="s">
        <v>1814</v>
      </c>
      <c r="V388" s="17" t="s">
        <v>396</v>
      </c>
      <c r="W388" s="45" t="e">
        <f>VLOOKUP(V388,'Actor and Actress Success'!$A$1:$B$72,2,FALSE)</f>
        <v>#N/A</v>
      </c>
      <c r="X388" s="35">
        <v>1</v>
      </c>
      <c r="Y388" s="35"/>
      <c r="Z388" s="17" t="s">
        <v>1167</v>
      </c>
      <c r="AA388" s="17"/>
      <c r="AB388" s="45" t="e">
        <f>VLOOKUP(Z388,'Actor and Actress Success'!$A$1:$B$72,2,FALSE)</f>
        <v>#N/A</v>
      </c>
      <c r="AC388" s="35"/>
      <c r="AD388" s="17" t="s">
        <v>808</v>
      </c>
      <c r="AE388" s="17"/>
      <c r="AF388" s="45" t="e">
        <f>VLOOKUP(AD388,'Actor and Actress Success'!$A$1:$B$72,2,FALSE)</f>
        <v>#N/A</v>
      </c>
      <c r="AG388" s="35">
        <v>1</v>
      </c>
      <c r="AH388" s="17" t="s">
        <v>1815</v>
      </c>
      <c r="AI388" s="17"/>
      <c r="AK388" s="45" t="e">
        <f>VLOOKUP(AH388,'Actor and Actress Success'!$A$1:$B$72,2,FALSE)</f>
        <v>#N/A</v>
      </c>
    </row>
    <row r="389" spans="1:37">
      <c r="A389" s="18">
        <v>394</v>
      </c>
      <c r="B389" s="8" t="s">
        <v>666</v>
      </c>
      <c r="C389" s="10">
        <v>2005</v>
      </c>
      <c r="D389" s="12">
        <v>38436</v>
      </c>
      <c r="E389" s="12"/>
      <c r="F389" t="s">
        <v>179</v>
      </c>
      <c r="G389" t="s">
        <v>179</v>
      </c>
      <c r="H389" s="22" t="s">
        <v>408</v>
      </c>
      <c r="I389" s="22">
        <v>275</v>
      </c>
      <c r="J389" s="22">
        <v>404</v>
      </c>
      <c r="K389" s="10">
        <v>0</v>
      </c>
      <c r="L389" s="20">
        <v>50000000</v>
      </c>
      <c r="M389" s="20">
        <v>110631250</v>
      </c>
      <c r="N389" s="20">
        <v>221732280</v>
      </c>
      <c r="O389" s="20"/>
      <c r="P389" s="17" t="s">
        <v>1185</v>
      </c>
      <c r="Q389" s="17"/>
      <c r="R389" s="17" t="s">
        <v>1817</v>
      </c>
      <c r="S389" s="17"/>
      <c r="T389" s="17" t="s">
        <v>1185</v>
      </c>
      <c r="U389" s="17" t="s">
        <v>1734</v>
      </c>
      <c r="V389" s="17" t="s">
        <v>931</v>
      </c>
      <c r="W389" s="45">
        <f>VLOOKUP(V389,'Actor and Actress Success'!$A$1:$B$72,2,FALSE)</f>
        <v>31.428571428571427</v>
      </c>
      <c r="X389" s="35">
        <v>1</v>
      </c>
      <c r="Y389" s="35"/>
      <c r="Z389" s="17" t="s">
        <v>1818</v>
      </c>
      <c r="AA389" s="17"/>
      <c r="AB389" s="45" t="e">
        <f>VLOOKUP(Z389,'Actor and Actress Success'!$A$1:$B$72,2,FALSE)</f>
        <v>#N/A</v>
      </c>
      <c r="AC389" s="35">
        <v>1</v>
      </c>
      <c r="AD389" s="17" t="s">
        <v>1819</v>
      </c>
      <c r="AE389" s="17"/>
      <c r="AF389" s="45" t="e">
        <f>VLOOKUP(AD389,'Actor and Actress Success'!$A$1:$B$72,2,FALSE)</f>
        <v>#N/A</v>
      </c>
      <c r="AG389" s="35">
        <v>1</v>
      </c>
      <c r="AH389" s="17" t="s">
        <v>1820</v>
      </c>
      <c r="AI389" s="17"/>
      <c r="AK389" s="45" t="e">
        <f>VLOOKUP(AH389,'Actor and Actress Success'!$A$1:$B$72,2,FALSE)</f>
        <v>#N/A</v>
      </c>
    </row>
    <row r="390" spans="1:37">
      <c r="A390" s="18">
        <v>395</v>
      </c>
      <c r="B390" s="8" t="s">
        <v>667</v>
      </c>
      <c r="C390" s="10">
        <v>2006</v>
      </c>
      <c r="D390" s="12">
        <v>38982</v>
      </c>
      <c r="E390" s="12"/>
      <c r="F390" t="s">
        <v>621</v>
      </c>
      <c r="G390" t="s">
        <v>621</v>
      </c>
      <c r="H390" s="22" t="s">
        <v>439</v>
      </c>
      <c r="I390" s="22">
        <v>125</v>
      </c>
      <c r="J390" s="22">
        <v>505</v>
      </c>
      <c r="K390" s="10">
        <v>65</v>
      </c>
      <c r="L390" s="20">
        <v>37500000</v>
      </c>
      <c r="M390" s="20">
        <v>66773750</v>
      </c>
      <c r="N390" s="20">
        <v>71317400</v>
      </c>
      <c r="O390" s="20"/>
      <c r="P390" s="17" t="s">
        <v>1821</v>
      </c>
      <c r="Q390" s="17"/>
      <c r="R390" s="17" t="s">
        <v>1823</v>
      </c>
      <c r="S390" s="17"/>
      <c r="T390" s="17" t="s">
        <v>834</v>
      </c>
      <c r="U390" s="17" t="s">
        <v>834</v>
      </c>
      <c r="V390" s="17" t="s">
        <v>411</v>
      </c>
      <c r="W390" s="45" t="e">
        <f>VLOOKUP(V390,'Actor and Actress Success'!$A$1:$B$72,2,FALSE)</f>
        <v>#N/A</v>
      </c>
      <c r="X390" s="35">
        <v>1</v>
      </c>
      <c r="Y390" s="35"/>
      <c r="Z390" s="17" t="s">
        <v>811</v>
      </c>
      <c r="AA390" s="17"/>
      <c r="AB390" s="45" t="e">
        <f>VLOOKUP(Z390,'Actor and Actress Success'!$A$1:$B$72,2,FALSE)</f>
        <v>#N/A</v>
      </c>
      <c r="AC390" s="35">
        <v>1</v>
      </c>
      <c r="AD390" s="17" t="s">
        <v>1329</v>
      </c>
      <c r="AE390" s="17"/>
      <c r="AF390" s="45" t="e">
        <f>VLOOKUP(AD390,'Actor and Actress Success'!$A$1:$B$72,2,FALSE)</f>
        <v>#N/A</v>
      </c>
      <c r="AG390" s="35"/>
      <c r="AH390" s="17" t="s">
        <v>1822</v>
      </c>
      <c r="AI390" s="17"/>
      <c r="AK390" s="45" t="e">
        <f>VLOOKUP(AH390,'Actor and Actress Success'!$A$1:$B$72,2,FALSE)</f>
        <v>#N/A</v>
      </c>
    </row>
    <row r="391" spans="1:37">
      <c r="A391" s="18">
        <v>396</v>
      </c>
      <c r="B391" s="8" t="s">
        <v>668</v>
      </c>
      <c r="C391" s="10">
        <v>2006</v>
      </c>
      <c r="D391" s="12">
        <v>38982</v>
      </c>
      <c r="E391" s="12"/>
      <c r="F391" t="s">
        <v>621</v>
      </c>
      <c r="G391" t="s">
        <v>621</v>
      </c>
      <c r="H391" s="22" t="s">
        <v>439</v>
      </c>
      <c r="I391" s="22">
        <v>225</v>
      </c>
      <c r="J391" s="22">
        <v>490</v>
      </c>
      <c r="K391" s="10">
        <v>0</v>
      </c>
      <c r="L391" s="20">
        <v>65000000</v>
      </c>
      <c r="M391" s="20">
        <v>121890000</v>
      </c>
      <c r="N391" s="20">
        <v>1438860</v>
      </c>
      <c r="O391" s="20"/>
      <c r="P391" s="17" t="s">
        <v>1824</v>
      </c>
      <c r="Q391" s="17"/>
      <c r="R391" s="17" t="s">
        <v>801</v>
      </c>
      <c r="S391" s="17"/>
      <c r="T391" s="17" t="s">
        <v>1824</v>
      </c>
      <c r="U391" s="17" t="s">
        <v>1830</v>
      </c>
      <c r="V391" s="17" t="s">
        <v>1825</v>
      </c>
      <c r="W391" s="45" t="e">
        <f>VLOOKUP(V391,'Actor and Actress Success'!$A$1:$B$72,2,FALSE)</f>
        <v>#N/A</v>
      </c>
      <c r="X391" s="35">
        <v>1</v>
      </c>
      <c r="Y391" s="35"/>
      <c r="Z391" s="17" t="s">
        <v>939</v>
      </c>
      <c r="AA391" s="17"/>
      <c r="AB391" s="45" t="e">
        <f>VLOOKUP(Z391,'Actor and Actress Success'!$A$1:$B$72,2,FALSE)</f>
        <v>#N/A</v>
      </c>
      <c r="AC391" s="35">
        <v>1</v>
      </c>
      <c r="AD391" s="17" t="s">
        <v>1065</v>
      </c>
      <c r="AE391" s="17"/>
      <c r="AF391" s="45" t="e">
        <f>VLOOKUP(AD391,'Actor and Actress Success'!$A$1:$B$72,2,FALSE)</f>
        <v>#N/A</v>
      </c>
      <c r="AG391" s="35"/>
      <c r="AH391" s="17" t="s">
        <v>1826</v>
      </c>
      <c r="AI391" s="17"/>
      <c r="AK391" s="45" t="e">
        <f>VLOOKUP(AH391,'Actor and Actress Success'!$A$1:$B$72,2,FALSE)</f>
        <v>#N/A</v>
      </c>
    </row>
    <row r="392" spans="1:37">
      <c r="A392" s="18">
        <v>397</v>
      </c>
      <c r="B392" s="8" t="s">
        <v>669</v>
      </c>
      <c r="C392" s="10">
        <v>2006</v>
      </c>
      <c r="D392" s="12">
        <v>38849</v>
      </c>
      <c r="E392" s="12"/>
      <c r="F392" t="s">
        <v>179</v>
      </c>
      <c r="G392" t="s">
        <v>179</v>
      </c>
      <c r="H392" s="22" t="s">
        <v>439</v>
      </c>
      <c r="I392" s="22">
        <v>275</v>
      </c>
      <c r="J392" s="22">
        <v>402</v>
      </c>
      <c r="K392" s="10">
        <v>0</v>
      </c>
      <c r="L392" s="20">
        <v>75000000</v>
      </c>
      <c r="M392" s="20">
        <v>135150000</v>
      </c>
      <c r="N392" s="20">
        <v>238403880</v>
      </c>
      <c r="O392" s="20"/>
      <c r="P392" s="17" t="s">
        <v>1827</v>
      </c>
      <c r="Q392" s="17"/>
      <c r="R392" s="17" t="s">
        <v>950</v>
      </c>
      <c r="S392" s="17"/>
      <c r="T392" s="17" t="s">
        <v>1831</v>
      </c>
      <c r="U392" s="17" t="s">
        <v>1832</v>
      </c>
      <c r="V392" s="17" t="s">
        <v>817</v>
      </c>
      <c r="W392" s="45" t="e">
        <f>VLOOKUP(V392,'Actor and Actress Success'!$A$1:$B$72,2,FALSE)</f>
        <v>#N/A</v>
      </c>
      <c r="X392" s="35">
        <v>1</v>
      </c>
      <c r="Y392" s="35"/>
      <c r="Z392" s="17" t="s">
        <v>1028</v>
      </c>
      <c r="AA392" s="17"/>
      <c r="AB392" s="45" t="e">
        <f>VLOOKUP(Z392,'Actor and Actress Success'!$A$1:$B$72,2,FALSE)</f>
        <v>#N/A</v>
      </c>
      <c r="AC392" s="35">
        <v>1</v>
      </c>
      <c r="AD392" s="17" t="s">
        <v>1828</v>
      </c>
      <c r="AE392" s="17"/>
      <c r="AF392" s="45" t="e">
        <f>VLOOKUP(AD392,'Actor and Actress Success'!$A$1:$B$72,2,FALSE)</f>
        <v>#N/A</v>
      </c>
      <c r="AG392" s="35"/>
      <c r="AH392" s="17" t="s">
        <v>1829</v>
      </c>
      <c r="AI392" s="17"/>
      <c r="AJ392" s="34">
        <v>1</v>
      </c>
      <c r="AK392" s="45" t="e">
        <f>VLOOKUP(AH392,'Actor and Actress Success'!$A$1:$B$72,2,FALSE)</f>
        <v>#N/A</v>
      </c>
    </row>
    <row r="393" spans="1:37">
      <c r="A393" s="18">
        <v>398</v>
      </c>
      <c r="B393" s="8" t="s">
        <v>670</v>
      </c>
      <c r="C393" s="10">
        <v>2006</v>
      </c>
      <c r="D393" s="12">
        <v>38905</v>
      </c>
      <c r="E393" s="12"/>
      <c r="F393" t="s">
        <v>179</v>
      </c>
      <c r="G393" t="s">
        <v>179</v>
      </c>
      <c r="H393" s="22" t="s">
        <v>6</v>
      </c>
      <c r="I393" s="22">
        <v>250</v>
      </c>
      <c r="J393" s="22">
        <v>407</v>
      </c>
      <c r="K393" s="10">
        <v>0</v>
      </c>
      <c r="L393" s="20">
        <v>67500000</v>
      </c>
      <c r="M393" s="20">
        <v>150560000</v>
      </c>
      <c r="N393" s="20">
        <v>208950720</v>
      </c>
      <c r="O393" s="20"/>
      <c r="P393" s="17" t="s">
        <v>1712</v>
      </c>
      <c r="Q393" s="17"/>
      <c r="R393" s="17" t="s">
        <v>1833</v>
      </c>
      <c r="S393" s="17"/>
      <c r="T393" s="17" t="s">
        <v>1712</v>
      </c>
      <c r="U393" s="17" t="s">
        <v>1834</v>
      </c>
      <c r="V393" s="17" t="s">
        <v>818</v>
      </c>
      <c r="W393" s="45">
        <f>VLOOKUP(V393,'Actor and Actress Success'!$A$1:$B$72,2,FALSE)</f>
        <v>30</v>
      </c>
      <c r="X393" s="35">
        <v>1</v>
      </c>
      <c r="Y393" s="35"/>
      <c r="Z393" s="17" t="s">
        <v>1102</v>
      </c>
      <c r="AA393" s="17"/>
      <c r="AB393" s="45" t="e">
        <f>VLOOKUP(Z393,'Actor and Actress Success'!$A$1:$B$72,2,FALSE)</f>
        <v>#N/A</v>
      </c>
      <c r="AC393" s="35">
        <v>1</v>
      </c>
      <c r="AD393" s="17" t="s">
        <v>1074</v>
      </c>
      <c r="AE393" s="17"/>
      <c r="AF393" s="45" t="e">
        <f>VLOOKUP(AD393,'Actor and Actress Success'!$A$1:$B$72,2,FALSE)</f>
        <v>#N/A</v>
      </c>
      <c r="AG393" s="35"/>
      <c r="AH393" s="17" t="s">
        <v>437</v>
      </c>
      <c r="AI393" s="17"/>
      <c r="AK393" s="45" t="e">
        <f>VLOOKUP(AH393,'Actor and Actress Success'!$A$1:$B$72,2,FALSE)</f>
        <v>#N/A</v>
      </c>
    </row>
    <row r="394" spans="1:37">
      <c r="A394" s="18">
        <v>399</v>
      </c>
      <c r="B394" s="8" t="s">
        <v>671</v>
      </c>
      <c r="C394" s="10">
        <v>2007</v>
      </c>
      <c r="D394" s="12">
        <v>39248</v>
      </c>
      <c r="E394" s="12"/>
      <c r="F394" t="s">
        <v>621</v>
      </c>
      <c r="G394" t="s">
        <v>621</v>
      </c>
      <c r="H394" s="22" t="s">
        <v>547</v>
      </c>
      <c r="I394" s="22">
        <v>950</v>
      </c>
      <c r="J394" s="22">
        <v>449</v>
      </c>
      <c r="K394" s="10">
        <v>10</v>
      </c>
      <c r="L394" s="20">
        <v>270000000</v>
      </c>
      <c r="M394" s="20">
        <v>485250000</v>
      </c>
      <c r="N394" s="20">
        <v>534787880</v>
      </c>
      <c r="O394" s="20"/>
      <c r="P394" s="17" t="s">
        <v>906</v>
      </c>
      <c r="Q394" s="17"/>
      <c r="R394" s="17" t="s">
        <v>900</v>
      </c>
      <c r="S394" s="17"/>
      <c r="T394" s="17" t="s">
        <v>906</v>
      </c>
      <c r="U394" s="17" t="s">
        <v>1088</v>
      </c>
      <c r="V394" s="17" t="s">
        <v>802</v>
      </c>
      <c r="W394" s="45">
        <f>VLOOKUP(V394,'Actor and Actress Success'!$A$1:$B$72,2,FALSE)</f>
        <v>35.714285714285715</v>
      </c>
      <c r="X394" s="35">
        <v>1</v>
      </c>
      <c r="Y394" s="35"/>
      <c r="Z394" s="17" t="s">
        <v>435</v>
      </c>
      <c r="AA394" s="17"/>
      <c r="AB394" s="45">
        <f>VLOOKUP(Z394,'Actor and Actress Success'!$A$1:$B$72,2,FALSE)</f>
        <v>24.324324324324326</v>
      </c>
      <c r="AC394" s="35">
        <v>1</v>
      </c>
      <c r="AD394" s="17" t="s">
        <v>449</v>
      </c>
      <c r="AE394" s="17"/>
      <c r="AF394" s="45">
        <f>VLOOKUP(AD394,'Actor and Actress Success'!$A$1:$B$72,2,FALSE)</f>
        <v>42.307692307692307</v>
      </c>
      <c r="AG394" s="35">
        <v>1</v>
      </c>
      <c r="AH394" s="17" t="s">
        <v>830</v>
      </c>
      <c r="AI394" s="17"/>
      <c r="AJ394" s="34">
        <v>1</v>
      </c>
      <c r="AK394" s="45">
        <f>VLOOKUP(AH394,'Actor and Actress Success'!$A$1:$B$72,2,FALSE)</f>
        <v>32</v>
      </c>
    </row>
    <row r="395" spans="1:37">
      <c r="A395" s="18">
        <v>400</v>
      </c>
      <c r="B395" s="8" t="s">
        <v>672</v>
      </c>
      <c r="C395" s="10">
        <v>2007</v>
      </c>
      <c r="D395" s="12">
        <v>39115</v>
      </c>
      <c r="E395" s="12"/>
      <c r="F395" t="s">
        <v>179</v>
      </c>
      <c r="G395" t="s">
        <v>179</v>
      </c>
      <c r="H395" s="22" t="s">
        <v>6</v>
      </c>
      <c r="I395" s="10">
        <v>325</v>
      </c>
      <c r="J395" s="10">
        <v>411</v>
      </c>
      <c r="K395" s="10">
        <v>0</v>
      </c>
      <c r="L395" s="20">
        <v>52500000</v>
      </c>
      <c r="M395" s="20">
        <v>121120000</v>
      </c>
      <c r="N395" s="20">
        <v>166345520</v>
      </c>
      <c r="O395" s="20"/>
      <c r="P395" s="17" t="s">
        <v>1712</v>
      </c>
      <c r="Q395" s="17"/>
      <c r="R395" s="17" t="s">
        <v>1833</v>
      </c>
      <c r="S395" s="17"/>
      <c r="T395" s="17" t="s">
        <v>1837</v>
      </c>
      <c r="U395" s="17" t="s">
        <v>1837</v>
      </c>
      <c r="V395" s="17" t="s">
        <v>1477</v>
      </c>
      <c r="W395" s="45" t="e">
        <f>VLOOKUP(V395,'Actor and Actress Success'!$A$1:$B$72,2,FALSE)</f>
        <v>#N/A</v>
      </c>
      <c r="X395" s="35">
        <v>1</v>
      </c>
      <c r="Y395" s="35"/>
      <c r="Z395" s="17" t="s">
        <v>1835</v>
      </c>
      <c r="AA395" s="17"/>
      <c r="AB395" s="45" t="e">
        <f>VLOOKUP(Z395,'Actor and Actress Success'!$A$1:$B$72,2,FALSE)</f>
        <v>#N/A</v>
      </c>
      <c r="AC395" s="35">
        <v>1</v>
      </c>
      <c r="AD395" s="17" t="s">
        <v>1836</v>
      </c>
      <c r="AE395" s="17"/>
      <c r="AF395" s="45" t="e">
        <f>VLOOKUP(AD395,'Actor and Actress Success'!$A$1:$B$72,2,FALSE)</f>
        <v>#N/A</v>
      </c>
      <c r="AG395" s="35"/>
      <c r="AH395" s="17" t="s">
        <v>1065</v>
      </c>
      <c r="AI395" s="17"/>
      <c r="AK395" s="45" t="e">
        <f>VLOOKUP(AH395,'Actor and Actress Success'!$A$1:$B$72,2,FALSE)</f>
        <v>#N/A</v>
      </c>
    </row>
    <row r="396" spans="1:37">
      <c r="A396" s="18">
        <v>401</v>
      </c>
      <c r="B396" s="8" t="s">
        <v>673</v>
      </c>
      <c r="C396" s="10">
        <v>2007</v>
      </c>
      <c r="D396" s="12">
        <v>39136</v>
      </c>
      <c r="F396" t="s">
        <v>179</v>
      </c>
      <c r="G396" t="s">
        <v>179</v>
      </c>
      <c r="H396" t="s">
        <v>547</v>
      </c>
      <c r="I396" s="10">
        <v>350</v>
      </c>
      <c r="J396" s="10">
        <v>409</v>
      </c>
      <c r="K396" s="10">
        <v>0</v>
      </c>
      <c r="L396" s="1">
        <v>100000000</v>
      </c>
      <c r="M396" s="1">
        <v>165160000</v>
      </c>
      <c r="N396" s="1">
        <v>190426720</v>
      </c>
      <c r="O396" s="1"/>
      <c r="P396" s="17" t="s">
        <v>1378</v>
      </c>
      <c r="Q396" s="17"/>
      <c r="R396" s="17" t="s">
        <v>805</v>
      </c>
      <c r="S396" s="17"/>
      <c r="T396" s="17" t="s">
        <v>1378</v>
      </c>
      <c r="U396" s="17" t="s">
        <v>1461</v>
      </c>
      <c r="V396" s="17" t="s">
        <v>1265</v>
      </c>
      <c r="W396" s="45" t="e">
        <f>VLOOKUP(V396,'Actor and Actress Success'!$A$1:$B$72,2,FALSE)</f>
        <v>#N/A</v>
      </c>
      <c r="X396" s="35">
        <v>1</v>
      </c>
      <c r="Y396" s="35"/>
      <c r="Z396" s="17" t="s">
        <v>1108</v>
      </c>
      <c r="AA396" s="17"/>
      <c r="AB396" s="45" t="e">
        <f>VLOOKUP(Z396,'Actor and Actress Success'!$A$1:$B$72,2,FALSE)</f>
        <v>#N/A</v>
      </c>
      <c r="AC396" s="35">
        <v>1</v>
      </c>
      <c r="AD396" s="17" t="s">
        <v>1290</v>
      </c>
      <c r="AE396" s="17"/>
      <c r="AF396" s="45" t="e">
        <f>VLOOKUP(AD396,'Actor and Actress Success'!$A$1:$B$72,2,FALSE)</f>
        <v>#N/A</v>
      </c>
      <c r="AG396" s="35"/>
      <c r="AH396" s="17" t="s">
        <v>811</v>
      </c>
      <c r="AI396" s="17"/>
      <c r="AK396" s="45" t="e">
        <f>VLOOKUP(AH396,'Actor and Actress Success'!$A$1:$B$72,2,FALSE)</f>
        <v>#N/A</v>
      </c>
    </row>
    <row r="397" spans="1:37">
      <c r="A397" s="18">
        <v>402</v>
      </c>
      <c r="B397" s="8" t="s">
        <v>674</v>
      </c>
      <c r="C397" s="10">
        <v>2007</v>
      </c>
      <c r="D397" s="12">
        <v>39262</v>
      </c>
      <c r="E397" s="12"/>
      <c r="F397" t="s">
        <v>179</v>
      </c>
      <c r="G397" t="s">
        <v>179</v>
      </c>
      <c r="H397" t="s">
        <v>6</v>
      </c>
      <c r="I397" s="10">
        <v>550</v>
      </c>
      <c r="J397" s="10">
        <v>390</v>
      </c>
      <c r="K397" s="10">
        <v>95</v>
      </c>
      <c r="L397" s="1">
        <v>90000000</v>
      </c>
      <c r="M397" s="1">
        <v>191600000</v>
      </c>
      <c r="N397" s="1">
        <v>333339380</v>
      </c>
      <c r="O397" s="1"/>
      <c r="P397" s="17" t="s">
        <v>1462</v>
      </c>
      <c r="Q397" s="17"/>
      <c r="R397" s="17" t="s">
        <v>950</v>
      </c>
      <c r="S397" s="17"/>
      <c r="T397" s="17" t="s">
        <v>1465</v>
      </c>
      <c r="U397" s="17" t="s">
        <v>1463</v>
      </c>
      <c r="V397" s="17" t="s">
        <v>1096</v>
      </c>
      <c r="W397" s="45" t="e">
        <f>VLOOKUP(V397,'Actor and Actress Success'!$A$1:$B$72,2,FALSE)</f>
        <v>#N/A</v>
      </c>
      <c r="X397" s="35">
        <v>1</v>
      </c>
      <c r="Y397" s="35"/>
      <c r="Z397" s="17" t="s">
        <v>1464</v>
      </c>
      <c r="AA397" s="17"/>
      <c r="AB397" s="45" t="e">
        <f>VLOOKUP(Z397,'Actor and Actress Success'!$A$1:$B$72,2,FALSE)</f>
        <v>#N/A</v>
      </c>
      <c r="AC397" s="35">
        <v>1</v>
      </c>
      <c r="AD397" s="17" t="s">
        <v>939</v>
      </c>
      <c r="AE397" s="17"/>
      <c r="AF397" s="45" t="e">
        <f>VLOOKUP(AD397,'Actor and Actress Success'!$A$1:$B$72,2,FALSE)</f>
        <v>#N/A</v>
      </c>
      <c r="AG397" s="35">
        <v>1</v>
      </c>
      <c r="AH397" s="17" t="s">
        <v>914</v>
      </c>
      <c r="AI397" s="17"/>
      <c r="AK397" s="45" t="e">
        <f>VLOOKUP(AH397,'Actor and Actress Success'!$A$1:$B$72,2,FALSE)</f>
        <v>#N/A</v>
      </c>
    </row>
    <row r="398" spans="1:37">
      <c r="A398" s="18">
        <v>403</v>
      </c>
      <c r="B398" s="8" t="s">
        <v>675</v>
      </c>
      <c r="C398" s="10">
        <v>2008</v>
      </c>
      <c r="D398" s="12">
        <v>39486</v>
      </c>
      <c r="E398" s="12"/>
      <c r="F398" t="s">
        <v>621</v>
      </c>
      <c r="G398" t="s">
        <v>621</v>
      </c>
      <c r="H398" t="s">
        <v>439</v>
      </c>
      <c r="I398" s="10">
        <v>200</v>
      </c>
      <c r="J398" s="10">
        <v>507</v>
      </c>
      <c r="K398" s="10">
        <v>0</v>
      </c>
      <c r="L398" s="1">
        <v>40000000</v>
      </c>
      <c r="M398" s="1">
        <v>71700000</v>
      </c>
      <c r="N398" s="1">
        <v>70946920</v>
      </c>
      <c r="O398" s="1"/>
      <c r="P398" s="17" t="s">
        <v>1466</v>
      </c>
      <c r="Q398" s="17"/>
      <c r="R398" s="17" t="s">
        <v>1071</v>
      </c>
      <c r="S398" s="17"/>
      <c r="T398" s="17" t="s">
        <v>1468</v>
      </c>
      <c r="V398" s="17" t="s">
        <v>396</v>
      </c>
      <c r="W398" s="45" t="e">
        <f>VLOOKUP(V398,'Actor and Actress Success'!$A$1:$B$72,2,FALSE)</f>
        <v>#N/A</v>
      </c>
      <c r="X398" s="35">
        <v>1</v>
      </c>
      <c r="Y398" s="35"/>
      <c r="Z398" s="17" t="s">
        <v>1051</v>
      </c>
      <c r="AA398" s="17"/>
      <c r="AB398" s="45" t="e">
        <f>VLOOKUP(Z398,'Actor and Actress Success'!$A$1:$B$72,2,FALSE)</f>
        <v>#N/A</v>
      </c>
      <c r="AC398" s="35">
        <v>1</v>
      </c>
      <c r="AD398" s="17" t="s">
        <v>1065</v>
      </c>
      <c r="AE398" s="17"/>
      <c r="AF398" s="45" t="e">
        <f>VLOOKUP(AD398,'Actor and Actress Success'!$A$1:$B$72,2,FALSE)</f>
        <v>#N/A</v>
      </c>
      <c r="AG398" s="35">
        <v>1</v>
      </c>
      <c r="AH398" s="17" t="s">
        <v>1467</v>
      </c>
      <c r="AI398" s="17"/>
      <c r="AK398" s="45" t="e">
        <f>VLOOKUP(AH398,'Actor and Actress Success'!$A$1:$B$72,2,FALSE)</f>
        <v>#N/A</v>
      </c>
    </row>
    <row r="399" spans="1:37">
      <c r="A399" s="18">
        <v>404</v>
      </c>
      <c r="B399" s="8" t="s">
        <v>676</v>
      </c>
      <c r="C399" s="10">
        <v>2008</v>
      </c>
      <c r="D399" s="12">
        <v>39612</v>
      </c>
      <c r="E399" s="12"/>
      <c r="F399" t="s">
        <v>621</v>
      </c>
      <c r="G399" t="s">
        <v>621</v>
      </c>
      <c r="H399" t="s">
        <v>439</v>
      </c>
      <c r="I399" s="10">
        <v>800</v>
      </c>
      <c r="J399" s="10">
        <v>458</v>
      </c>
      <c r="K399" s="10">
        <v>0</v>
      </c>
      <c r="L399" s="1">
        <v>200000000</v>
      </c>
      <c r="M399" s="1">
        <v>362380000</v>
      </c>
      <c r="N399" s="1">
        <v>442538360</v>
      </c>
      <c r="O399" s="1"/>
      <c r="P399" s="17" t="s">
        <v>1012</v>
      </c>
      <c r="Q399" s="17"/>
      <c r="R399" s="17" t="s">
        <v>1037</v>
      </c>
      <c r="S399" s="17"/>
      <c r="T399" s="17" t="s">
        <v>1469</v>
      </c>
      <c r="U399" s="17" t="s">
        <v>927</v>
      </c>
      <c r="V399" s="17" t="s">
        <v>453</v>
      </c>
      <c r="W399" s="45" t="e">
        <f>VLOOKUP(V399,'Actor and Actress Success'!$A$1:$B$72,2,FALSE)</f>
        <v>#N/A</v>
      </c>
      <c r="X399" s="35">
        <v>1</v>
      </c>
      <c r="Y399" s="35"/>
      <c r="Z399" s="17" t="s">
        <v>569</v>
      </c>
      <c r="AA399" s="17"/>
      <c r="AB399" s="45" t="e">
        <f>VLOOKUP(Z399,'Actor and Actress Success'!$A$1:$B$72,2,FALSE)</f>
        <v>#N/A</v>
      </c>
      <c r="AC399" s="35">
        <v>1</v>
      </c>
      <c r="AD399" s="17" t="s">
        <v>922</v>
      </c>
      <c r="AE399" s="17"/>
      <c r="AF399" s="45" t="e">
        <f>VLOOKUP(AD399,'Actor and Actress Success'!$A$1:$B$72,2,FALSE)</f>
        <v>#N/A</v>
      </c>
      <c r="AG399" s="35">
        <v>1</v>
      </c>
      <c r="AH399" s="17" t="s">
        <v>546</v>
      </c>
      <c r="AI399" s="17"/>
      <c r="AK399" s="45" t="e">
        <f>VLOOKUP(AH399,'Actor and Actress Success'!$A$1:$B$72,2,FALSE)</f>
        <v>#N/A</v>
      </c>
    </row>
    <row r="400" spans="1:37">
      <c r="A400" s="18">
        <v>405</v>
      </c>
      <c r="B400" s="8" t="s">
        <v>677</v>
      </c>
      <c r="C400" s="10">
        <v>2008</v>
      </c>
      <c r="D400" s="12">
        <v>39711</v>
      </c>
      <c r="E400" s="12"/>
      <c r="F400" t="s">
        <v>179</v>
      </c>
      <c r="G400" t="s">
        <v>179</v>
      </c>
      <c r="H400" t="s">
        <v>6</v>
      </c>
      <c r="I400" s="10">
        <v>450</v>
      </c>
      <c r="J400" s="10">
        <v>415</v>
      </c>
      <c r="K400" s="10">
        <v>0</v>
      </c>
      <c r="L400" s="1">
        <v>90000000</v>
      </c>
      <c r="M400" s="1">
        <v>136000000</v>
      </c>
      <c r="N400" s="1">
        <v>146895320</v>
      </c>
      <c r="O400" s="1"/>
      <c r="P400" s="17" t="s">
        <v>1470</v>
      </c>
      <c r="Q400" s="17"/>
      <c r="R400" s="17" t="s">
        <v>787</v>
      </c>
      <c r="S400" s="17"/>
      <c r="T400" s="17" t="s">
        <v>1470</v>
      </c>
      <c r="U400" s="17" t="s">
        <v>1471</v>
      </c>
      <c r="V400" s="17" t="s">
        <v>808</v>
      </c>
      <c r="W400" s="45" t="e">
        <f>VLOOKUP(V400,'Actor and Actress Success'!$A$1:$B$72,2,FALSE)</f>
        <v>#N/A</v>
      </c>
      <c r="X400" s="35">
        <v>1</v>
      </c>
      <c r="Y400" s="35"/>
      <c r="Z400" s="17" t="s">
        <v>824</v>
      </c>
      <c r="AA400" s="17"/>
      <c r="AB400" s="45" t="e">
        <f>VLOOKUP(Z400,'Actor and Actress Success'!$A$1:$B$72,2,FALSE)</f>
        <v>#N/A</v>
      </c>
      <c r="AC400" s="35">
        <v>1</v>
      </c>
      <c r="AD400" s="17" t="s">
        <v>417</v>
      </c>
      <c r="AE400" s="17"/>
      <c r="AF400" s="45" t="e">
        <f>VLOOKUP(AD400,'Actor and Actress Success'!$A$1:$B$72,2,FALSE)</f>
        <v>#N/A</v>
      </c>
      <c r="AG400" s="35"/>
      <c r="AH400" s="17" t="s">
        <v>1472</v>
      </c>
      <c r="AI400" s="17"/>
      <c r="AK400" s="45" t="e">
        <f>VLOOKUP(AH400,'Actor and Actress Success'!$A$1:$B$72,2,FALSE)</f>
        <v>#N/A</v>
      </c>
    </row>
    <row r="401" spans="1:37">
      <c r="A401" s="18">
        <v>406</v>
      </c>
      <c r="B401" s="19">
        <v>1920</v>
      </c>
      <c r="C401" s="10">
        <v>2008</v>
      </c>
      <c r="D401" s="12">
        <v>39703</v>
      </c>
      <c r="E401" s="12"/>
      <c r="F401" t="s">
        <v>179</v>
      </c>
      <c r="G401" t="s">
        <v>179</v>
      </c>
      <c r="H401" t="s">
        <v>757</v>
      </c>
      <c r="I401" s="10">
        <v>525</v>
      </c>
      <c r="J401" s="10">
        <v>406</v>
      </c>
      <c r="K401" s="10">
        <v>0</v>
      </c>
      <c r="L401" s="1">
        <v>70000000</v>
      </c>
      <c r="M401" s="1">
        <v>145000000</v>
      </c>
      <c r="N401" s="1">
        <v>214415300</v>
      </c>
      <c r="O401" s="1"/>
      <c r="P401" s="17" t="s">
        <v>520</v>
      </c>
      <c r="Q401" s="17"/>
      <c r="R401" s="17" t="s">
        <v>1091</v>
      </c>
      <c r="S401" s="17"/>
      <c r="T401" s="17" t="s">
        <v>520</v>
      </c>
      <c r="U401" s="17" t="s">
        <v>1139</v>
      </c>
      <c r="V401" s="17" t="s">
        <v>1473</v>
      </c>
      <c r="W401" s="45" t="e">
        <f>VLOOKUP(V401,'Actor and Actress Success'!$A$1:$B$72,2,FALSE)</f>
        <v>#N/A</v>
      </c>
      <c r="X401" s="35">
        <v>1</v>
      </c>
      <c r="Y401" s="35"/>
      <c r="Z401" s="17" t="s">
        <v>1474</v>
      </c>
      <c r="AA401" s="17"/>
      <c r="AB401" s="45" t="e">
        <f>VLOOKUP(Z401,'Actor and Actress Success'!$A$1:$B$72,2,FALSE)</f>
        <v>#N/A</v>
      </c>
      <c r="AC401" s="35">
        <v>1</v>
      </c>
      <c r="AD401" s="17" t="s">
        <v>1475</v>
      </c>
      <c r="AE401" s="17"/>
      <c r="AF401" s="45" t="e">
        <f>VLOOKUP(AD401,'Actor and Actress Success'!$A$1:$B$72,2,FALSE)</f>
        <v>#N/A</v>
      </c>
      <c r="AG401" s="35"/>
      <c r="AH401" s="17" t="s">
        <v>940</v>
      </c>
      <c r="AI401" s="17"/>
      <c r="AK401" s="45" t="e">
        <f>VLOOKUP(AH401,'Actor and Actress Success'!$A$1:$B$72,2,FALSE)</f>
        <v>#N/A</v>
      </c>
    </row>
    <row r="402" spans="1:37">
      <c r="A402" s="18">
        <v>407</v>
      </c>
      <c r="B402" s="8" t="s">
        <v>678</v>
      </c>
      <c r="C402" s="10">
        <v>2009</v>
      </c>
      <c r="D402" s="12">
        <v>40158</v>
      </c>
      <c r="E402" s="12"/>
      <c r="F402" t="s">
        <v>621</v>
      </c>
      <c r="G402" t="s">
        <v>621</v>
      </c>
      <c r="H402" t="s">
        <v>6</v>
      </c>
      <c r="I402" s="10">
        <v>800</v>
      </c>
      <c r="J402" s="10">
        <v>475</v>
      </c>
      <c r="K402" s="10">
        <v>80</v>
      </c>
      <c r="L402" s="1">
        <v>160000000</v>
      </c>
      <c r="M402" s="1">
        <v>336577500</v>
      </c>
      <c r="N402" s="1">
        <v>287677720</v>
      </c>
      <c r="O402" s="1"/>
      <c r="P402" s="17" t="s">
        <v>833</v>
      </c>
      <c r="Q402" s="17"/>
      <c r="R402" s="17" t="s">
        <v>812</v>
      </c>
      <c r="S402" s="17"/>
      <c r="T402" s="17" t="s">
        <v>834</v>
      </c>
      <c r="U402" s="17" t="s">
        <v>834</v>
      </c>
      <c r="V402" s="17" t="s">
        <v>912</v>
      </c>
      <c r="W402" s="45">
        <f>VLOOKUP(V402,'Actor and Actress Success'!$A$1:$B$72,2,FALSE)</f>
        <v>56.25</v>
      </c>
      <c r="X402" s="35">
        <v>1</v>
      </c>
      <c r="Y402" s="35"/>
      <c r="Z402" s="17" t="s">
        <v>1476</v>
      </c>
      <c r="AA402" s="17"/>
      <c r="AB402" s="45" t="e">
        <f>VLOOKUP(Z402,'Actor and Actress Success'!$A$1:$B$72,2,FALSE)</f>
        <v>#N/A</v>
      </c>
      <c r="AC402" s="35">
        <v>1</v>
      </c>
      <c r="AD402" s="17" t="s">
        <v>1335</v>
      </c>
      <c r="AE402" s="17"/>
      <c r="AF402" s="45" t="e">
        <f>VLOOKUP(AD402,'Actor and Actress Success'!$A$1:$B$72,2,FALSE)</f>
        <v>#N/A</v>
      </c>
      <c r="AG402" s="35"/>
      <c r="AH402" s="17" t="s">
        <v>495</v>
      </c>
      <c r="AI402" s="17"/>
      <c r="AK402" s="45" t="e">
        <f>VLOOKUP(AH402,'Actor and Actress Success'!$A$1:$B$72,2,FALSE)</f>
        <v>#N/A</v>
      </c>
    </row>
    <row r="403" spans="1:37">
      <c r="A403" s="18">
        <v>408</v>
      </c>
      <c r="B403" s="19">
        <v>99</v>
      </c>
      <c r="C403" s="10">
        <v>2009</v>
      </c>
      <c r="D403" s="12">
        <v>39948</v>
      </c>
      <c r="E403" s="12"/>
      <c r="F403" t="s">
        <v>179</v>
      </c>
      <c r="G403" t="s">
        <v>179</v>
      </c>
      <c r="H403" t="s">
        <v>6</v>
      </c>
      <c r="I403" s="10">
        <v>550</v>
      </c>
      <c r="J403" s="10">
        <v>413</v>
      </c>
      <c r="K403" s="10">
        <v>70</v>
      </c>
      <c r="L403" s="1">
        <v>90000000</v>
      </c>
      <c r="M403" s="1">
        <v>147600000</v>
      </c>
      <c r="N403" s="1">
        <v>154675400</v>
      </c>
      <c r="O403" s="1"/>
      <c r="P403" s="17" t="s">
        <v>1479</v>
      </c>
      <c r="Q403" s="17"/>
      <c r="R403" s="17" t="s">
        <v>1480</v>
      </c>
      <c r="S403" s="17"/>
      <c r="T403" s="17" t="s">
        <v>1481</v>
      </c>
      <c r="U403" s="17" t="s">
        <v>1482</v>
      </c>
      <c r="V403" s="17" t="s">
        <v>1477</v>
      </c>
      <c r="W403" s="45" t="e">
        <f>VLOOKUP(V403,'Actor and Actress Success'!$A$1:$B$72,2,FALSE)</f>
        <v>#N/A</v>
      </c>
      <c r="X403" s="35">
        <v>1</v>
      </c>
      <c r="Y403" s="35"/>
      <c r="Z403" s="17" t="s">
        <v>811</v>
      </c>
      <c r="AA403" s="17"/>
      <c r="AB403" s="45" t="e">
        <f>VLOOKUP(Z403,'Actor and Actress Success'!$A$1:$B$72,2,FALSE)</f>
        <v>#N/A</v>
      </c>
      <c r="AC403" s="35">
        <v>1</v>
      </c>
      <c r="AD403" s="17" t="s">
        <v>1478</v>
      </c>
      <c r="AE403" s="17"/>
      <c r="AF403" s="45" t="e">
        <f>VLOOKUP(AD403,'Actor and Actress Success'!$A$1:$B$72,2,FALSE)</f>
        <v>#N/A</v>
      </c>
      <c r="AG403" s="35">
        <v>1</v>
      </c>
      <c r="AH403" s="17" t="s">
        <v>872</v>
      </c>
      <c r="AI403" s="17"/>
      <c r="AK403" s="45" t="e">
        <f>VLOOKUP(AH403,'Actor and Actress Success'!$A$1:$B$72,2,FALSE)</f>
        <v>#N/A</v>
      </c>
    </row>
    <row r="404" spans="1:37">
      <c r="A404" s="18">
        <v>409</v>
      </c>
      <c r="B404" s="8" t="s">
        <v>679</v>
      </c>
      <c r="C404" s="10">
        <v>2009</v>
      </c>
      <c r="D404" s="12">
        <v>39850</v>
      </c>
      <c r="E404" s="12"/>
      <c r="F404" t="s">
        <v>179</v>
      </c>
      <c r="G404" t="s">
        <v>179</v>
      </c>
      <c r="H404" t="s">
        <v>6</v>
      </c>
      <c r="I404" s="10">
        <v>525</v>
      </c>
      <c r="J404" s="10">
        <v>405</v>
      </c>
      <c r="K404" s="10">
        <v>72.5</v>
      </c>
      <c r="L404" s="1">
        <v>110000000</v>
      </c>
      <c r="M404" s="1">
        <v>208200000</v>
      </c>
      <c r="N404" s="1">
        <v>218212720</v>
      </c>
      <c r="O404" s="1"/>
      <c r="P404" s="17" t="s">
        <v>1483</v>
      </c>
      <c r="Q404" s="17"/>
      <c r="R404" s="17" t="s">
        <v>1311</v>
      </c>
      <c r="S404" s="17"/>
      <c r="U404" s="17" t="s">
        <v>1486</v>
      </c>
      <c r="V404" s="17" t="s">
        <v>1265</v>
      </c>
      <c r="W404" s="45" t="e">
        <f>VLOOKUP(V404,'Actor and Actress Success'!$A$1:$B$72,2,FALSE)</f>
        <v>#N/A</v>
      </c>
      <c r="X404" s="35">
        <v>1</v>
      </c>
      <c r="Y404" s="35"/>
      <c r="Z404" s="17" t="s">
        <v>1177</v>
      </c>
      <c r="AA404" s="17"/>
      <c r="AB404" s="45" t="e">
        <f>VLOOKUP(Z404,'Actor and Actress Success'!$A$1:$B$72,2,FALSE)</f>
        <v>#N/A</v>
      </c>
      <c r="AC404" s="35">
        <v>1</v>
      </c>
      <c r="AD404" s="17" t="s">
        <v>1484</v>
      </c>
      <c r="AE404" s="17"/>
      <c r="AF404" s="45" t="e">
        <f>VLOOKUP(AD404,'Actor and Actress Success'!$A$1:$B$72,2,FALSE)</f>
        <v>#N/A</v>
      </c>
      <c r="AG404" s="35">
        <v>1</v>
      </c>
      <c r="AH404" s="17" t="s">
        <v>1485</v>
      </c>
      <c r="AI404" s="17"/>
      <c r="AK404" s="45" t="e">
        <f>VLOOKUP(AH404,'Actor and Actress Success'!$A$1:$B$72,2,FALSE)</f>
        <v>#N/A</v>
      </c>
    </row>
    <row r="405" spans="1:37">
      <c r="A405" s="18">
        <v>410</v>
      </c>
      <c r="B405" s="8" t="s">
        <v>680</v>
      </c>
      <c r="C405" s="10">
        <v>2009</v>
      </c>
      <c r="D405" s="12">
        <v>40102</v>
      </c>
      <c r="E405" s="12"/>
      <c r="F405" t="s">
        <v>179</v>
      </c>
      <c r="G405" t="s">
        <v>179</v>
      </c>
      <c r="H405" t="s">
        <v>439</v>
      </c>
      <c r="I405" s="10">
        <v>1300</v>
      </c>
      <c r="J405" s="10">
        <v>349</v>
      </c>
      <c r="K405" s="10">
        <v>75</v>
      </c>
      <c r="L405" s="1">
        <v>410000000</v>
      </c>
      <c r="M405" s="1">
        <v>617775000</v>
      </c>
      <c r="N405" s="1">
        <v>672791680</v>
      </c>
      <c r="O405" s="1"/>
      <c r="P405" s="17" t="s">
        <v>977</v>
      </c>
      <c r="Q405" s="17"/>
      <c r="R405" s="17" t="s">
        <v>801</v>
      </c>
      <c r="S405" s="17"/>
      <c r="U405" s="17" t="s">
        <v>1487</v>
      </c>
      <c r="V405" s="17" t="s">
        <v>511</v>
      </c>
      <c r="W405" s="45">
        <f>VLOOKUP(V405,'Actor and Actress Success'!$A$1:$B$72,2,FALSE)</f>
        <v>27.397260273972602</v>
      </c>
      <c r="X405" s="35">
        <v>1</v>
      </c>
      <c r="Y405" s="35"/>
      <c r="Z405" s="17" t="s">
        <v>429</v>
      </c>
      <c r="AA405" s="17"/>
      <c r="AB405" s="45">
        <f>VLOOKUP(Z405,'Actor and Actress Success'!$A$1:$B$72,2,FALSE)</f>
        <v>39.285714285714285</v>
      </c>
      <c r="AC405" s="35">
        <v>1</v>
      </c>
      <c r="AD405" s="17" t="s">
        <v>898</v>
      </c>
      <c r="AE405" s="17"/>
      <c r="AF405" s="45" t="e">
        <f>VLOOKUP(AD405,'Actor and Actress Success'!$A$1:$B$72,2,FALSE)</f>
        <v>#N/A</v>
      </c>
      <c r="AG405" s="35">
        <v>1</v>
      </c>
      <c r="AH405" s="17" t="s">
        <v>818</v>
      </c>
      <c r="AI405" s="17"/>
      <c r="AJ405" s="34">
        <v>1</v>
      </c>
      <c r="AK405" s="45">
        <f>VLOOKUP(AH405,'Actor and Actress Success'!$A$1:$B$72,2,FALSE)</f>
        <v>30</v>
      </c>
    </row>
    <row r="406" spans="1:37">
      <c r="A406" s="18">
        <v>411</v>
      </c>
      <c r="B406" s="8" t="s">
        <v>681</v>
      </c>
      <c r="C406" s="10">
        <v>2010</v>
      </c>
      <c r="D406" s="12">
        <v>40375</v>
      </c>
      <c r="E406" s="12"/>
      <c r="F406" t="s">
        <v>621</v>
      </c>
      <c r="G406" t="s">
        <v>621</v>
      </c>
      <c r="H406" t="s">
        <v>439</v>
      </c>
      <c r="I406" s="10">
        <v>375</v>
      </c>
      <c r="J406" s="10">
        <v>502</v>
      </c>
      <c r="K406" s="10">
        <v>72.5</v>
      </c>
      <c r="L406" s="1">
        <v>95000000</v>
      </c>
      <c r="M406" s="1">
        <v>114310000</v>
      </c>
      <c r="N406" s="1">
        <v>96139560</v>
      </c>
      <c r="O406" s="1"/>
      <c r="P406" s="17" t="s">
        <v>1488</v>
      </c>
      <c r="Q406" s="17"/>
      <c r="R406" s="17" t="s">
        <v>900</v>
      </c>
      <c r="S406" s="17"/>
      <c r="T406" s="17" t="s">
        <v>1488</v>
      </c>
      <c r="U406" s="17" t="s">
        <v>1488</v>
      </c>
      <c r="V406" s="17" t="s">
        <v>1299</v>
      </c>
      <c r="W406" s="45" t="e">
        <f>VLOOKUP(V406,'Actor and Actress Success'!$A$1:$B$72,2,FALSE)</f>
        <v>#N/A</v>
      </c>
      <c r="X406" s="35">
        <v>1</v>
      </c>
      <c r="Y406" s="35"/>
      <c r="Z406" s="17" t="s">
        <v>1489</v>
      </c>
      <c r="AA406" s="17"/>
      <c r="AB406" s="45" t="e">
        <f>VLOOKUP(Z406,'Actor and Actress Success'!$A$1:$B$72,2,FALSE)</f>
        <v>#N/A</v>
      </c>
      <c r="AC406" s="35"/>
      <c r="AD406" s="17" t="s">
        <v>1490</v>
      </c>
      <c r="AE406" s="17"/>
      <c r="AF406" s="45" t="e">
        <f>VLOOKUP(AD406,'Actor and Actress Success'!$A$1:$B$72,2,FALSE)</f>
        <v>#N/A</v>
      </c>
      <c r="AG406" s="35"/>
      <c r="AH406" s="17" t="s">
        <v>1491</v>
      </c>
      <c r="AI406" s="17"/>
      <c r="AK406" s="45" t="e">
        <f>VLOOKUP(AH406,'Actor and Actress Success'!$A$1:$B$72,2,FALSE)</f>
        <v>#N/A</v>
      </c>
    </row>
    <row r="407" spans="1:37">
      <c r="A407" s="18">
        <v>412</v>
      </c>
      <c r="B407" s="8" t="s">
        <v>682</v>
      </c>
      <c r="C407" s="10">
        <v>2010</v>
      </c>
      <c r="D407" s="12">
        <v>40410</v>
      </c>
      <c r="E407" s="12"/>
      <c r="F407" t="s">
        <v>621</v>
      </c>
      <c r="G407" t="s">
        <v>621</v>
      </c>
      <c r="H407" t="s">
        <v>6</v>
      </c>
      <c r="I407" s="10">
        <v>950</v>
      </c>
      <c r="J407" s="10">
        <v>472</v>
      </c>
      <c r="K407" s="10">
        <v>0</v>
      </c>
      <c r="L407" s="1">
        <v>190000000</v>
      </c>
      <c r="M407" s="1">
        <v>319925000</v>
      </c>
      <c r="N407" s="1">
        <v>319645640</v>
      </c>
      <c r="O407" s="1"/>
      <c r="P407" s="17" t="s">
        <v>1430</v>
      </c>
      <c r="Q407" s="17"/>
      <c r="R407" s="17" t="s">
        <v>1497</v>
      </c>
      <c r="S407" s="17"/>
      <c r="T407" s="17" t="s">
        <v>1431</v>
      </c>
      <c r="U407" s="17" t="s">
        <v>1431</v>
      </c>
      <c r="V407" s="17" t="s">
        <v>1032</v>
      </c>
      <c r="W407" s="45" t="e">
        <f>VLOOKUP(V407,'Actor and Actress Success'!$A$1:$B$72,2,FALSE)</f>
        <v>#N/A</v>
      </c>
      <c r="X407" s="35">
        <v>1</v>
      </c>
      <c r="Y407" s="35"/>
      <c r="Z407" s="17" t="s">
        <v>806</v>
      </c>
      <c r="AA407" s="17"/>
      <c r="AB407" s="45">
        <f>VLOOKUP(Z407,'Actor and Actress Success'!$A$1:$B$72,2,FALSE)</f>
        <v>57.142857142857139</v>
      </c>
      <c r="AC407" s="35">
        <v>1</v>
      </c>
      <c r="AD407" s="17" t="s">
        <v>1231</v>
      </c>
      <c r="AE407" s="17"/>
      <c r="AF407" s="45" t="e">
        <f>VLOOKUP(AD407,'Actor and Actress Success'!$A$1:$B$72,2,FALSE)</f>
        <v>#N/A</v>
      </c>
      <c r="AG407" s="35"/>
      <c r="AH407" s="17" t="s">
        <v>1102</v>
      </c>
      <c r="AI407" s="17"/>
      <c r="AK407" s="45" t="e">
        <f>VLOOKUP(AH407,'Actor and Actress Success'!$A$1:$B$72,2,FALSE)</f>
        <v>#N/A</v>
      </c>
    </row>
    <row r="408" spans="1:37">
      <c r="A408" s="18">
        <v>413</v>
      </c>
      <c r="B408" s="8" t="s">
        <v>683</v>
      </c>
      <c r="C408" s="10">
        <v>2010</v>
      </c>
      <c r="D408" s="12">
        <v>40452</v>
      </c>
      <c r="E408" s="12"/>
      <c r="F408" t="s">
        <v>179</v>
      </c>
      <c r="G408" t="s">
        <v>179</v>
      </c>
      <c r="H408" t="s">
        <v>439</v>
      </c>
      <c r="I408" s="10">
        <v>400</v>
      </c>
      <c r="J408" s="10">
        <v>419</v>
      </c>
      <c r="K408" s="10">
        <v>0</v>
      </c>
      <c r="L408" s="1">
        <v>45000000</v>
      </c>
      <c r="M408" s="1">
        <v>81700000</v>
      </c>
      <c r="N408" s="1">
        <v>82061320</v>
      </c>
      <c r="O408" s="1"/>
      <c r="P408" s="17" t="s">
        <v>766</v>
      </c>
      <c r="Q408" s="17"/>
      <c r="R408" s="17" t="s">
        <v>1498</v>
      </c>
      <c r="S408" s="17"/>
      <c r="U408" s="17" t="s">
        <v>766</v>
      </c>
      <c r="V408" s="17" t="s">
        <v>1132</v>
      </c>
      <c r="W408" s="45" t="e">
        <f>VLOOKUP(V408,'Actor and Actress Success'!$A$1:$B$72,2,FALSE)</f>
        <v>#N/A</v>
      </c>
      <c r="X408" s="35">
        <v>1</v>
      </c>
      <c r="Y408" s="35"/>
      <c r="Z408" s="17" t="s">
        <v>1499</v>
      </c>
      <c r="AA408" s="17"/>
      <c r="AB408" s="45" t="e">
        <f>VLOOKUP(Z408,'Actor and Actress Success'!$A$1:$B$72,2,FALSE)</f>
        <v>#N/A</v>
      </c>
      <c r="AC408" s="35">
        <v>1</v>
      </c>
      <c r="AD408" s="17" t="s">
        <v>1500</v>
      </c>
      <c r="AE408" s="17"/>
      <c r="AF408" s="45" t="e">
        <f>VLOOKUP(AD408,'Actor and Actress Success'!$A$1:$B$72,2,FALSE)</f>
        <v>#N/A</v>
      </c>
      <c r="AG408" s="35"/>
      <c r="AH408" s="17" t="s">
        <v>1501</v>
      </c>
      <c r="AI408" s="17"/>
      <c r="AK408" s="45" t="e">
        <f>VLOOKUP(AH408,'Actor and Actress Success'!$A$1:$B$72,2,FALSE)</f>
        <v>#N/A</v>
      </c>
    </row>
    <row r="409" spans="1:37">
      <c r="A409" s="18">
        <v>414</v>
      </c>
      <c r="B409" s="8" t="s">
        <v>684</v>
      </c>
      <c r="C409" s="10">
        <v>2010</v>
      </c>
      <c r="D409" s="12">
        <v>40522</v>
      </c>
      <c r="E409" s="12"/>
      <c r="F409" t="s">
        <v>179</v>
      </c>
      <c r="G409" t="s">
        <v>179</v>
      </c>
      <c r="H409" t="s">
        <v>547</v>
      </c>
      <c r="I409" s="10">
        <v>675</v>
      </c>
      <c r="J409" s="10">
        <v>397</v>
      </c>
      <c r="K409" s="10">
        <v>54.29</v>
      </c>
      <c r="L409" s="1">
        <v>150000000</v>
      </c>
      <c r="M409" s="1">
        <v>333000000</v>
      </c>
      <c r="N409" s="1">
        <v>280082880</v>
      </c>
      <c r="O409" s="1"/>
      <c r="P409" s="17" t="s">
        <v>1350</v>
      </c>
      <c r="Q409" s="17"/>
      <c r="R409" s="17" t="s">
        <v>812</v>
      </c>
      <c r="S409" s="17"/>
      <c r="T409" s="17" t="s">
        <v>1350</v>
      </c>
      <c r="U409" s="17" t="s">
        <v>1088</v>
      </c>
      <c r="V409" s="17" t="s">
        <v>1244</v>
      </c>
      <c r="W409" s="45">
        <f>VLOOKUP(V409,'Actor and Actress Success'!$A$1:$B$72,2,FALSE)</f>
        <v>55.555555555555557</v>
      </c>
      <c r="X409" s="35">
        <v>1</v>
      </c>
      <c r="Y409" s="35"/>
      <c r="Z409" s="17" t="s">
        <v>813</v>
      </c>
      <c r="AA409" s="17"/>
      <c r="AB409" s="45">
        <f>VLOOKUP(Z409,'Actor and Actress Success'!$A$1:$B$72,2,FALSE)</f>
        <v>60</v>
      </c>
      <c r="AC409" s="35">
        <v>1</v>
      </c>
      <c r="AD409" s="17" t="s">
        <v>1231</v>
      </c>
      <c r="AE409" s="17"/>
      <c r="AF409" s="45" t="e">
        <f>VLOOKUP(AD409,'Actor and Actress Success'!$A$1:$B$72,2,FALSE)</f>
        <v>#N/A</v>
      </c>
      <c r="AG409" s="35"/>
      <c r="AH409" s="17" t="s">
        <v>1502</v>
      </c>
      <c r="AI409" s="17"/>
      <c r="AK409" s="45" t="e">
        <f>VLOOKUP(AH409,'Actor and Actress Success'!$A$1:$B$72,2,FALSE)</f>
        <v>#N/A</v>
      </c>
    </row>
    <row r="410" spans="1:37">
      <c r="A410" s="18">
        <v>415</v>
      </c>
      <c r="B410" s="8" t="s">
        <v>685</v>
      </c>
      <c r="C410" s="10">
        <v>2011</v>
      </c>
      <c r="D410" s="12">
        <v>40816</v>
      </c>
      <c r="E410" s="12"/>
      <c r="F410" t="s">
        <v>621</v>
      </c>
      <c r="G410" t="s">
        <v>621</v>
      </c>
      <c r="H410" t="s">
        <v>408</v>
      </c>
      <c r="I410" s="10">
        <v>525</v>
      </c>
      <c r="J410" s="10">
        <v>503</v>
      </c>
      <c r="K410" s="10">
        <v>0</v>
      </c>
      <c r="L410" s="1">
        <v>60000000</v>
      </c>
      <c r="M410" s="1">
        <v>113737500</v>
      </c>
      <c r="N410" s="1">
        <v>93453580</v>
      </c>
      <c r="O410" s="1"/>
      <c r="P410" s="17" t="s">
        <v>1503</v>
      </c>
      <c r="Q410" s="17"/>
      <c r="R410" s="17" t="s">
        <v>1505</v>
      </c>
      <c r="S410" s="17"/>
      <c r="T410" s="17" t="s">
        <v>1506</v>
      </c>
      <c r="U410" s="17" t="s">
        <v>1507</v>
      </c>
      <c r="V410" s="17" t="s">
        <v>1028</v>
      </c>
      <c r="W410" s="45" t="e">
        <f>VLOOKUP(V410,'Actor and Actress Success'!$A$1:$B$72,2,FALSE)</f>
        <v>#N/A</v>
      </c>
      <c r="X410" s="35">
        <v>1</v>
      </c>
      <c r="Y410" s="35"/>
      <c r="Z410" s="17" t="s">
        <v>1484</v>
      </c>
      <c r="AA410" s="17"/>
      <c r="AB410" s="45" t="e">
        <f>VLOOKUP(Z410,'Actor and Actress Success'!$A$1:$B$72,2,FALSE)</f>
        <v>#N/A</v>
      </c>
      <c r="AC410" s="35">
        <v>1</v>
      </c>
      <c r="AD410" s="17" t="s">
        <v>1158</v>
      </c>
      <c r="AE410" s="17"/>
      <c r="AF410" s="45" t="e">
        <f>VLOOKUP(AD410,'Actor and Actress Success'!$A$1:$B$72,2,FALSE)</f>
        <v>#N/A</v>
      </c>
      <c r="AG410" s="35">
        <v>1</v>
      </c>
      <c r="AH410" s="17" t="s">
        <v>1504</v>
      </c>
      <c r="AI410" s="17"/>
      <c r="AK410" s="45" t="e">
        <f>VLOOKUP(AH410,'Actor and Actress Success'!$A$1:$B$72,2,FALSE)</f>
        <v>#N/A</v>
      </c>
    </row>
    <row r="411" spans="1:37">
      <c r="A411" s="18">
        <v>416</v>
      </c>
      <c r="B411" s="8" t="s">
        <v>686</v>
      </c>
      <c r="C411" s="10">
        <v>2011</v>
      </c>
      <c r="D411" s="12">
        <v>40711</v>
      </c>
      <c r="E411" s="12"/>
      <c r="F411" t="s">
        <v>621</v>
      </c>
      <c r="G411" t="s">
        <v>621</v>
      </c>
      <c r="H411" t="s">
        <v>439</v>
      </c>
      <c r="I411" s="10">
        <v>575</v>
      </c>
      <c r="J411" s="10">
        <v>500</v>
      </c>
      <c r="K411" s="10">
        <v>70</v>
      </c>
      <c r="L411" s="1">
        <v>95000000</v>
      </c>
      <c r="M411" s="1">
        <v>124900000</v>
      </c>
      <c r="N411" s="1">
        <v>107068720</v>
      </c>
      <c r="O411" s="1"/>
      <c r="P411" s="17" t="s">
        <v>1070</v>
      </c>
      <c r="Q411" s="17"/>
      <c r="R411" s="17" t="s">
        <v>1508</v>
      </c>
      <c r="S411" s="17"/>
      <c r="T411" s="17" t="s">
        <v>1070</v>
      </c>
      <c r="U411" s="17" t="s">
        <v>1072</v>
      </c>
      <c r="V411" s="17" t="s">
        <v>814</v>
      </c>
      <c r="W411" s="45" t="e">
        <f>VLOOKUP(V411,'Actor and Actress Success'!$A$1:$B$72,2,FALSE)</f>
        <v>#N/A</v>
      </c>
      <c r="X411" s="35">
        <v>1</v>
      </c>
      <c r="Y411" s="35"/>
      <c r="Z411" s="17" t="s">
        <v>1102</v>
      </c>
      <c r="AA411" s="17"/>
      <c r="AB411" s="45" t="e">
        <f>VLOOKUP(Z411,'Actor and Actress Success'!$A$1:$B$72,2,FALSE)</f>
        <v>#N/A</v>
      </c>
      <c r="AC411" s="35">
        <v>1</v>
      </c>
      <c r="AD411" s="17" t="s">
        <v>1108</v>
      </c>
      <c r="AE411" s="17"/>
      <c r="AF411" s="45" t="e">
        <f>VLOOKUP(AD411,'Actor and Actress Success'!$A$1:$B$72,2,FALSE)</f>
        <v>#N/A</v>
      </c>
      <c r="AG411" s="35">
        <v>1</v>
      </c>
      <c r="AH411" s="17" t="s">
        <v>1509</v>
      </c>
      <c r="AI411" s="17"/>
      <c r="AK411" s="45" t="e">
        <f>VLOOKUP(AH411,'Actor and Actress Success'!$A$1:$B$72,2,FALSE)</f>
        <v>#N/A</v>
      </c>
    </row>
    <row r="412" spans="1:37">
      <c r="A412" s="18">
        <v>417</v>
      </c>
      <c r="B412" s="8" t="s">
        <v>687</v>
      </c>
      <c r="C412" s="10">
        <v>2011</v>
      </c>
      <c r="D412" s="12">
        <v>40683</v>
      </c>
      <c r="E412" s="12"/>
      <c r="F412" t="s">
        <v>179</v>
      </c>
      <c r="G412" t="s">
        <v>179</v>
      </c>
      <c r="H412" t="s">
        <v>547</v>
      </c>
      <c r="I412" s="10">
        <v>550</v>
      </c>
      <c r="J412" s="10">
        <v>414</v>
      </c>
      <c r="K412" s="10">
        <v>65</v>
      </c>
      <c r="L412" s="1">
        <v>97500000</v>
      </c>
      <c r="M412" s="1">
        <v>170300000</v>
      </c>
      <c r="N412" s="1">
        <v>147080560</v>
      </c>
      <c r="O412" s="1"/>
      <c r="P412" s="17" t="s">
        <v>1236</v>
      </c>
      <c r="Q412" s="17"/>
      <c r="R412" s="17" t="s">
        <v>1512</v>
      </c>
      <c r="S412" s="17"/>
      <c r="T412" s="17" t="s">
        <v>1236</v>
      </c>
      <c r="U412" s="17" t="s">
        <v>1236</v>
      </c>
      <c r="V412" s="17" t="s">
        <v>1237</v>
      </c>
      <c r="W412" s="45" t="e">
        <f>VLOOKUP(V412,'Actor and Actress Success'!$A$1:$B$72,2,FALSE)</f>
        <v>#N/A</v>
      </c>
      <c r="X412" s="35">
        <v>1</v>
      </c>
      <c r="Y412" s="35"/>
      <c r="Z412" s="17" t="s">
        <v>1510</v>
      </c>
      <c r="AA412" s="17"/>
      <c r="AB412" s="45" t="e">
        <f>VLOOKUP(Z412,'Actor and Actress Success'!$A$1:$B$72,2,FALSE)</f>
        <v>#N/A</v>
      </c>
      <c r="AC412" s="35">
        <v>1</v>
      </c>
      <c r="AD412" s="17" t="s">
        <v>1511</v>
      </c>
      <c r="AE412" s="17"/>
      <c r="AF412" s="45" t="e">
        <f>VLOOKUP(AD412,'Actor and Actress Success'!$A$1:$B$72,2,FALSE)</f>
        <v>#N/A</v>
      </c>
      <c r="AG412" s="35">
        <v>1</v>
      </c>
      <c r="AH412" s="17" t="s">
        <v>1238</v>
      </c>
      <c r="AI412" s="17"/>
      <c r="AJ412" s="34">
        <v>1</v>
      </c>
      <c r="AK412" s="45" t="e">
        <f>VLOOKUP(AH412,'Actor and Actress Success'!$A$1:$B$72,2,FALSE)</f>
        <v>#N/A</v>
      </c>
    </row>
    <row r="413" spans="1:37">
      <c r="A413" s="18">
        <v>418</v>
      </c>
      <c r="B413" s="8" t="s">
        <v>688</v>
      </c>
      <c r="C413" s="10">
        <v>2011</v>
      </c>
      <c r="D413" s="12">
        <v>40634</v>
      </c>
      <c r="E413" s="12"/>
      <c r="F413" t="s">
        <v>179</v>
      </c>
      <c r="G413" t="s">
        <v>179</v>
      </c>
      <c r="H413" t="s">
        <v>439</v>
      </c>
      <c r="I413" s="10">
        <v>1200</v>
      </c>
      <c r="J413" s="10">
        <v>394</v>
      </c>
      <c r="K413" s="10">
        <v>0</v>
      </c>
      <c r="L413" s="1">
        <v>200000000</v>
      </c>
      <c r="M413" s="1">
        <v>329200000</v>
      </c>
      <c r="N413" s="1">
        <v>318149700</v>
      </c>
      <c r="O413" s="1"/>
      <c r="P413" s="17" t="s">
        <v>1216</v>
      </c>
      <c r="Q413" s="17"/>
      <c r="R413" s="17" t="s">
        <v>1217</v>
      </c>
      <c r="S413" s="17"/>
      <c r="T413" s="17" t="s">
        <v>1513</v>
      </c>
      <c r="U413" s="17" t="s">
        <v>1516</v>
      </c>
      <c r="V413" s="17" t="s">
        <v>928</v>
      </c>
      <c r="W413" s="45" t="e">
        <f>VLOOKUP(V413,'Actor and Actress Success'!$A$1:$B$72,2,FALSE)</f>
        <v>#N/A</v>
      </c>
      <c r="X413" s="35">
        <v>1</v>
      </c>
      <c r="Y413" s="35"/>
      <c r="Z413" s="17" t="s">
        <v>550</v>
      </c>
      <c r="AA413" s="17"/>
      <c r="AB413" s="45" t="e">
        <f>VLOOKUP(Z413,'Actor and Actress Success'!$A$1:$B$72,2,FALSE)</f>
        <v>#N/A</v>
      </c>
      <c r="AC413" s="35">
        <v>1</v>
      </c>
      <c r="AD413" s="17" t="s">
        <v>1514</v>
      </c>
      <c r="AE413" s="17"/>
      <c r="AF413" s="45" t="e">
        <f>VLOOKUP(AD413,'Actor and Actress Success'!$A$1:$B$72,2,FALSE)</f>
        <v>#N/A</v>
      </c>
      <c r="AG413" s="35">
        <v>1</v>
      </c>
      <c r="AH413" s="17" t="s">
        <v>1515</v>
      </c>
      <c r="AI413" s="17"/>
      <c r="AK413" s="45" t="e">
        <f>VLOOKUP(AH413,'Actor and Actress Success'!$A$1:$B$72,2,FALSE)</f>
        <v>#N/A</v>
      </c>
    </row>
    <row r="414" spans="1:37">
      <c r="A414" s="18">
        <v>419</v>
      </c>
      <c r="B414" s="8" t="s">
        <v>689</v>
      </c>
      <c r="C414" s="10">
        <v>2012</v>
      </c>
      <c r="D414" s="12">
        <v>40963</v>
      </c>
      <c r="E414" s="12"/>
      <c r="F414" t="s">
        <v>621</v>
      </c>
      <c r="G414" t="s">
        <v>621</v>
      </c>
      <c r="H414" t="s">
        <v>547</v>
      </c>
      <c r="I414" s="10">
        <v>1200</v>
      </c>
      <c r="J414" s="10">
        <v>479</v>
      </c>
      <c r="K414" s="10">
        <v>60</v>
      </c>
      <c r="L414" s="1">
        <v>140000000</v>
      </c>
      <c r="M414" s="1">
        <v>306262500</v>
      </c>
      <c r="N414" s="1">
        <v>251741160</v>
      </c>
      <c r="O414" s="1"/>
      <c r="P414" s="17" t="s">
        <v>1517</v>
      </c>
      <c r="Q414" s="17"/>
      <c r="R414" s="17" t="s">
        <v>1217</v>
      </c>
      <c r="S414" s="17"/>
      <c r="T414" s="17" t="s">
        <v>1518</v>
      </c>
      <c r="U414" s="17" t="s">
        <v>1518</v>
      </c>
      <c r="V414" s="17" t="s">
        <v>928</v>
      </c>
      <c r="W414" s="45" t="e">
        <f>VLOOKUP(V414,'Actor and Actress Success'!$A$1:$B$72,2,FALSE)</f>
        <v>#N/A</v>
      </c>
      <c r="X414" s="35">
        <v>1</v>
      </c>
      <c r="Y414" s="35"/>
      <c r="Z414" s="17" t="s">
        <v>922</v>
      </c>
      <c r="AA414" s="17"/>
      <c r="AB414" s="45" t="e">
        <f>VLOOKUP(Z414,'Actor and Actress Success'!$A$1:$B$72,2,FALSE)</f>
        <v>#N/A</v>
      </c>
      <c r="AC414" s="35">
        <v>1</v>
      </c>
      <c r="AD414" s="17" t="s">
        <v>546</v>
      </c>
      <c r="AE414" s="17"/>
      <c r="AF414" s="45" t="e">
        <f>VLOOKUP(AD414,'Actor and Actress Success'!$A$1:$B$72,2,FALSE)</f>
        <v>#N/A</v>
      </c>
      <c r="AG414" s="35"/>
      <c r="AH414" s="17" t="s">
        <v>775</v>
      </c>
      <c r="AI414" s="17"/>
      <c r="AK414" s="45" t="e">
        <f>VLOOKUP(AH414,'Actor and Actress Success'!$A$1:$B$72,2,FALSE)</f>
        <v>#N/A</v>
      </c>
    </row>
    <row r="415" spans="1:37">
      <c r="A415" s="18">
        <v>420</v>
      </c>
      <c r="B415" s="8" t="s">
        <v>690</v>
      </c>
      <c r="C415" s="10">
        <v>2012</v>
      </c>
      <c r="D415" s="12">
        <v>41082</v>
      </c>
      <c r="E415" s="12"/>
      <c r="F415" t="s">
        <v>621</v>
      </c>
      <c r="G415" t="s">
        <v>621</v>
      </c>
      <c r="H415" t="s">
        <v>6</v>
      </c>
      <c r="I415" s="10">
        <v>1000</v>
      </c>
      <c r="J415" s="10">
        <v>471</v>
      </c>
      <c r="K415" s="10">
        <v>76</v>
      </c>
      <c r="L415" s="1">
        <v>210000000</v>
      </c>
      <c r="M415" s="1">
        <v>379699000</v>
      </c>
      <c r="N415" s="1">
        <v>325651920</v>
      </c>
      <c r="O415" s="1"/>
      <c r="P415" s="17" t="s">
        <v>1483</v>
      </c>
      <c r="Q415" s="17"/>
      <c r="R415" s="17" t="s">
        <v>1508</v>
      </c>
      <c r="S415" s="17"/>
      <c r="T415" s="17" t="s">
        <v>1521</v>
      </c>
      <c r="U415" s="17" t="s">
        <v>1522</v>
      </c>
      <c r="V415" s="17" t="s">
        <v>479</v>
      </c>
      <c r="W415" s="45" t="e">
        <f>VLOOKUP(V415,'Actor and Actress Success'!$A$1:$B$72,2,FALSE)</f>
        <v>#N/A</v>
      </c>
      <c r="X415" s="35">
        <v>1</v>
      </c>
      <c r="Y415" s="35"/>
      <c r="Z415" s="17" t="s">
        <v>1519</v>
      </c>
      <c r="AA415" s="17"/>
      <c r="AB415" s="45" t="e">
        <f>VLOOKUP(Z415,'Actor and Actress Success'!$A$1:$B$72,2,FALSE)</f>
        <v>#N/A</v>
      </c>
      <c r="AC415" s="35">
        <v>1</v>
      </c>
      <c r="AD415" s="17" t="s">
        <v>1154</v>
      </c>
      <c r="AE415" s="17"/>
      <c r="AF415" s="45" t="e">
        <f>VLOOKUP(AD415,'Actor and Actress Success'!$A$1:$B$72,2,FALSE)</f>
        <v>#N/A</v>
      </c>
      <c r="AG415" s="35">
        <v>1</v>
      </c>
      <c r="AH415" s="17" t="s">
        <v>1520</v>
      </c>
      <c r="AI415" s="17"/>
      <c r="AK415" s="45" t="e">
        <f>VLOOKUP(AH415,'Actor and Actress Success'!$A$1:$B$72,2,FALSE)</f>
        <v>#N/A</v>
      </c>
    </row>
    <row r="416" spans="1:37">
      <c r="A416" s="18">
        <v>421</v>
      </c>
      <c r="B416" s="8" t="s">
        <v>691</v>
      </c>
      <c r="C416" s="10">
        <v>2012</v>
      </c>
      <c r="D416" s="12">
        <v>41019</v>
      </c>
      <c r="E416" s="12"/>
      <c r="F416" t="s">
        <v>179</v>
      </c>
      <c r="G416" t="s">
        <v>179</v>
      </c>
      <c r="H416" t="s">
        <v>408</v>
      </c>
      <c r="I416" s="10">
        <v>1100</v>
      </c>
      <c r="J416" s="10">
        <v>410</v>
      </c>
      <c r="K416" s="10">
        <v>0</v>
      </c>
      <c r="L416" s="1">
        <v>90000000</v>
      </c>
      <c r="M416" s="1">
        <v>164300000</v>
      </c>
      <c r="N416" s="1">
        <v>173014160</v>
      </c>
      <c r="O416" s="1"/>
      <c r="P416" s="17" t="s">
        <v>1492</v>
      </c>
      <c r="Q416" s="17"/>
      <c r="R416" s="17" t="s">
        <v>1493</v>
      </c>
      <c r="S416" s="17"/>
      <c r="T416" s="17" t="s">
        <v>520</v>
      </c>
      <c r="U416" s="17" t="s">
        <v>1192</v>
      </c>
      <c r="V416" s="17" t="s">
        <v>1494</v>
      </c>
      <c r="W416" s="45" t="e">
        <f>VLOOKUP(V416,'Actor and Actress Success'!$A$1:$B$72,2,FALSE)</f>
        <v>#N/A</v>
      </c>
      <c r="X416" s="35">
        <v>1</v>
      </c>
      <c r="Y416" s="35"/>
      <c r="Z416" s="17" t="s">
        <v>1256</v>
      </c>
      <c r="AA416" s="17"/>
      <c r="AB416" s="45" t="e">
        <f>VLOOKUP(Z416,'Actor and Actress Success'!$A$1:$B$72,2,FALSE)</f>
        <v>#N/A</v>
      </c>
      <c r="AC416" s="35">
        <v>1</v>
      </c>
      <c r="AD416" s="17" t="s">
        <v>1495</v>
      </c>
      <c r="AE416" s="17"/>
      <c r="AF416" s="45" t="e">
        <f>VLOOKUP(AD416,'Actor and Actress Success'!$A$1:$B$72,2,FALSE)</f>
        <v>#N/A</v>
      </c>
      <c r="AG416" s="35"/>
      <c r="AH416" s="17" t="s">
        <v>1496</v>
      </c>
      <c r="AI416" s="17"/>
      <c r="AK416" s="45" t="e">
        <f>VLOOKUP(AH416,'Actor and Actress Success'!$A$1:$B$72,2,FALSE)</f>
        <v>#N/A</v>
      </c>
    </row>
    <row r="417" spans="1:37">
      <c r="A417" s="18">
        <v>422</v>
      </c>
      <c r="B417" s="8" t="s">
        <v>692</v>
      </c>
      <c r="C417" s="10">
        <v>2012</v>
      </c>
      <c r="D417" s="12">
        <v>40949</v>
      </c>
      <c r="E417" s="12"/>
      <c r="F417" t="s">
        <v>179</v>
      </c>
      <c r="G417" t="s">
        <v>179</v>
      </c>
      <c r="H417" t="s">
        <v>56</v>
      </c>
      <c r="I417" s="10">
        <v>1250</v>
      </c>
      <c r="J417" s="10">
        <v>374</v>
      </c>
      <c r="K417" s="10">
        <v>84.12</v>
      </c>
      <c r="L417" s="1">
        <v>320000000</v>
      </c>
      <c r="M417" s="1">
        <v>721100000</v>
      </c>
      <c r="N417" s="1">
        <v>449855340</v>
      </c>
      <c r="O417" s="1"/>
      <c r="P417" s="17" t="s">
        <v>1523</v>
      </c>
      <c r="Q417" s="17"/>
      <c r="R417" s="17" t="s">
        <v>1311</v>
      </c>
      <c r="S417" s="17"/>
      <c r="T417" s="33" t="s">
        <v>1525</v>
      </c>
      <c r="U417" s="17" t="s">
        <v>1526</v>
      </c>
      <c r="V417" s="17" t="s">
        <v>788</v>
      </c>
      <c r="W417" s="45">
        <f>VLOOKUP(V417,'Actor and Actress Success'!$A$1:$B$72,2,FALSE)</f>
        <v>45.652173913043477</v>
      </c>
      <c r="X417" s="35">
        <v>1</v>
      </c>
      <c r="Y417" s="35"/>
      <c r="Z417" s="17" t="s">
        <v>921</v>
      </c>
      <c r="AA417" s="17"/>
      <c r="AB417" s="45" t="e">
        <f>VLOOKUP(Z417,'Actor and Actress Success'!$A$1:$B$72,2,FALSE)</f>
        <v>#N/A</v>
      </c>
      <c r="AC417" s="35">
        <v>1</v>
      </c>
      <c r="AD417" s="17" t="s">
        <v>811</v>
      </c>
      <c r="AE417" s="17"/>
      <c r="AF417" s="45" t="e">
        <f>VLOOKUP(AD417,'Actor and Actress Success'!$A$1:$B$72,2,FALSE)</f>
        <v>#N/A</v>
      </c>
      <c r="AG417" s="35"/>
      <c r="AH417" s="17" t="s">
        <v>1524</v>
      </c>
      <c r="AI417" s="17"/>
      <c r="AK417" s="45" t="e">
        <f>VLOOKUP(AH417,'Actor and Actress Success'!$A$1:$B$72,2,FALSE)</f>
        <v>#N/A</v>
      </c>
    </row>
    <row r="418" spans="1:37">
      <c r="A418" s="18">
        <v>423</v>
      </c>
      <c r="B418" s="8" t="s">
        <v>693</v>
      </c>
      <c r="C418" s="10">
        <v>2013</v>
      </c>
      <c r="D418" s="12">
        <v>41348</v>
      </c>
      <c r="E418" s="12"/>
      <c r="F418" t="s">
        <v>621</v>
      </c>
      <c r="G418" t="s">
        <v>621</v>
      </c>
      <c r="H418" t="s">
        <v>439</v>
      </c>
      <c r="I418" s="10">
        <v>825</v>
      </c>
      <c r="J418" s="10">
        <v>499</v>
      </c>
      <c r="K418" s="10">
        <v>60</v>
      </c>
      <c r="L418" s="1">
        <v>110000000</v>
      </c>
      <c r="M418" s="1">
        <v>149400000</v>
      </c>
      <c r="N418" s="1">
        <v>107809680</v>
      </c>
      <c r="O418" s="1"/>
      <c r="P418" s="17" t="s">
        <v>1527</v>
      </c>
      <c r="Q418" s="17"/>
      <c r="R418" s="17" t="s">
        <v>1528</v>
      </c>
      <c r="S418" s="17"/>
      <c r="T418" s="17" t="s">
        <v>1529</v>
      </c>
      <c r="U418" s="17" t="s">
        <v>1530</v>
      </c>
      <c r="V418" s="17" t="s">
        <v>1531</v>
      </c>
      <c r="W418" s="45" t="e">
        <f>VLOOKUP(V418,'Actor and Actress Success'!$A$1:$B$72,2,FALSE)</f>
        <v>#N/A</v>
      </c>
      <c r="X418" s="35">
        <v>1</v>
      </c>
      <c r="Y418" s="35"/>
      <c r="Z418" s="17" t="s">
        <v>1532</v>
      </c>
      <c r="AA418" s="17"/>
      <c r="AB418" s="45" t="e">
        <f>VLOOKUP(Z418,'Actor and Actress Success'!$A$1:$B$72,2,FALSE)</f>
        <v>#N/A</v>
      </c>
      <c r="AC418" s="35">
        <v>1</v>
      </c>
      <c r="AD418" s="17" t="s">
        <v>1533</v>
      </c>
      <c r="AE418" s="17"/>
      <c r="AF418" s="45" t="e">
        <f>VLOOKUP(AD418,'Actor and Actress Success'!$A$1:$B$72,2,FALSE)</f>
        <v>#N/A</v>
      </c>
      <c r="AG418" s="35"/>
      <c r="AH418" s="17" t="s">
        <v>1534</v>
      </c>
      <c r="AI418" s="17"/>
      <c r="AK418" s="45" t="e">
        <f>VLOOKUP(AH418,'Actor and Actress Success'!$A$1:$B$72,2,FALSE)</f>
        <v>#N/A</v>
      </c>
    </row>
    <row r="419" spans="1:37">
      <c r="A419" s="18">
        <v>424</v>
      </c>
      <c r="B419" s="8" t="s">
        <v>694</v>
      </c>
      <c r="C419" s="10">
        <v>2013</v>
      </c>
      <c r="D419" s="12">
        <v>41278</v>
      </c>
      <c r="E419" s="12"/>
      <c r="F419" t="s">
        <v>621</v>
      </c>
      <c r="G419" t="s">
        <v>621</v>
      </c>
      <c r="H419" t="s">
        <v>408</v>
      </c>
      <c r="I419" s="10">
        <v>850</v>
      </c>
      <c r="J419" s="10">
        <v>494</v>
      </c>
      <c r="K419" s="10">
        <v>56.25</v>
      </c>
      <c r="L419" s="1">
        <v>85000000</v>
      </c>
      <c r="M419" s="1">
        <v>177950000</v>
      </c>
      <c r="N419" s="1">
        <v>132817080</v>
      </c>
      <c r="O419" s="1"/>
      <c r="P419" s="17" t="s">
        <v>1535</v>
      </c>
      <c r="Q419" s="17"/>
      <c r="R419" s="17" t="s">
        <v>1536</v>
      </c>
      <c r="S419" s="17"/>
      <c r="T419" s="17" t="s">
        <v>1541</v>
      </c>
      <c r="U419" s="17" t="s">
        <v>1537</v>
      </c>
      <c r="V419" s="17" t="s">
        <v>453</v>
      </c>
      <c r="W419" s="45" t="e">
        <f>VLOOKUP(V419,'Actor and Actress Success'!$A$1:$B$72,2,FALSE)</f>
        <v>#N/A</v>
      </c>
      <c r="X419" s="35"/>
      <c r="Y419" s="35"/>
      <c r="Z419" s="17" t="s">
        <v>1538</v>
      </c>
      <c r="AA419" s="17"/>
      <c r="AB419" s="45" t="e">
        <f>VLOOKUP(Z419,'Actor and Actress Success'!$A$1:$B$72,2,FALSE)</f>
        <v>#N/A</v>
      </c>
      <c r="AC419" s="35">
        <v>1</v>
      </c>
      <c r="AD419" s="17" t="s">
        <v>1539</v>
      </c>
      <c r="AE419" s="17"/>
      <c r="AF419" s="45" t="e">
        <f>VLOOKUP(AD419,'Actor and Actress Success'!$A$1:$B$72,2,FALSE)</f>
        <v>#N/A</v>
      </c>
      <c r="AG419" s="35">
        <v>1</v>
      </c>
      <c r="AH419" s="17" t="s">
        <v>1540</v>
      </c>
      <c r="AI419" s="17"/>
      <c r="AK419" s="45" t="e">
        <f>VLOOKUP(AH419,'Actor and Actress Success'!$A$1:$B$72,2,FALSE)</f>
        <v>#N/A</v>
      </c>
    </row>
    <row r="420" spans="1:37">
      <c r="A420" s="18">
        <v>425</v>
      </c>
      <c r="B420" s="8" t="s">
        <v>695</v>
      </c>
      <c r="C420" s="10">
        <v>2013</v>
      </c>
      <c r="D420" s="12">
        <v>41537</v>
      </c>
      <c r="E420" s="12"/>
      <c r="F420" t="s">
        <v>179</v>
      </c>
      <c r="G420" t="s">
        <v>179</v>
      </c>
      <c r="H420" s="17" t="s">
        <v>6</v>
      </c>
      <c r="I420" s="10">
        <v>400</v>
      </c>
      <c r="J420" s="10">
        <v>408</v>
      </c>
      <c r="K420" s="10">
        <v>67.08</v>
      </c>
      <c r="L420" s="1">
        <v>220000000</v>
      </c>
      <c r="M420" s="1">
        <v>1008520000</v>
      </c>
      <c r="N420" s="20">
        <v>208500000</v>
      </c>
      <c r="O420" s="20"/>
      <c r="P420" s="17" t="s">
        <v>1542</v>
      </c>
      <c r="Q420" s="17"/>
      <c r="T420" s="17" t="s">
        <v>1542</v>
      </c>
      <c r="U420" s="17" t="s">
        <v>1544</v>
      </c>
      <c r="V420" s="17" t="s">
        <v>1033</v>
      </c>
      <c r="W420" s="45" t="e">
        <f>VLOOKUP(V420,'Actor and Actress Success'!$A$1:$B$72,2,FALSE)</f>
        <v>#N/A</v>
      </c>
      <c r="X420" s="35">
        <v>1</v>
      </c>
      <c r="Y420" s="35"/>
      <c r="Z420" s="17" t="s">
        <v>1208</v>
      </c>
      <c r="AA420" s="17"/>
      <c r="AB420" s="45" t="e">
        <f>VLOOKUP(Z420,'Actor and Actress Success'!$A$1:$B$72,2,FALSE)</f>
        <v>#N/A</v>
      </c>
      <c r="AC420" s="35">
        <v>1</v>
      </c>
      <c r="AD420" s="17" t="s">
        <v>1154</v>
      </c>
      <c r="AE420" s="17"/>
      <c r="AF420" s="45" t="e">
        <f>VLOOKUP(AD420,'Actor and Actress Success'!$A$1:$B$72,2,FALSE)</f>
        <v>#N/A</v>
      </c>
      <c r="AG420" s="35">
        <v>1</v>
      </c>
      <c r="AH420" s="17" t="s">
        <v>1543</v>
      </c>
      <c r="AI420" s="17"/>
      <c r="AK420" s="45" t="e">
        <f>VLOOKUP(AH420,'Actor and Actress Success'!$A$1:$B$72,2,FALSE)</f>
        <v>#N/A</v>
      </c>
    </row>
    <row r="421" spans="1:37">
      <c r="A421" s="18">
        <v>426</v>
      </c>
      <c r="B421" s="8" t="s">
        <v>696</v>
      </c>
      <c r="C421" s="10">
        <v>2013</v>
      </c>
      <c r="D421" s="12">
        <v>41397</v>
      </c>
      <c r="E421" s="12"/>
      <c r="F421" t="s">
        <v>179</v>
      </c>
      <c r="G421" t="s">
        <v>179</v>
      </c>
      <c r="H421" s="17" t="s">
        <v>50</v>
      </c>
      <c r="I421" s="10">
        <v>2200</v>
      </c>
      <c r="J421" s="10">
        <v>352</v>
      </c>
      <c r="K421" s="10">
        <v>36.43</v>
      </c>
      <c r="L421" s="1">
        <v>490000000</v>
      </c>
      <c r="M421" s="20">
        <v>825542500</v>
      </c>
      <c r="N421" s="20">
        <v>660102740</v>
      </c>
      <c r="O421" s="20"/>
      <c r="P421" s="17" t="s">
        <v>769</v>
      </c>
      <c r="Q421" s="17"/>
      <c r="R421" s="17" t="s">
        <v>1545</v>
      </c>
      <c r="S421" s="17"/>
      <c r="T421" s="17" t="s">
        <v>1546</v>
      </c>
      <c r="U421" s="17" t="s">
        <v>969</v>
      </c>
      <c r="V421" s="17" t="s">
        <v>442</v>
      </c>
      <c r="W421" s="45">
        <f>VLOOKUP(V421,'Actor and Actress Success'!$A$1:$B$72,2,FALSE)</f>
        <v>34.042553191489361</v>
      </c>
      <c r="X421" s="35">
        <v>1</v>
      </c>
      <c r="Y421" s="35">
        <f>'Star Economic history'!X5</f>
        <v>159150000</v>
      </c>
      <c r="Z421" s="17" t="s">
        <v>918</v>
      </c>
      <c r="AA421" s="17"/>
      <c r="AB421" s="45">
        <f>VLOOKUP(Z421,'Actor and Actress Success'!$A$1:$B$72,2,FALSE)</f>
        <v>36.111111111111107</v>
      </c>
      <c r="AC421" s="35">
        <v>1</v>
      </c>
      <c r="AD421" s="17" t="s">
        <v>479</v>
      </c>
      <c r="AE421" s="17"/>
      <c r="AF421" s="45" t="e">
        <f>VLOOKUP(AD421,'Actor and Actress Success'!$A$1:$B$72,2,FALSE)</f>
        <v>#N/A</v>
      </c>
      <c r="AG421" s="35">
        <v>1</v>
      </c>
      <c r="AH421" s="17" t="s">
        <v>1113</v>
      </c>
      <c r="AI421" s="17"/>
      <c r="AJ421" s="34">
        <v>1</v>
      </c>
      <c r="AK421" s="45">
        <f>VLOOKUP(AH421,'Actor and Actress Success'!$A$1:$B$72,2,FALSE)</f>
        <v>39.285714285714285</v>
      </c>
    </row>
    <row r="422" spans="1:37">
      <c r="A422" s="18">
        <v>427</v>
      </c>
      <c r="B422" s="8" t="s">
        <v>643</v>
      </c>
      <c r="C422" s="10">
        <v>2014</v>
      </c>
      <c r="D422" s="12">
        <v>41892</v>
      </c>
      <c r="E422" s="12"/>
      <c r="F422" t="s">
        <v>621</v>
      </c>
      <c r="G422" t="s">
        <v>621</v>
      </c>
      <c r="H422" s="17" t="s">
        <v>547</v>
      </c>
      <c r="I422" s="10">
        <v>1150</v>
      </c>
      <c r="J422" s="10">
        <v>480</v>
      </c>
      <c r="K422" s="10">
        <v>33</v>
      </c>
      <c r="L422" s="20">
        <v>230000000</v>
      </c>
      <c r="M422" s="20">
        <v>506715000</v>
      </c>
      <c r="N422" s="20">
        <v>253375000</v>
      </c>
      <c r="O422" s="20"/>
      <c r="P422" s="17" t="s">
        <v>1547</v>
      </c>
      <c r="Q422" s="17"/>
      <c r="R422" s="17" t="s">
        <v>1549</v>
      </c>
      <c r="S422" s="17"/>
      <c r="T422" s="17" t="s">
        <v>1548</v>
      </c>
      <c r="U422" s="17" t="s">
        <v>1550</v>
      </c>
      <c r="V422" s="17" t="s">
        <v>1214</v>
      </c>
      <c r="W422" s="45">
        <f>VLOOKUP(V422,'Actor and Actress Success'!$A$1:$B$72,2,FALSE)</f>
        <v>35.714285714285715</v>
      </c>
      <c r="X422" s="35">
        <v>1</v>
      </c>
      <c r="Y422" s="35"/>
      <c r="Z422" s="17" t="s">
        <v>1295</v>
      </c>
      <c r="AA422" s="17"/>
      <c r="AB422" s="45" t="e">
        <f>VLOOKUP(Z422,'Actor and Actress Success'!$A$1:$B$72,2,FALSE)</f>
        <v>#N/A</v>
      </c>
      <c r="AC422" s="35">
        <v>1</v>
      </c>
      <c r="AD422" s="17" t="s">
        <v>832</v>
      </c>
      <c r="AE422" s="17"/>
      <c r="AF422" s="45" t="e">
        <f>VLOOKUP(AD422,'Actor and Actress Success'!$A$1:$B$72,2,FALSE)</f>
        <v>#N/A</v>
      </c>
      <c r="AG422" s="35"/>
      <c r="AH422" s="17" t="s">
        <v>1524</v>
      </c>
      <c r="AI422" s="17"/>
      <c r="AK422" s="45" t="e">
        <f>VLOOKUP(AH422,'Actor and Actress Success'!$A$1:$B$72,2,FALSE)</f>
        <v>#N/A</v>
      </c>
    </row>
    <row r="423" spans="1:37">
      <c r="A423" s="18">
        <v>428</v>
      </c>
      <c r="B423" s="8" t="s">
        <v>697</v>
      </c>
      <c r="C423" s="10">
        <v>2014</v>
      </c>
      <c r="D423" s="12">
        <v>41691</v>
      </c>
      <c r="E423" s="12"/>
      <c r="F423" t="s">
        <v>621</v>
      </c>
      <c r="G423" t="s">
        <v>621</v>
      </c>
      <c r="H423" s="17" t="s">
        <v>6</v>
      </c>
      <c r="I423" s="10">
        <v>750</v>
      </c>
      <c r="J423" s="10">
        <v>476</v>
      </c>
      <c r="K423" s="10">
        <v>67.22</v>
      </c>
      <c r="L423" s="20">
        <v>250000000</v>
      </c>
      <c r="M423" s="20">
        <v>477065000</v>
      </c>
      <c r="N423" s="20">
        <v>284300000</v>
      </c>
      <c r="O423" s="20"/>
      <c r="P423" s="17" t="s">
        <v>974</v>
      </c>
      <c r="Q423" s="17"/>
      <c r="R423" s="17" t="s">
        <v>418</v>
      </c>
      <c r="S423" s="17"/>
      <c r="T423" s="17" t="s">
        <v>974</v>
      </c>
      <c r="U423" s="17" t="s">
        <v>974</v>
      </c>
      <c r="V423" s="17" t="s">
        <v>1158</v>
      </c>
      <c r="W423" s="45" t="e">
        <f>VLOOKUP(V423,'Actor and Actress Success'!$A$1:$B$72,2,FALSE)</f>
        <v>#N/A</v>
      </c>
      <c r="X423" s="35">
        <v>1</v>
      </c>
      <c r="Y423" s="35"/>
      <c r="Z423" s="17" t="s">
        <v>1284</v>
      </c>
      <c r="AA423" s="17"/>
      <c r="AB423" s="45">
        <f>VLOOKUP(Z423,'Actor and Actress Success'!$A$1:$B$72,2,FALSE)</f>
        <v>77.777777777777786</v>
      </c>
      <c r="AC423" s="35">
        <v>1</v>
      </c>
      <c r="AD423" s="17" t="s">
        <v>1551</v>
      </c>
      <c r="AE423" s="17"/>
      <c r="AF423" s="45" t="e">
        <f>VLOOKUP(AD423,'Actor and Actress Success'!$A$1:$B$72,2,FALSE)</f>
        <v>#N/A</v>
      </c>
      <c r="AG423" s="35"/>
      <c r="AH423" s="17" t="s">
        <v>1552</v>
      </c>
      <c r="AI423" s="17"/>
      <c r="AK423" s="45" t="e">
        <f>VLOOKUP(AH423,'Actor and Actress Success'!$A$1:$B$72,2,FALSE)</f>
        <v>#N/A</v>
      </c>
    </row>
    <row r="424" spans="1:37">
      <c r="A424" s="18">
        <v>429</v>
      </c>
      <c r="B424" s="8" t="s">
        <v>698</v>
      </c>
      <c r="C424" s="10">
        <v>2014</v>
      </c>
      <c r="D424" s="12">
        <v>41838</v>
      </c>
      <c r="E424" s="12"/>
      <c r="F424" t="s">
        <v>179</v>
      </c>
      <c r="G424" t="s">
        <v>179</v>
      </c>
      <c r="H424" s="17" t="s">
        <v>408</v>
      </c>
      <c r="I424" s="10">
        <v>1800</v>
      </c>
      <c r="J424" s="10">
        <v>396</v>
      </c>
      <c r="K424" s="10">
        <v>43</v>
      </c>
      <c r="L424" s="20">
        <v>150000000</v>
      </c>
      <c r="M424" s="20">
        <v>310700000</v>
      </c>
      <c r="N424" s="20">
        <v>286658900</v>
      </c>
      <c r="O424" s="20"/>
      <c r="P424" s="17" t="s">
        <v>1340</v>
      </c>
      <c r="Q424" s="17"/>
      <c r="R424" s="17" t="s">
        <v>1558</v>
      </c>
      <c r="S424" s="17"/>
      <c r="T424" s="17" t="s">
        <v>1553</v>
      </c>
      <c r="U424" s="17" t="s">
        <v>1553</v>
      </c>
      <c r="V424" s="17" t="s">
        <v>1554</v>
      </c>
      <c r="W424" s="45" t="e">
        <f>VLOOKUP(V424,'Actor and Actress Success'!$A$1:$B$72,2,FALSE)</f>
        <v>#N/A</v>
      </c>
      <c r="X424" s="35">
        <v>1</v>
      </c>
      <c r="Y424" s="35"/>
      <c r="Z424" s="17" t="s">
        <v>1555</v>
      </c>
      <c r="AA424" s="17"/>
      <c r="AB424" s="45" t="e">
        <f>VLOOKUP(Z424,'Actor and Actress Success'!$A$1:$B$72,2,FALSE)</f>
        <v>#N/A</v>
      </c>
      <c r="AC424" s="35">
        <v>1</v>
      </c>
      <c r="AD424" s="17" t="s">
        <v>1556</v>
      </c>
      <c r="AE424" s="17"/>
      <c r="AF424" s="45" t="e">
        <f>VLOOKUP(AD424,'Actor and Actress Success'!$A$1:$B$72,2,FALSE)</f>
        <v>#N/A</v>
      </c>
      <c r="AG424" s="35">
        <v>1</v>
      </c>
      <c r="AH424" s="17" t="s">
        <v>1557</v>
      </c>
      <c r="AI424" s="17"/>
      <c r="AK424" s="45" t="e">
        <f>VLOOKUP(AH424,'Actor and Actress Success'!$A$1:$B$72,2,FALSE)</f>
        <v>#N/A</v>
      </c>
    </row>
    <row r="425" spans="1:37">
      <c r="A425" s="18">
        <v>430</v>
      </c>
      <c r="B425" s="8" t="s">
        <v>699</v>
      </c>
      <c r="C425" s="10">
        <v>2014</v>
      </c>
      <c r="D425" s="12">
        <v>41677</v>
      </c>
      <c r="E425" s="12"/>
      <c r="F425" t="s">
        <v>179</v>
      </c>
      <c r="G425" t="s">
        <v>179</v>
      </c>
      <c r="H425" s="17" t="s">
        <v>547</v>
      </c>
      <c r="I425" s="10">
        <v>1300</v>
      </c>
      <c r="J425" s="10">
        <v>383</v>
      </c>
      <c r="K425" s="10">
        <v>66.88</v>
      </c>
      <c r="L425" s="20">
        <v>260000000</v>
      </c>
      <c r="M425" s="20">
        <v>617420000</v>
      </c>
      <c r="N425" s="20">
        <v>365625000</v>
      </c>
      <c r="O425" s="20"/>
      <c r="P425" s="17" t="s">
        <v>1559</v>
      </c>
      <c r="Q425" s="17"/>
      <c r="R425" s="17" t="s">
        <v>805</v>
      </c>
      <c r="S425" s="17"/>
      <c r="T425" s="17" t="s">
        <v>1560</v>
      </c>
      <c r="U425" s="17" t="s">
        <v>1560</v>
      </c>
      <c r="V425" s="17" t="s">
        <v>1225</v>
      </c>
      <c r="W425" s="45" t="e">
        <f>VLOOKUP(V425,'Actor and Actress Success'!$A$1:$B$72,2,FALSE)</f>
        <v>#N/A</v>
      </c>
      <c r="X425" s="35">
        <v>1</v>
      </c>
      <c r="Y425" s="35"/>
      <c r="Z425" s="17" t="s">
        <v>1334</v>
      </c>
      <c r="AA425" s="17"/>
      <c r="AB425" s="45">
        <f>VLOOKUP(Z425,'Actor and Actress Success'!$A$1:$B$72,2,FALSE)</f>
        <v>50</v>
      </c>
      <c r="AC425" s="35">
        <v>1</v>
      </c>
      <c r="AD425" s="17" t="s">
        <v>1474</v>
      </c>
      <c r="AE425" s="17"/>
      <c r="AF425" s="45" t="e">
        <f>VLOOKUP(AD425,'Actor and Actress Success'!$A$1:$B$72,2,FALSE)</f>
        <v>#N/A</v>
      </c>
      <c r="AG425" s="35">
        <v>1</v>
      </c>
      <c r="AH425" s="17" t="s">
        <v>1561</v>
      </c>
      <c r="AI425" s="17"/>
      <c r="AK425" s="45" t="e">
        <f>VLOOKUP(AH425,'Actor and Actress Success'!$A$1:$B$72,2,FALSE)</f>
        <v>#N/A</v>
      </c>
    </row>
    <row r="426" spans="1:37">
      <c r="A426" s="18">
        <v>431</v>
      </c>
      <c r="B426" s="8" t="s">
        <v>700</v>
      </c>
      <c r="C426" s="10">
        <v>2015</v>
      </c>
      <c r="D426" s="12">
        <v>42083</v>
      </c>
      <c r="E426" s="12"/>
      <c r="F426" t="s">
        <v>621</v>
      </c>
      <c r="G426" t="s">
        <v>621</v>
      </c>
      <c r="H426" s="17" t="s">
        <v>439</v>
      </c>
      <c r="I426" s="10">
        <v>725</v>
      </c>
      <c r="J426" s="10">
        <v>495</v>
      </c>
      <c r="K426" s="10">
        <v>51.36</v>
      </c>
      <c r="L426" s="20">
        <v>90000000</v>
      </c>
      <c r="M426" s="20">
        <v>174600000</v>
      </c>
      <c r="N426" s="20">
        <v>128650000</v>
      </c>
      <c r="O426" s="20"/>
      <c r="P426" s="17" t="s">
        <v>1560</v>
      </c>
      <c r="Q426" s="17"/>
      <c r="R426" s="17" t="s">
        <v>1562</v>
      </c>
      <c r="S426" s="17"/>
      <c r="T426" s="17" t="s">
        <v>1560</v>
      </c>
      <c r="U426" s="17" t="s">
        <v>1560</v>
      </c>
      <c r="V426" s="17" t="s">
        <v>1256</v>
      </c>
      <c r="W426" s="45" t="e">
        <f>VLOOKUP(V426,'Actor and Actress Success'!$A$1:$B$72,2,FALSE)</f>
        <v>#N/A</v>
      </c>
      <c r="X426" s="35">
        <v>1</v>
      </c>
      <c r="Y426" s="35"/>
      <c r="Z426" s="17" t="s">
        <v>1563</v>
      </c>
      <c r="AA426" s="17"/>
      <c r="AB426" s="45" t="e">
        <f>VLOOKUP(Z426,'Actor and Actress Success'!$A$1:$B$72,2,FALSE)</f>
        <v>#N/A</v>
      </c>
      <c r="AC426" s="35">
        <v>1</v>
      </c>
      <c r="AD426" s="17" t="s">
        <v>1564</v>
      </c>
      <c r="AE426" s="17"/>
      <c r="AF426" s="45" t="e">
        <f>VLOOKUP(AD426,'Actor and Actress Success'!$A$1:$B$72,2,FALSE)</f>
        <v>#N/A</v>
      </c>
      <c r="AG426" s="35">
        <v>1</v>
      </c>
      <c r="AH426" s="17" t="s">
        <v>1565</v>
      </c>
      <c r="AI426" s="17"/>
      <c r="AK426" s="45" t="e">
        <f>VLOOKUP(AH426,'Actor and Actress Success'!$A$1:$B$72,2,FALSE)</f>
        <v>#N/A</v>
      </c>
    </row>
    <row r="427" spans="1:37">
      <c r="A427" s="18">
        <v>432</v>
      </c>
      <c r="B427" s="8" t="s">
        <v>701</v>
      </c>
      <c r="C427" s="10">
        <v>2015</v>
      </c>
      <c r="D427" s="12">
        <v>42237</v>
      </c>
      <c r="E427" s="12"/>
      <c r="F427" t="s">
        <v>621</v>
      </c>
      <c r="G427" t="s">
        <v>621</v>
      </c>
      <c r="H427" s="17" t="s">
        <v>6</v>
      </c>
      <c r="I427" s="10">
        <v>575</v>
      </c>
      <c r="J427" s="10">
        <v>496</v>
      </c>
      <c r="K427" s="10">
        <v>65.400000000000006</v>
      </c>
      <c r="L427" s="20">
        <v>85000000</v>
      </c>
      <c r="M427" s="20">
        <v>172400000</v>
      </c>
      <c r="N427" s="20">
        <v>135350000</v>
      </c>
      <c r="O427" s="20"/>
      <c r="P427" s="17" t="s">
        <v>1566</v>
      </c>
      <c r="Q427" s="17"/>
      <c r="R427" s="17" t="s">
        <v>1567</v>
      </c>
      <c r="S427" s="17"/>
      <c r="T427" s="17" t="s">
        <v>1570</v>
      </c>
      <c r="V427" s="17" t="s">
        <v>1154</v>
      </c>
      <c r="W427" s="45" t="e">
        <f>VLOOKUP(V427,'Actor and Actress Success'!$A$1:$B$72,2,FALSE)</f>
        <v>#N/A</v>
      </c>
      <c r="X427" s="35">
        <v>1</v>
      </c>
      <c r="Y427" s="35"/>
      <c r="Z427" s="17" t="s">
        <v>1563</v>
      </c>
      <c r="AA427" s="17"/>
      <c r="AB427" s="45" t="e">
        <f>VLOOKUP(Z427,'Actor and Actress Success'!$A$1:$B$72,2,FALSE)</f>
        <v>#N/A</v>
      </c>
      <c r="AC427" s="35">
        <v>1</v>
      </c>
      <c r="AD427" s="17" t="s">
        <v>1568</v>
      </c>
      <c r="AE427" s="17"/>
      <c r="AF427" s="45" t="e">
        <f>VLOOKUP(AD427,'Actor and Actress Success'!$A$1:$B$72,2,FALSE)</f>
        <v>#N/A</v>
      </c>
      <c r="AG427" s="35"/>
      <c r="AH427" s="17" t="s">
        <v>1569</v>
      </c>
      <c r="AI427" s="17"/>
      <c r="AK427" s="45" t="e">
        <f>VLOOKUP(AH427,'Actor and Actress Success'!$A$1:$B$72,2,FALSE)</f>
        <v>#N/A</v>
      </c>
    </row>
    <row r="428" spans="1:37">
      <c r="A428" s="18">
        <v>433</v>
      </c>
      <c r="B428" s="8" t="s">
        <v>702</v>
      </c>
      <c r="C428" s="10">
        <v>2015</v>
      </c>
      <c r="D428" s="12">
        <v>42216</v>
      </c>
      <c r="E428" s="12"/>
      <c r="F428" t="s">
        <v>179</v>
      </c>
      <c r="G428" t="s">
        <v>179</v>
      </c>
      <c r="H428" s="17" t="s">
        <v>408</v>
      </c>
      <c r="I428" s="10">
        <v>2250</v>
      </c>
      <c r="J428" s="10">
        <v>346</v>
      </c>
      <c r="K428" s="10">
        <v>58.49</v>
      </c>
      <c r="L428" s="20">
        <v>620000000</v>
      </c>
      <c r="M428" s="20">
        <v>1104260000</v>
      </c>
      <c r="N428" s="20">
        <v>686650000</v>
      </c>
      <c r="O428" s="20"/>
      <c r="P428" s="17" t="s">
        <v>1571</v>
      </c>
      <c r="Q428" s="17"/>
      <c r="R428" s="17" t="s">
        <v>515</v>
      </c>
      <c r="S428" s="17"/>
      <c r="T428" s="17" t="s">
        <v>1572</v>
      </c>
      <c r="U428" s="17" t="s">
        <v>1573</v>
      </c>
      <c r="V428" s="17" t="s">
        <v>429</v>
      </c>
      <c r="W428" s="45">
        <f>VLOOKUP(V428,'Actor and Actress Success'!$A$1:$B$72,2,FALSE)</f>
        <v>39.285714285714285</v>
      </c>
      <c r="X428" s="35">
        <v>1</v>
      </c>
      <c r="Y428" s="35">
        <f>'Star Economic history'!Z4</f>
        <v>987950000</v>
      </c>
      <c r="Z428" s="17" t="s">
        <v>394</v>
      </c>
      <c r="AA428" s="17"/>
      <c r="AB428" s="45" t="e">
        <f>VLOOKUP(Z428,'Actor and Actress Success'!$A$1:$B$72,2,FALSE)</f>
        <v>#N/A</v>
      </c>
      <c r="AC428" s="35">
        <v>1</v>
      </c>
      <c r="AD428" s="17" t="s">
        <v>1122</v>
      </c>
      <c r="AE428" s="17"/>
      <c r="AF428" s="45" t="e">
        <f>VLOOKUP(AD428,'Actor and Actress Success'!$A$1:$B$72,2,FALSE)</f>
        <v>#N/A</v>
      </c>
      <c r="AG428" s="35">
        <v>1</v>
      </c>
      <c r="AH428" s="17" t="s">
        <v>1074</v>
      </c>
      <c r="AI428" s="17"/>
      <c r="AK428" s="45" t="e">
        <f>VLOOKUP(AH428,'Actor and Actress Success'!$A$1:$B$72,2,FALSE)</f>
        <v>#N/A</v>
      </c>
    </row>
    <row r="429" spans="1:37">
      <c r="A429" s="18">
        <v>434</v>
      </c>
      <c r="B429" s="8" t="s">
        <v>703</v>
      </c>
      <c r="C429" s="10">
        <v>2015</v>
      </c>
      <c r="D429" s="12">
        <v>42027</v>
      </c>
      <c r="E429" s="12"/>
      <c r="F429" t="s">
        <v>179</v>
      </c>
      <c r="G429" t="s">
        <v>179</v>
      </c>
      <c r="H429" s="17" t="s">
        <v>408</v>
      </c>
      <c r="I429" s="10">
        <v>2450</v>
      </c>
      <c r="J429" s="10">
        <v>329</v>
      </c>
      <c r="K429" s="10">
        <v>51.9</v>
      </c>
      <c r="L429" s="20">
        <v>750000000</v>
      </c>
      <c r="M429" s="20">
        <v>1248440000</v>
      </c>
      <c r="N429" s="20">
        <v>831357120</v>
      </c>
      <c r="O429" s="20"/>
      <c r="P429" s="17" t="s">
        <v>1067</v>
      </c>
      <c r="Q429" s="17"/>
      <c r="R429" s="17" t="s">
        <v>1575</v>
      </c>
      <c r="S429" s="17"/>
      <c r="T429" s="17" t="s">
        <v>1067</v>
      </c>
      <c r="U429" s="17" t="s">
        <v>1067</v>
      </c>
      <c r="V429" s="17" t="s">
        <v>397</v>
      </c>
      <c r="W429" s="45">
        <f>VLOOKUP(V429,'Actor and Actress Success'!$A$1:$B$72,2,FALSE)</f>
        <v>44.117647058823529</v>
      </c>
      <c r="X429" s="35">
        <v>1</v>
      </c>
      <c r="Y429" s="35">
        <f>'Star Economic history'!AA6</f>
        <v>761950000</v>
      </c>
      <c r="Z429" s="17" t="s">
        <v>462</v>
      </c>
      <c r="AA429" s="17"/>
      <c r="AB429" s="45" t="e">
        <f>VLOOKUP(Z429,'Actor and Actress Success'!$A$1:$B$72,2,FALSE)</f>
        <v>#N/A</v>
      </c>
      <c r="AC429" s="35"/>
      <c r="AD429" s="17" t="s">
        <v>1574</v>
      </c>
      <c r="AE429" s="17"/>
      <c r="AF429" s="45" t="e">
        <f>VLOOKUP(AD429,'Actor and Actress Success'!$A$1:$B$72,2,FALSE)</f>
        <v>#N/A</v>
      </c>
      <c r="AG429" s="35"/>
      <c r="AH429" s="17" t="s">
        <v>1359</v>
      </c>
      <c r="AI429" s="17"/>
      <c r="AJ429" s="34">
        <v>1</v>
      </c>
      <c r="AK429" s="45" t="e">
        <f>VLOOKUP(AH429,'Actor and Actress Success'!$A$1:$B$72,2,FALSE)</f>
        <v>#N/A</v>
      </c>
    </row>
    <row r="430" spans="1:37">
      <c r="A430" s="18">
        <v>435</v>
      </c>
      <c r="B430" s="8" t="s">
        <v>704</v>
      </c>
      <c r="C430" s="10">
        <v>2016</v>
      </c>
      <c r="D430" s="12">
        <v>42377</v>
      </c>
      <c r="E430" s="12"/>
      <c r="F430" t="s">
        <v>621</v>
      </c>
      <c r="G430" t="s">
        <v>621</v>
      </c>
      <c r="H430" s="17" t="s">
        <v>408</v>
      </c>
      <c r="I430" s="10">
        <v>1550</v>
      </c>
      <c r="J430" s="10">
        <v>462</v>
      </c>
      <c r="K430" s="10">
        <v>54.17</v>
      </c>
      <c r="L430" s="20">
        <v>360000000</v>
      </c>
      <c r="M430" s="20">
        <v>757515000</v>
      </c>
      <c r="N430" s="1">
        <v>403000000</v>
      </c>
      <c r="O430" s="1"/>
      <c r="P430" s="17" t="s">
        <v>1576</v>
      </c>
      <c r="Q430" s="17"/>
      <c r="R430" s="17" t="s">
        <v>1578</v>
      </c>
      <c r="S430" s="17"/>
      <c r="T430" s="17" t="s">
        <v>1579</v>
      </c>
      <c r="U430" s="17" t="s">
        <v>1029</v>
      </c>
      <c r="V430" s="17" t="s">
        <v>497</v>
      </c>
      <c r="W430" s="45">
        <f>VLOOKUP(V430,'Actor and Actress Success'!$A$1:$B$72,2,FALSE)</f>
        <v>33.333333333333329</v>
      </c>
      <c r="X430" s="35">
        <v>1</v>
      </c>
      <c r="Y430" s="35"/>
      <c r="Z430" s="17" t="s">
        <v>1213</v>
      </c>
      <c r="AA430" s="17"/>
      <c r="AB430" s="45" t="e">
        <f>VLOOKUP(Z430,'Actor and Actress Success'!$A$1:$B$72,2,FALSE)</f>
        <v>#N/A</v>
      </c>
      <c r="AC430" s="35">
        <v>1</v>
      </c>
      <c r="AD430" s="17" t="s">
        <v>1394</v>
      </c>
      <c r="AE430" s="17"/>
      <c r="AF430" s="45" t="e">
        <f>VLOOKUP(AD430,'Actor and Actress Success'!$A$1:$B$72,2,FALSE)</f>
        <v>#N/A</v>
      </c>
      <c r="AG430" s="35">
        <v>1</v>
      </c>
      <c r="AH430" s="17" t="s">
        <v>1577</v>
      </c>
      <c r="AI430" s="17"/>
      <c r="AK430" s="45" t="e">
        <f>VLOOKUP(AH430,'Actor and Actress Success'!$A$1:$B$72,2,FALSE)</f>
        <v>#N/A</v>
      </c>
    </row>
    <row r="431" spans="1:37">
      <c r="A431" s="18">
        <v>436</v>
      </c>
      <c r="B431" s="8" t="s">
        <v>705</v>
      </c>
      <c r="C431" s="10">
        <v>2016</v>
      </c>
      <c r="D431" s="12">
        <v>42601</v>
      </c>
      <c r="E431" s="12"/>
      <c r="F431" t="s">
        <v>179</v>
      </c>
      <c r="G431" t="s">
        <v>179</v>
      </c>
      <c r="H431" s="17" t="s">
        <v>547</v>
      </c>
      <c r="I431" s="10">
        <v>1000</v>
      </c>
      <c r="J431" s="10"/>
      <c r="K431" s="10">
        <v>55.71</v>
      </c>
      <c r="L431" s="20">
        <v>200000000</v>
      </c>
      <c r="M431" s="17"/>
      <c r="N431" s="20">
        <v>241800000</v>
      </c>
      <c r="O431" s="20"/>
      <c r="P431" s="17" t="s">
        <v>1580</v>
      </c>
      <c r="Q431" s="17"/>
      <c r="R431" s="17" t="s">
        <v>1298</v>
      </c>
      <c r="S431" s="17"/>
      <c r="T431" s="17" t="s">
        <v>1580</v>
      </c>
      <c r="U431" s="17" t="s">
        <v>1580</v>
      </c>
      <c r="V431" s="17" t="s">
        <v>1265</v>
      </c>
      <c r="W431" s="45" t="e">
        <f>VLOOKUP(V431,'Actor and Actress Success'!$A$1:$B$72,2,FALSE)</f>
        <v>#N/A</v>
      </c>
      <c r="X431" s="35">
        <v>1</v>
      </c>
      <c r="Y431" s="35"/>
      <c r="Z431" s="17" t="s">
        <v>1268</v>
      </c>
      <c r="AA431" s="17"/>
      <c r="AB431" s="45" t="e">
        <f>VLOOKUP(Z431,'Actor and Actress Success'!$A$1:$B$72,2,FALSE)</f>
        <v>#N/A</v>
      </c>
      <c r="AC431" s="35">
        <v>1</v>
      </c>
      <c r="AD431" s="17" t="s">
        <v>1028</v>
      </c>
      <c r="AE431" s="17"/>
      <c r="AF431" s="45" t="e">
        <f>VLOOKUP(AD431,'Actor and Actress Success'!$A$1:$B$72,2,FALSE)</f>
        <v>#N/A</v>
      </c>
      <c r="AG431" s="35"/>
      <c r="AH431" s="17" t="s">
        <v>1427</v>
      </c>
      <c r="AI431" s="17"/>
      <c r="AJ431" s="34">
        <v>1</v>
      </c>
      <c r="AK431" s="45" t="e">
        <f>VLOOKUP(AH431,'Actor and Actress Success'!$A$1:$B$72,2,FALSE)</f>
        <v>#N/A</v>
      </c>
    </row>
    <row r="432" spans="1:37">
      <c r="A432" s="18">
        <v>437</v>
      </c>
      <c r="B432" s="8" t="s">
        <v>706</v>
      </c>
      <c r="C432" s="10">
        <v>2016</v>
      </c>
      <c r="D432" s="12">
        <v>42538</v>
      </c>
      <c r="E432" s="12"/>
      <c r="F432" t="s">
        <v>179</v>
      </c>
      <c r="G432" t="s">
        <v>179</v>
      </c>
      <c r="H432" s="17" t="s">
        <v>408</v>
      </c>
      <c r="I432" s="10">
        <v>2200</v>
      </c>
      <c r="J432" s="10"/>
      <c r="K432" s="10">
        <v>59.21</v>
      </c>
      <c r="L432" s="20">
        <v>470000000</v>
      </c>
      <c r="M432" s="20">
        <v>160800000</v>
      </c>
      <c r="N432" s="20">
        <v>600475000</v>
      </c>
      <c r="O432" s="20"/>
      <c r="P432" s="17" t="s">
        <v>1581</v>
      </c>
      <c r="Q432" s="17"/>
      <c r="R432" s="17" t="s">
        <v>1311</v>
      </c>
      <c r="S432" s="17"/>
      <c r="T432" s="17" t="s">
        <v>1583</v>
      </c>
      <c r="U432" s="17" t="s">
        <v>1583</v>
      </c>
      <c r="V432" s="17" t="s">
        <v>823</v>
      </c>
      <c r="W432" s="45">
        <f>VLOOKUP(V432,'Actor and Actress Success'!$A$1:$B$72,2,FALSE)</f>
        <v>38.461538461538467</v>
      </c>
      <c r="X432" s="35">
        <v>1</v>
      </c>
      <c r="Y432" s="35"/>
      <c r="Z432" s="17" t="s">
        <v>788</v>
      </c>
      <c r="AA432" s="17"/>
      <c r="AB432" s="45">
        <f>VLOOKUP(Z432,'Actor and Actress Success'!$A$1:$B$72,2,FALSE)</f>
        <v>45.652173913043477</v>
      </c>
      <c r="AC432" s="35">
        <v>1</v>
      </c>
      <c r="AD432" s="17" t="s">
        <v>1284</v>
      </c>
      <c r="AE432" s="17"/>
      <c r="AF432" s="45">
        <f>VLOOKUP(AD432,'Actor and Actress Success'!$A$1:$B$72,2,FALSE)</f>
        <v>77.777777777777786</v>
      </c>
      <c r="AG432" s="35">
        <v>1</v>
      </c>
      <c r="AH432" s="17" t="s">
        <v>1582</v>
      </c>
      <c r="AI432" s="17"/>
      <c r="AJ432" s="34">
        <v>1</v>
      </c>
      <c r="AK432" s="45" t="e">
        <f>VLOOKUP(AH432,'Actor and Actress Success'!$A$1:$B$72,2,FALSE)</f>
        <v>#N/A</v>
      </c>
    </row>
    <row r="433" spans="1:37">
      <c r="A433" s="18">
        <v>438</v>
      </c>
      <c r="B433" s="8" t="s">
        <v>707</v>
      </c>
      <c r="C433" s="10">
        <v>2016</v>
      </c>
      <c r="D433" s="12">
        <v>42580</v>
      </c>
      <c r="E433" s="12"/>
      <c r="F433" t="s">
        <v>179</v>
      </c>
      <c r="G433" t="s">
        <v>179</v>
      </c>
      <c r="H433" s="17" t="s">
        <v>50</v>
      </c>
      <c r="I433" s="10">
        <v>3000</v>
      </c>
      <c r="J433" s="10"/>
      <c r="K433" s="10">
        <v>60</v>
      </c>
      <c r="L433" s="20">
        <v>610000000</v>
      </c>
      <c r="M433" s="20">
        <v>1187630000</v>
      </c>
      <c r="N433" s="20">
        <v>678050000</v>
      </c>
      <c r="O433" s="20"/>
      <c r="P433" s="17" t="s">
        <v>1584</v>
      </c>
      <c r="Q433" s="17"/>
      <c r="R433" s="17" t="s">
        <v>801</v>
      </c>
      <c r="S433" s="17"/>
      <c r="T433" s="17" t="s">
        <v>1585</v>
      </c>
      <c r="U433" s="17" t="s">
        <v>1586</v>
      </c>
      <c r="V433" s="17" t="s">
        <v>918</v>
      </c>
      <c r="W433" s="45">
        <f>VLOOKUP(V433,'Actor and Actress Success'!$A$1:$B$72,2,FALSE)</f>
        <v>36.111111111111107</v>
      </c>
      <c r="X433" s="35">
        <v>1</v>
      </c>
      <c r="Y433" s="35"/>
      <c r="Z433" s="17" t="s">
        <v>1220</v>
      </c>
      <c r="AA433" s="17"/>
      <c r="AB433" s="45">
        <f>VLOOKUP(Z433,'Actor and Actress Success'!$A$1:$B$72,2,FALSE)</f>
        <v>88.888888888888886</v>
      </c>
      <c r="AC433" s="35">
        <v>1</v>
      </c>
      <c r="AD433" s="17" t="s">
        <v>1170</v>
      </c>
      <c r="AE433" s="17"/>
      <c r="AF433" s="45" t="e">
        <f>VLOOKUP(AD433,'Actor and Actress Success'!$A$1:$B$72,2,FALSE)</f>
        <v>#N/A</v>
      </c>
      <c r="AG433" s="35">
        <v>1</v>
      </c>
      <c r="AH433" s="17" t="s">
        <v>569</v>
      </c>
      <c r="AI433" s="17"/>
      <c r="AJ433" s="34">
        <v>1</v>
      </c>
      <c r="AK433" s="45" t="e">
        <f>VLOOKUP(AH433,'Actor and Actress Success'!$A$1:$B$72,2,FALSE)</f>
        <v>#N/A</v>
      </c>
    </row>
    <row r="434" spans="1:37">
      <c r="C434" s="10"/>
      <c r="I434" s="17"/>
      <c r="L434" s="20"/>
      <c r="M434" s="17"/>
      <c r="N434" s="17"/>
      <c r="O434" s="17"/>
      <c r="P434" s="17"/>
      <c r="Q434" s="17"/>
    </row>
    <row r="435" spans="1:37">
      <c r="I435" s="17"/>
      <c r="L435" s="20"/>
      <c r="M435" s="17"/>
      <c r="N435" s="17"/>
      <c r="O435" s="17"/>
      <c r="P435" s="17"/>
      <c r="Q435" s="17"/>
    </row>
    <row r="436" spans="1:37">
      <c r="I436" s="17"/>
      <c r="L436" s="17"/>
      <c r="M436" s="17"/>
      <c r="N436" s="17"/>
      <c r="O436" s="17"/>
      <c r="P436" s="17"/>
      <c r="Q436" s="17"/>
    </row>
    <row r="437" spans="1:37">
      <c r="I437" s="17"/>
      <c r="L437" s="17"/>
      <c r="M437" s="17"/>
      <c r="N437" s="17"/>
      <c r="O437" s="17"/>
      <c r="P437" s="17"/>
      <c r="Q437" s="17"/>
    </row>
    <row r="438" spans="1:37">
      <c r="M438" s="17"/>
      <c r="N438" s="17"/>
      <c r="O438" s="17"/>
      <c r="P438" s="17"/>
      <c r="Q438" s="17"/>
      <c r="X438" s="21"/>
    </row>
    <row r="439" spans="1:37">
      <c r="L439" s="17"/>
      <c r="M439" s="17"/>
      <c r="N439" s="28"/>
      <c r="O439" s="28"/>
      <c r="P439" s="17"/>
      <c r="Q439" s="17"/>
      <c r="X439" s="21"/>
    </row>
    <row r="440" spans="1:37">
      <c r="L440" s="17"/>
      <c r="M440" s="17"/>
      <c r="N440" s="28"/>
      <c r="O440" s="28"/>
      <c r="P440" s="17"/>
      <c r="Q440" s="17"/>
    </row>
    <row r="441" spans="1:37">
      <c r="L441" s="17"/>
      <c r="M441" s="17"/>
      <c r="N441" s="17"/>
      <c r="O441" s="17"/>
      <c r="P441" s="17"/>
      <c r="Q441" s="17"/>
    </row>
    <row r="442" spans="1:37">
      <c r="L442" s="17"/>
      <c r="M442" s="17"/>
      <c r="N442" s="17"/>
      <c r="O442" s="17"/>
    </row>
    <row r="443" spans="1:37">
      <c r="L443" s="17"/>
      <c r="N443" s="17"/>
      <c r="O443" s="17"/>
    </row>
    <row r="444" spans="1:37">
      <c r="L444" s="17"/>
      <c r="N444" s="17"/>
      <c r="O444" s="17"/>
    </row>
    <row r="445" spans="1:37">
      <c r="L445" s="17"/>
    </row>
    <row r="446" spans="1:37">
      <c r="L446" s="17"/>
    </row>
    <row r="447" spans="1:37">
      <c r="L447" s="17"/>
    </row>
    <row r="448" spans="1:37">
      <c r="L448" s="17"/>
    </row>
    <row r="449" spans="12:12">
      <c r="L449" s="17"/>
    </row>
    <row r="450" spans="12:12">
      <c r="L450" s="17"/>
    </row>
    <row r="451" spans="12:12">
      <c r="L451" s="17"/>
    </row>
    <row r="452" spans="12:12">
      <c r="L452" s="17"/>
    </row>
    <row r="453" spans="12:12">
      <c r="L453" s="17"/>
    </row>
    <row r="454" spans="12:12">
      <c r="L454" s="17"/>
    </row>
    <row r="455" spans="12:12">
      <c r="L455" s="17"/>
    </row>
    <row r="456" spans="12:12">
      <c r="L456" s="17"/>
    </row>
  </sheetData>
  <autoFilter ref="A1:AL433">
    <sortState ref="A2:AL433">
      <sortCondition ref="A1:A433"/>
    </sortState>
  </autoFilter>
  <sortState ref="A2:AL433">
    <sortCondition ref="AG1"/>
  </sortState>
  <hyperlinks>
    <hyperlink ref="B4" r:id="rId1" display="http://www.boxofficeindia.com/movie.php?movieid=2737"/>
    <hyperlink ref="B2" r:id="rId2" display="http://www.boxofficeindia.com/movie.php?movieid=11"/>
    <hyperlink ref="B3" r:id="rId3" display="http://www.boxofficeindia.com/movie.php?movieid=3036"/>
    <hyperlink ref="B5" r:id="rId4" display="http://www.boxofficeindia.com/movie.php?movieid=2678"/>
    <hyperlink ref="B6" r:id="rId5" display="http://www.boxofficeindia.com/movie.php?movieid=2514"/>
    <hyperlink ref="B7" r:id="rId6" display="http://www.boxofficeindia.com/movie.php?movieid=3032"/>
    <hyperlink ref="B8" r:id="rId7" display="http://www.boxofficeindia.com/movie.php?movieid=2635"/>
    <hyperlink ref="B9" r:id="rId8" display="http://www.boxofficeindia.com/movie.php?movieid=992"/>
    <hyperlink ref="B10" r:id="rId9" display="http://www.boxofficeindia.com/movie.php?movieid=3102"/>
    <hyperlink ref="B11" r:id="rId10" display="http://www.boxofficeindia.com/movie.php?movieid=3033"/>
    <hyperlink ref="B12" r:id="rId11" display="http://www.boxofficeindia.com/movie.php?movieid=2817"/>
    <hyperlink ref="B13" r:id="rId12" display="http://www.boxofficeindia.com/movie.php?movieid=2958"/>
    <hyperlink ref="B14" r:id="rId13" display="http://www.boxofficeindia.com/movie.php?movieid=3093"/>
    <hyperlink ref="B16" r:id="rId14" display="http://www.boxofficeindia.com/movie.php?movieid=2660"/>
    <hyperlink ref="B15" r:id="rId15" display="http://www.boxofficeindia.com/movie.php?movieid=2627"/>
    <hyperlink ref="B17" r:id="rId16" display="http://www.boxofficeindia.com/movie.php?movieid=2968"/>
    <hyperlink ref="B18" r:id="rId17" display="http://www.boxofficeindia.com/movie.php?movieid=991"/>
    <hyperlink ref="B19" r:id="rId18" display="http://www.boxofficeindia.com/movie.php?movieid=2693"/>
    <hyperlink ref="B20" r:id="rId19" display="http://www.boxofficeindia.com/movie.php?movieid=2503"/>
    <hyperlink ref="B21" r:id="rId20" display="http://www.boxofficeindia.com/movie.php?movieid=2704"/>
    <hyperlink ref="B22" r:id="rId21" display="http://www.boxofficeindia.com/movie.php?movieid=2769"/>
    <hyperlink ref="B23" r:id="rId22" display="http://www.boxofficeindia.com/movie.php?movieid=2548"/>
    <hyperlink ref="B24" r:id="rId23" display="http://www.boxofficeindia.com/movie.php?movieid=2793"/>
    <hyperlink ref="B25" r:id="rId24" display="http://www.boxofficeindia.com/movie.php?movieid=2739"/>
    <hyperlink ref="B26" r:id="rId25" display="http://www.boxofficeindia.com/movie.php?movieid=3183"/>
    <hyperlink ref="B27" r:id="rId26" display="http://www.boxofficeindia.com/movie.php?movieid=2583"/>
    <hyperlink ref="B28" r:id="rId27" display="http://www.boxofficeindia.com/movie.php?movieid=2807"/>
    <hyperlink ref="B29" r:id="rId28" display="http://www.boxofficeindia.com/movie.php?movieid=2974"/>
    <hyperlink ref="B30" r:id="rId29" display="http://www.boxofficeindia.com/movie.php?movieid=2703"/>
    <hyperlink ref="B31" r:id="rId30" display="http://www.boxofficeindia.com/movie.php?movieid=2827"/>
    <hyperlink ref="B32" r:id="rId31" display="http://www.boxofficeindia.com/movie.php?movieid=2455"/>
    <hyperlink ref="B33" r:id="rId32" display="http://www.boxofficeindia.com/movie.php?movieid=3178"/>
    <hyperlink ref="B34" r:id="rId33" display="http://www.boxofficeindia.com/movie.php?movieid=2985"/>
    <hyperlink ref="B35" r:id="rId34" display="http://www.boxofficeindia.com/movie.php?movieid=2403"/>
    <hyperlink ref="B36" r:id="rId35" display="http://www.boxofficeindia.com/movie.php?movieid=2674"/>
    <hyperlink ref="B37" r:id="rId36" display="http://www.boxofficeindia.com/movie.php?movieid=2515"/>
    <hyperlink ref="B38" r:id="rId37" display="http://www.boxofficeindia.com/movie.php?movieid=2411"/>
    <hyperlink ref="B39" r:id="rId38" display="http://www.boxofficeindia.com/movie.php?movieid=2706"/>
    <hyperlink ref="B40" r:id="rId39" display="http://www.boxofficeindia.com/movie.php?movieid=3159"/>
    <hyperlink ref="B41" r:id="rId40" display="http://www.boxofficeindia.com/movie.php?movieid=2452"/>
    <hyperlink ref="B42" r:id="rId41" display="http://www.boxofficeindia.com/movie.php?movieid=2642"/>
    <hyperlink ref="B43" r:id="rId42" display="http://www.boxofficeindia.com/movie.php?movieid=2988"/>
    <hyperlink ref="B44" r:id="rId43" display="http://www.boxofficeindia.com/movie.php?movieid=2553"/>
    <hyperlink ref="B45" r:id="rId44" display="http://www.boxofficeindia.com/movie.php?movieid=2404"/>
    <hyperlink ref="B46" r:id="rId45" display="http://www.boxofficeindia.com/movie.php?movieid=2801"/>
    <hyperlink ref="B47" r:id="rId46" display="http://www.boxofficeindia.com/movie.php?movieid=2555"/>
    <hyperlink ref="B48" r:id="rId47" display="http://www.boxofficeindia.com/movie.php?movieid=3074"/>
    <hyperlink ref="B49" r:id="rId48" display="http://www.boxofficeindia.com/movie.php?movieid=2557"/>
    <hyperlink ref="B50" r:id="rId49" display="http://www.boxofficeindia.com/movie.php?movieid=2519"/>
    <hyperlink ref="B51" r:id="rId50" display="http://www.boxofficeindia.com/movie.php?movieid=2681"/>
    <hyperlink ref="B52" r:id="rId51" display="http://www.boxofficeindia.com/movie.php?movieid=2915"/>
    <hyperlink ref="B53" r:id="rId52" display="http://www.boxofficeindia.com/movie.php?movieid=3090"/>
    <hyperlink ref="B54" r:id="rId53" display="http://www.boxofficeindia.com/movie.php?movieid=2670"/>
    <hyperlink ref="B55" r:id="rId54" display="http://www.boxofficeindia.com/movie.php?movieid=3034"/>
    <hyperlink ref="B56" r:id="rId55" display="http://www.boxofficeindia.com/movie.php?movieid=2453"/>
    <hyperlink ref="B57" r:id="rId56" display="http://www.boxofficeindia.com/movie.php?movieid=3182"/>
    <hyperlink ref="B58" r:id="rId57" display="http://www.boxofficeindia.com/movie.php?movieid=3138"/>
    <hyperlink ref="B59" r:id="rId58" display="http://www.boxofficeindia.com/movie.php?movieid=2620"/>
    <hyperlink ref="B60" r:id="rId59" display="http://www.boxofficeindia.com/movie.php?movieid=2732"/>
    <hyperlink ref="B61" r:id="rId60" display="http://www.boxofficeindia.com/movie.php?movieid=2961"/>
    <hyperlink ref="B62" r:id="rId61" display="http://www.boxofficeindia.com/movie.php?movieid=2797"/>
    <hyperlink ref="B63" r:id="rId62" display="http://www.boxofficeindia.com/movie.php?movieid=2788"/>
    <hyperlink ref="B64" r:id="rId63" display="http://www.boxofficeindia.com/movie.php?movieid=2388"/>
    <hyperlink ref="B65" r:id="rId64" display="http://www.boxofficeindia.com/movie.php?movieid=2556"/>
    <hyperlink ref="B66" r:id="rId65" display="http://www.boxofficeindia.com/movie.php?movieid=2705"/>
    <hyperlink ref="B67" r:id="rId66" display="http://www.boxofficeindia.com/movie.php?movieid=2756"/>
    <hyperlink ref="B68" r:id="rId67" display="http://www.boxofficeindia.com/movie.php?movieid=2568"/>
    <hyperlink ref="B69" r:id="rId68" display="http://www.boxofficeindia.com/movie.php?movieid=2364"/>
    <hyperlink ref="B70" r:id="rId69" display="http://www.boxofficeindia.com/movie.php?movieid=2264"/>
    <hyperlink ref="B71" r:id="rId70" display="http://www.boxofficeindia.com/movie.php?movieid=3158"/>
    <hyperlink ref="B72" r:id="rId71" display="http://www.boxofficeindia.com/movie.php?movieid=2641"/>
    <hyperlink ref="B73" r:id="rId72" display="http://www.boxofficeindia.com/movie.php?movieid=2424"/>
    <hyperlink ref="B74" r:id="rId73" display="http://www.boxofficeindia.com/movie.php?movieid=2634"/>
    <hyperlink ref="B75" r:id="rId74" display="http://www.boxofficeindia.com/movie.php?movieid=2795"/>
    <hyperlink ref="B76" r:id="rId75" display="http://www.boxofficeindia.com/movie.php?movieid=2431"/>
    <hyperlink ref="B77" r:id="rId76" display="http://www.boxofficeindia.com/movie.php?movieid=2633"/>
    <hyperlink ref="B78" r:id="rId77" display="http://www.boxofficeindia.com/movie.php?movieid=3141"/>
    <hyperlink ref="B79" r:id="rId78" display="http://www.boxofficeindia.com/movie.php?movieid=3110"/>
    <hyperlink ref="B80" r:id="rId79" display="http://www.boxofficeindia.com/movie.php?movieid=3105"/>
    <hyperlink ref="B81" r:id="rId80" display="http://www.boxofficeindia.com/movie.php?movieid=3055"/>
    <hyperlink ref="B82" r:id="rId81" display="http://www.boxofficeindia.com/movie.php?movieid=2935"/>
    <hyperlink ref="B83" r:id="rId82" display="http://www.boxofficeindia.com/movie.php?movieid=3169"/>
    <hyperlink ref="B84" r:id="rId83" display="http://www.boxofficeindia.com/movie.php?movieid=3161"/>
    <hyperlink ref="B85" r:id="rId84" display="http://www.boxofficeindia.com/movie.php?movieid=2623"/>
    <hyperlink ref="B86" r:id="rId85" display="http://www.boxofficeindia.com/movie.php?movieid=2417"/>
    <hyperlink ref="B87" r:id="rId86" display="http://www.boxofficeindia.com/movie.php?movieid=2590"/>
    <hyperlink ref="B88" r:id="rId87" display="http://www.boxofficeindia.com/movie.php?movieid=2715"/>
    <hyperlink ref="B89" r:id="rId88" display="http://www.boxofficeindia.com/movie.php?movieid=2397"/>
    <hyperlink ref="B91" r:id="rId89" display="http://www.boxofficeindia.com/movie.php?movieid=2690"/>
    <hyperlink ref="B92" r:id="rId90" display="http://www.boxofficeindia.com/movie.php?movieid=2389"/>
    <hyperlink ref="B93" r:id="rId91" display="http://www.boxofficeindia.com/movie.php?movieid=3108"/>
    <hyperlink ref="B94" r:id="rId92" display="http://www.boxofficeindia.com/movie.php?movieid=2390"/>
    <hyperlink ref="B95" r:id="rId93" display="http://www.boxofficeindia.com/movie.php?movieid=2384"/>
    <hyperlink ref="B90" r:id="rId94" display="http://www.boxofficeindia.com/movie.php?movieid=2541"/>
    <hyperlink ref="B97" r:id="rId95" display="http://www.boxofficeindia.com/movie.php?movieid=2773"/>
    <hyperlink ref="B98" r:id="rId96" display="http://www.boxofficeindia.com/movie.php?movieid=2726"/>
    <hyperlink ref="B99" r:id="rId97" display="http://www.boxofficeindia.com/movie.php?movieid=2385"/>
    <hyperlink ref="B100" r:id="rId98" display="http://www.boxofficeindia.com/movie.php?movieid=3142"/>
    <hyperlink ref="B101" r:id="rId99" display="http://www.boxofficeindia.com/movie.php?movieid=657"/>
    <hyperlink ref="B102" r:id="rId100" display="http://www.boxofficeindia.com/movie.php?movieid=136"/>
    <hyperlink ref="B103" r:id="rId101" display="http://www.boxofficeindia.com/movie.php?movieid=658"/>
    <hyperlink ref="B104" r:id="rId102" display="http://www.boxofficeindia.com/movie.php?movieid=711"/>
    <hyperlink ref="B105" r:id="rId103" display="http://www.boxofficeindia.com/movie.php?movieid=712"/>
    <hyperlink ref="B106" r:id="rId104" display="http://www.boxofficeindia.com/movie.php?movieid=309"/>
    <hyperlink ref="B107" r:id="rId105" display="http://www.boxofficeindia.com/movie.php?movieid=176"/>
    <hyperlink ref="B108" r:id="rId106" display="http://www.boxofficeindia.com/movie.php?movieid=384"/>
    <hyperlink ref="B109" r:id="rId107" display="http://www.boxofficeindia.com/movie.php?movieid=266"/>
    <hyperlink ref="B110" r:id="rId108" display="http://www.boxofficeindia.com/movie.php?movieid=303"/>
    <hyperlink ref="B111" r:id="rId109" display="http://www.boxofficeindia.com/movie.php?movieid=313"/>
    <hyperlink ref="B112" r:id="rId110" display="http://www.boxofficeindia.com/movie.php?movieid=592"/>
    <hyperlink ref="B113" r:id="rId111" display="http://www.boxofficeindia.com/movie.php?movieid=378"/>
    <hyperlink ref="B114" r:id="rId112" display="http://www.boxofficeindia.com/movie.php?movieid=507"/>
    <hyperlink ref="B115" r:id="rId113" display="http://www.boxofficeindia.com/movie.php?movieid=265"/>
    <hyperlink ref="B116" r:id="rId114" display="http://www.boxofficeindia.com/movie.php?movieid=258"/>
    <hyperlink ref="B117" r:id="rId115" display="http://www.boxofficeindia.com/movie.php?movieid=202"/>
    <hyperlink ref="B118" r:id="rId116" display="http://www.boxofficeindia.com/movie.php?movieid=234"/>
    <hyperlink ref="B119" r:id="rId117" display="http://www.boxofficeindia.com/movie.php?movieid=297"/>
    <hyperlink ref="B120" r:id="rId118" display="http://www.boxofficeindia.com/movie.php?movieid=451"/>
    <hyperlink ref="B121" r:id="rId119" display="http://www.boxofficeindia.com/movie.php?movieid=389"/>
    <hyperlink ref="B122" r:id="rId120" display="http://www.boxofficeindia.com/movie.php?movieid=263"/>
    <hyperlink ref="B123" r:id="rId121" display="http://www.boxofficeindia.com/movie.php?movieid=367"/>
    <hyperlink ref="B124" r:id="rId122" display="http://www.boxofficeindia.com/movie.php?movieid=390"/>
    <hyperlink ref="B125" r:id="rId123" display="http://www.boxofficeindia.com/movie.php?movieid=665"/>
    <hyperlink ref="B126" r:id="rId124" display="http://www.boxofficeindia.com/movie.php?movieid=139"/>
    <hyperlink ref="B127" r:id="rId125" display="http://www.boxofficeindia.com/movie.php?movieid=450"/>
    <hyperlink ref="B128" r:id="rId126" display="http://www.boxofficeindia.com/movie.php?movieid=317"/>
    <hyperlink ref="B129" r:id="rId127" display="http://www.boxofficeindia.com/movie.php?movieid=750"/>
    <hyperlink ref="B130" r:id="rId128" display="http://www.boxofficeindia.com/movie.php?movieid=366"/>
    <hyperlink ref="B131" r:id="rId129" display="http://www.boxofficeindia.com/movie.php?movieid=316"/>
    <hyperlink ref="B132" r:id="rId130" display="http://www.boxofficeindia.com/movie.php?movieid=458"/>
    <hyperlink ref="B133" r:id="rId131" display="http://www.boxofficeindia.com/movie.php?movieid=591"/>
    <hyperlink ref="B134" r:id="rId132" display="http://www.boxofficeindia.com/movie.php?movieid=659"/>
    <hyperlink ref="B135" r:id="rId133" display="http://www.boxofficeindia.com/movie.php?movieid=660"/>
    <hyperlink ref="B136" r:id="rId134" display="http://www.boxofficeindia.com/movie.php?movieid=508"/>
    <hyperlink ref="B137" r:id="rId135" display="http://www.boxofficeindia.com/movie.php?movieid=716"/>
    <hyperlink ref="B138" r:id="rId136" display="http://www.boxofficeindia.com/movie.php?movieid=137"/>
    <hyperlink ref="B139" r:id="rId137" display="http://www.boxofficeindia.com/movie.php?movieid=369"/>
    <hyperlink ref="B140" r:id="rId138" display="http://www.boxofficeindia.com/movie.php?movieid=452"/>
    <hyperlink ref="B141" r:id="rId139" display="http://www.boxofficeindia.com/movie.php?movieid=292"/>
    <hyperlink ref="B142" r:id="rId140" display="http://www.boxofficeindia.com/movie.php?movieid=661"/>
    <hyperlink ref="B143" r:id="rId141" display="http://www.boxofficeindia.com/movie.php?movieid=233"/>
    <hyperlink ref="B144" r:id="rId142" display="http://www.boxofficeindia.com/movie.php?movieid=717"/>
    <hyperlink ref="B145" r:id="rId143" display="http://www.boxofficeindia.com/movie.php?movieid=246"/>
    <hyperlink ref="B146" r:id="rId144" display="http://www.boxofficeindia.com/movie.php?movieid=223"/>
    <hyperlink ref="B147" r:id="rId145" display="http://www.boxofficeindia.com/movie.php?movieid=190"/>
    <hyperlink ref="B148" r:id="rId146" display="http://www.boxofficeindia.com/movie.php?movieid=453"/>
    <hyperlink ref="B149" r:id="rId147" display="http://www.boxofficeindia.com/movie.php?movieid=138"/>
    <hyperlink ref="B150" r:id="rId148" display="http://www.boxofficeindia.com/movie.php?movieid=311"/>
    <hyperlink ref="B151" r:id="rId149" display="http://www.boxofficeindia.com/movie.php?movieid=284"/>
    <hyperlink ref="B152" r:id="rId150" display="http://www.boxofficeindia.com/movie.php?movieid=739"/>
    <hyperlink ref="B153" r:id="rId151" display="http://www.boxofficeindia.com/movie.php?movieid=392"/>
    <hyperlink ref="B154" r:id="rId152" display="http://www.boxofficeindia.com/movie.php?movieid=510"/>
    <hyperlink ref="B155" r:id="rId153" display="http://www.boxofficeindia.com/movie.php?movieid=514"/>
    <hyperlink ref="B156" r:id="rId154" display="http://www.boxofficeindia.com/movie.php?movieid=515"/>
    <hyperlink ref="B157" r:id="rId155" display="http://www.boxofficeindia.com/movie.php?movieid=511"/>
    <hyperlink ref="B158" r:id="rId156" display="http://www.boxofficeindia.com/movie.php?movieid=142"/>
    <hyperlink ref="B159" r:id="rId157" display="http://www.boxofficeindia.com/movie.php?movieid=299"/>
    <hyperlink ref="B160" r:id="rId158" display="http://www.boxofficeindia.com/movie.php?movieid=457"/>
    <hyperlink ref="B161" r:id="rId159" display="http://www.boxofficeindia.com/movie.php?movieid=459"/>
    <hyperlink ref="B162" r:id="rId160" display="http://www.boxofficeindia.com/movie.php?movieid=601"/>
    <hyperlink ref="B163" r:id="rId161" display="http://www.boxofficeindia.com/movie.php?movieid=395"/>
    <hyperlink ref="B164" r:id="rId162" display="http://www.boxofficeindia.com/movie.php?movieid=248"/>
    <hyperlink ref="B165" r:id="rId163" display="http://www.boxofficeindia.com/movie.php?movieid=519"/>
    <hyperlink ref="B166" r:id="rId164" display="http://www.boxofficeindia.com/movie.php?movieid=456"/>
    <hyperlink ref="B167" r:id="rId165" display="http://www.boxofficeindia.com/movie.php?movieid=403"/>
    <hyperlink ref="B168" r:id="rId166" display="http://www.boxofficeindia.com/movie.php?movieid=524"/>
    <hyperlink ref="B169" r:id="rId167" display="http://www.boxofficeindia.com/movie.php?movieid=197"/>
    <hyperlink ref="B170" r:id="rId168" display="http://www.boxofficeindia.com/movie.php?movieid=622"/>
    <hyperlink ref="B171" r:id="rId169" display="http://www.boxofficeindia.com/movie.php?movieid=336"/>
    <hyperlink ref="B172" r:id="rId170" display="http://www.boxofficeindia.com/movie.php?movieid=360"/>
    <hyperlink ref="B173" r:id="rId171" display="http://www.boxofficeindia.com/movie.php?movieid=662"/>
    <hyperlink ref="B174" r:id="rId172" display="http://www.boxofficeindia.com/movie.php?movieid=364"/>
    <hyperlink ref="B175" r:id="rId173" display="http://www.boxofficeindia.com/movie.php?movieid=721"/>
    <hyperlink ref="B176" r:id="rId174" display="http://www.boxofficeindia.com/movie.php?movieid=186"/>
    <hyperlink ref="B177" r:id="rId175" display="http://www.boxofficeindia.com/movie.php?movieid=224"/>
    <hyperlink ref="B178" r:id="rId176" display="http://www.boxofficeindia.com/movie.php?movieid=341"/>
    <hyperlink ref="B179" r:id="rId177" display="http://www.boxofficeindia.com/movie.php?movieid=239"/>
    <hyperlink ref="B180" r:id="rId178" display="http://www.boxofficeindia.com/movie.php?movieid=393"/>
    <hyperlink ref="B181" r:id="rId179" display="http://www.boxofficeindia.com/movie.php?movieid=225"/>
    <hyperlink ref="B182" r:id="rId180" display="http://www.boxofficeindia.com/movie.php?movieid=396"/>
    <hyperlink ref="B183" r:id="rId181" display="http://www.boxofficeindia.com/movie.php?movieid=517"/>
    <hyperlink ref="B184" r:id="rId182" display="http://www.boxofficeindia.com/movie.php?movieid=323"/>
    <hyperlink ref="B185" r:id="rId183" display="http://www.boxofficeindia.com/movie.php?movieid=267"/>
    <hyperlink ref="B186" r:id="rId184" display="http://www.boxofficeindia.com/movie.php?movieid=150"/>
    <hyperlink ref="B187" r:id="rId185" display="http://www.boxofficeindia.com/movie.php?movieid=274"/>
    <hyperlink ref="B188" r:id="rId186" display="http://www.boxofficeindia.com/movie.php?movieid=539"/>
    <hyperlink ref="B189" r:id="rId187" display="http://www.boxofficeindia.com/movie.php?movieid=148"/>
    <hyperlink ref="B190" r:id="rId188" display="http://www.boxofficeindia.com/movie.php?movieid=518"/>
    <hyperlink ref="B191" r:id="rId189" display="http://www.boxofficeindia.com/movie.php?movieid=374"/>
    <hyperlink ref="B192" r:id="rId190" display="http://www.boxofficeindia.com/movie.php?movieid=283"/>
    <hyperlink ref="B193" r:id="rId191" display="http://www.boxofficeindia.com/movie.php?movieid=157"/>
    <hyperlink ref="B194" r:id="rId192" display="http://www.boxofficeindia.com/movie.php?movieid=616"/>
    <hyperlink ref="B195" r:id="rId193" display="http://www.boxofficeindia.com/movie.php?movieid=275"/>
    <hyperlink ref="B196" r:id="rId194" display="http://www.boxofficeindia.com/movie.php?movieid=362"/>
    <hyperlink ref="B197" r:id="rId195" display="http://www.boxofficeindia.com/movie.php?movieid=467"/>
    <hyperlink ref="B198" r:id="rId196" display="http://www.boxofficeindia.com/movie.php?movieid=683"/>
    <hyperlink ref="B199" r:id="rId197" display="http://www.boxofficeindia.com/movie.php?movieid=347"/>
    <hyperlink ref="B200" r:id="rId198" display="http://www.boxofficeindia.com/movie.php?movieid=440"/>
    <hyperlink ref="B201" r:id="rId199" display="http://www.boxofficeindia.com/movie.php?movieid=2482"/>
    <hyperlink ref="B202" r:id="rId200" display="http://www.boxofficeindia.com/movie.php?movieid=2899"/>
    <hyperlink ref="B203" r:id="rId201" display="http://www.boxofficeindia.com/movie.php?movieid=1956"/>
    <hyperlink ref="B204" r:id="rId202" display="http://www.boxofficeindia.com/movie.php?movieid=3317"/>
    <hyperlink ref="B205" r:id="rId203" display="http://www.boxofficeindia.com/movie.php?movieid=1304"/>
    <hyperlink ref="B206" r:id="rId204" display="http://www.boxofficeindia.com/movie.php?movieid=65"/>
    <hyperlink ref="B207" r:id="rId205" display="http://www.boxofficeindia.com/movie.php?movieid=887"/>
    <hyperlink ref="B208" r:id="rId206" display="http://www.boxofficeindia.com/movie.php?movieid=2286"/>
    <hyperlink ref="B209" r:id="rId207" display="http://www.boxofficeindia.com/movie.php?movieid=26"/>
    <hyperlink ref="B210" r:id="rId208" display="http://www.boxofficeindia.com/movie.php?movieid=1711"/>
    <hyperlink ref="B211" r:id="rId209" display="http://www.boxofficeindia.com/movie.php?movieid=1206"/>
    <hyperlink ref="B212" r:id="rId210" display="http://www.boxofficeindia.com/movie.php?movieid=1280"/>
    <hyperlink ref="B213" r:id="rId211" display="http://www.boxofficeindia.com/movie.php?movieid=177"/>
    <hyperlink ref="B214" r:id="rId212" display="http://www.boxofficeindia.com/movie.php?movieid=27"/>
    <hyperlink ref="B215" r:id="rId213" display="http://www.boxofficeindia.com/movie.php?movieid=5"/>
    <hyperlink ref="B216" r:id="rId214" display="http://www.boxofficeindia.com/movie.php?movieid=2870"/>
    <hyperlink ref="B217" r:id="rId215" display="http://www.boxofficeindia.com/movie.php?movieid=989"/>
    <hyperlink ref="B218" r:id="rId216" display="http://www.boxofficeindia.com/movie.php?movieid=2344"/>
    <hyperlink ref="B219" r:id="rId217" display="http://www.boxofficeindia.com/movie.php?movieid=2289"/>
    <hyperlink ref="B220" r:id="rId218" display="http://www.boxofficeindia.com/movie.php?movieid=1"/>
    <hyperlink ref="B221" r:id="rId219" display="http://www.boxofficeindia.com/movie.php?movieid=4"/>
    <hyperlink ref="B222" r:id="rId220" display="http://www.boxofficeindia.com/movie.php?movieid=3"/>
    <hyperlink ref="B223" r:id="rId221" display="http://www.boxofficeindia.com/movie.php?movieid=89"/>
    <hyperlink ref="B224" r:id="rId222" display="http://www.boxofficeindia.com/movie.php?movieid=3357"/>
    <hyperlink ref="B225" r:id="rId223" display="http://www.boxofficeindia.com/movie.php?movieid=3211"/>
    <hyperlink ref="B226" r:id="rId224" display="http://www.boxofficeindia.com/movie.php?movieid=1292"/>
    <hyperlink ref="B227" r:id="rId225" display="http://www.boxofficeindia.com/movie.php?movieid=2882"/>
    <hyperlink ref="B228" r:id="rId226" display="http://www.boxofficeindia.com/movie.php?movieid=1482"/>
    <hyperlink ref="B229" r:id="rId227" display="http://www.boxofficeindia.com/movie.php?movieid=1061"/>
    <hyperlink ref="B230" r:id="rId228" display="http://www.boxofficeindia.com/movie.php?movieid=30"/>
    <hyperlink ref="B231" r:id="rId229" display="http://www.boxofficeindia.com/movie.php?movieid=2271"/>
    <hyperlink ref="B232" r:id="rId230" display="http://www.boxofficeindia.com/movie.php?movieid=2228"/>
    <hyperlink ref="B233" r:id="rId231" display="http://www.boxofficeindia.com/movie.php?movieid=1142"/>
    <hyperlink ref="B234" r:id="rId232" display="http://www.boxofficeindia.com/movie.php?movieid=1046"/>
    <hyperlink ref="B235" r:id="rId233" display="http://www.boxofficeindia.com/movie.php?movieid=38"/>
    <hyperlink ref="B236" r:id="rId234" display="http://www.boxofficeindia.com/movie.php?movieid=3083"/>
    <hyperlink ref="B237" r:id="rId235" display="http://www.boxofficeindia.com/movie.php?movieid=3125"/>
    <hyperlink ref="B238" r:id="rId236" display="http://www.boxofficeindia.com/movie.php?movieid=3193"/>
    <hyperlink ref="B239" r:id="rId237" display="http://www.boxofficeindia.com/movie.php?movieid=28"/>
    <hyperlink ref="B240" r:id="rId238" display="http://www.boxofficeindia.com/movie.php?movieid=29"/>
    <hyperlink ref="B241" r:id="rId239" display="http://www.boxofficeindia.com/movie.php?movieid=262"/>
    <hyperlink ref="B242" r:id="rId240" display="http://www.boxofficeindia.com/movie.php?movieid=2256"/>
    <hyperlink ref="B243" r:id="rId241" display="http://www.boxofficeindia.com/movie.php?movieid=1765"/>
    <hyperlink ref="B244" r:id="rId242" display="http://www.boxofficeindia.com/movie.php?movieid=1177"/>
    <hyperlink ref="B245" r:id="rId243" display="http://www.boxofficeindia.com/movie.php?movieid=1178"/>
    <hyperlink ref="B246" r:id="rId244" display="http://www.boxofficeindia.com/movie.php?movieid=92"/>
    <hyperlink ref="B247" r:id="rId245" display="http://www.boxofficeindia.com/movie.php?movieid=3296"/>
    <hyperlink ref="B248" r:id="rId246" display="http://www.boxofficeindia.com/movie.php?movieid=96"/>
    <hyperlink ref="B249" r:id="rId247" display="http://www.boxofficeindia.com/movie.php?movieid=33"/>
    <hyperlink ref="B250" r:id="rId248" display="http://www.boxofficeindia.com/movie.php?movieid=85"/>
    <hyperlink ref="B251" r:id="rId249" display="http://www.boxofficeindia.com/movie.php?movieid=652"/>
    <hyperlink ref="B252" r:id="rId250" display="http://www.boxofficeindia.com/movie.php?movieid=35"/>
    <hyperlink ref="B253" r:id="rId251" display="http://www.boxofficeindia.com/movie.php?movieid=2864"/>
    <hyperlink ref="B254" r:id="rId252" display="http://www.boxofficeindia.com/movie.php?movieid=3271"/>
    <hyperlink ref="B255" r:id="rId253" display="http://www.boxofficeindia.com/movie.php?movieid=2279"/>
    <hyperlink ref="B256" r:id="rId254" display="http://www.boxofficeindia.com/movie.php?movieid=3224"/>
    <hyperlink ref="B257" r:id="rId255" display="http://www.boxofficeindia.com/movie.php?movieid=3246"/>
    <hyperlink ref="B258" r:id="rId256" display="http://www.boxofficeindia.com/movie.php?movieid=32"/>
    <hyperlink ref="B259" r:id="rId257" display="http://www.boxofficeindia.com/movie.php?movieid=1287"/>
    <hyperlink ref="B260" r:id="rId258" display="http://www.boxofficeindia.com/movie.php?movieid=6"/>
    <hyperlink ref="B261" r:id="rId259" display="http://www.boxofficeindia.com/movie.php?movieid=2249"/>
    <hyperlink ref="B262" r:id="rId260" display="http://www.boxofficeindia.com/movie.php?movieid=2199"/>
    <hyperlink ref="B263" r:id="rId261" display="http://www.boxofficeindia.com/movie.php?movieid=34"/>
    <hyperlink ref="B264" r:id="rId262" display="http://www.boxofficeindia.com/movie.php?movieid=87"/>
    <hyperlink ref="B265" r:id="rId263" display="http://www.boxofficeindia.com/movie.php?movieid=2210"/>
    <hyperlink ref="B266" r:id="rId264" display="http://www.boxofficeindia.com/movie.php?movieid=72"/>
    <hyperlink ref="B267" r:id="rId265" display="http://www.boxofficeindia.com/movie.php?movieid=290"/>
    <hyperlink ref="B268" r:id="rId266" display="http://www.boxofficeindia.com/movie.php?movieid=3155"/>
    <hyperlink ref="B269" r:id="rId267" display="http://www.boxofficeindia.com/movie.php?movieid=2666"/>
    <hyperlink ref="B270" r:id="rId268" display="http://www.boxofficeindia.com/movie.php?movieid=1441"/>
    <hyperlink ref="B271" r:id="rId269" display="http://www.boxofficeindia.com/movie.php?movieid=48"/>
    <hyperlink ref="B272" r:id="rId270" display="http://www.boxofficeindia.com/movie.php?movieid=3037"/>
    <hyperlink ref="B273" r:id="rId271" display="http://www.boxofficeindia.com/movie.php?movieid=576"/>
    <hyperlink ref="B274" r:id="rId272" display="http://www.boxofficeindia.com/movie.php?movieid=9"/>
    <hyperlink ref="B275" r:id="rId273" display="http://www.boxofficeindia.com/movie.php?movieid=83"/>
    <hyperlink ref="B276" r:id="rId274" display="http://www.boxofficeindia.com/movie.php?movieid=52"/>
    <hyperlink ref="B277" r:id="rId275" display="http://www.boxofficeindia.com/movie.php?movieid=990"/>
    <hyperlink ref="B278" r:id="rId276" display="http://www.boxofficeindia.com/movie.php?movieid=3194"/>
    <hyperlink ref="B279" r:id="rId277" display="http://www.boxofficeindia.com/movie.php?movieid=2319"/>
    <hyperlink ref="B280" r:id="rId278" display="http://www.boxofficeindia.com/movie.php?movieid=2101"/>
    <hyperlink ref="B281" r:id="rId279" display="http://www.boxofficeindia.com/movie.php?movieid=1223"/>
    <hyperlink ref="B282" r:id="rId280" display="http://www.boxofficeindia.com/movie.php?movieid=1197"/>
    <hyperlink ref="B283" r:id="rId281" display="http://www.boxofficeindia.com/movie.php?movieid=2987"/>
    <hyperlink ref="B284" r:id="rId282" display="http://www.boxofficeindia.com/movie.php?movieid=2860"/>
    <hyperlink ref="B285" r:id="rId283" display="http://www.boxofficeindia.com/movie.php?movieid=76"/>
    <hyperlink ref="B286" r:id="rId284" display="http://www.boxofficeindia.com/movie.php?movieid=2149"/>
    <hyperlink ref="B287" r:id="rId285" display="http://www.boxofficeindia.com/movie.php?movieid=31"/>
    <hyperlink ref="B288" r:id="rId286" display="http://www.boxofficeindia.com/movie.php?movieid=1155"/>
    <hyperlink ref="B289" r:id="rId287" display="http://www.boxofficeindia.com/movie.php?movieid=1237"/>
    <hyperlink ref="B290" r:id="rId288" display="http://www.boxofficeindia.com/movie.php?movieid=2298"/>
    <hyperlink ref="B291" r:id="rId289" display="http://www.boxofficeindia.com/movie.php?movieid=2219"/>
    <hyperlink ref="B292" r:id="rId290" display="http://www.boxofficeindia.com/movie.php?movieid=19"/>
    <hyperlink ref="B293" r:id="rId291" display="http://www.boxofficeindia.com/movie.php?movieid=3259"/>
    <hyperlink ref="B294" r:id="rId292" display="http://www.boxofficeindia.com/movie.php?movieid=770"/>
    <hyperlink ref="B295" r:id="rId293" display="http://www.boxofficeindia.com/movie.php?movieid=2067"/>
    <hyperlink ref="B296" r:id="rId294" display="http://www.boxofficeindia.com/movie.php?movieid=1250"/>
    <hyperlink ref="B297" r:id="rId295" display="http://www.boxofficeindia.com/movie.php?movieid=1238"/>
    <hyperlink ref="B298" r:id="rId296" display="http://www.boxofficeindia.com/movie.php?movieid=1144"/>
    <hyperlink ref="B299" r:id="rId297" display="http://www.boxofficeindia.com/movie.php?movieid=1284"/>
    <hyperlink ref="B300" r:id="rId298" display="http://www.boxofficeindia.com/movie.php?movieid=2296"/>
    <hyperlink ref="B334" r:id="rId299" display="http://www.boxofficeindia.com/movie.php?movieid=18"/>
    <hyperlink ref="B335" r:id="rId300" display="http://www.boxofficeindia.com/movie.php?movieid=73"/>
    <hyperlink ref="B301" r:id="rId301" display="http://www.boxofficeindia.com/movie.php?movieid=3145"/>
    <hyperlink ref="B302" r:id="rId302" display="http://www.boxofficeindia.com/movie.php?movieid=3144"/>
    <hyperlink ref="B341" r:id="rId303" display="http://www.boxofficeindia.com/movie.php?movieid=3038"/>
    <hyperlink ref="B340" r:id="rId304" display="http://www.boxofficeindia.com/movie.php?movieid=3112"/>
    <hyperlink ref="B303" r:id="rId305" display="http://www.boxofficeindia.com/movie.php?movieid=3017"/>
    <hyperlink ref="B304" r:id="rId306" display="http://www.boxofficeindia.com/movie.php?movieid=2951"/>
    <hyperlink ref="B305" r:id="rId307" display="http://www.boxofficeindia.com/movie.php?movieid=2831"/>
    <hyperlink ref="B306" r:id="rId308" display="http://www.boxofficeindia.com/movie.php?movieid=2818"/>
    <hyperlink ref="B307" r:id="rId309" display="http://www.boxofficeindia.com/movie.php?movieid=2679"/>
    <hyperlink ref="B308" r:id="rId310" display="http://www.boxofficeindia.com/movie.php?movieid=2650"/>
    <hyperlink ref="B309" r:id="rId311" display="http://www.boxofficeindia.com/movie.php?movieid=2562"/>
    <hyperlink ref="B310" r:id="rId312" display="http://www.boxofficeindia.com/movie.php?movieid=2512"/>
    <hyperlink ref="B311" r:id="rId313" display="http://www.boxofficeindia.com/movie.php?movieid=2457"/>
    <hyperlink ref="B312" r:id="rId314" display="http://www.boxofficeindia.com/movie.php?movieid=2426"/>
    <hyperlink ref="B313" r:id="rId315" display="http://www.boxofficeindia.com/movie.php?movieid=734"/>
    <hyperlink ref="B315" r:id="rId316" display="http://www.boxofficeindia.com/movie.php?movieid=703"/>
    <hyperlink ref="B316" r:id="rId317" display="http://www.boxofficeindia.com/movie.php?movieid=637"/>
    <hyperlink ref="B317" r:id="rId318" display="http://www.boxofficeindia.com/movie.php?movieid=555"/>
    <hyperlink ref="B318" r:id="rId319" display="http://www.boxofficeindia.com/movie.php?movieid=474"/>
    <hyperlink ref="B319" r:id="rId320" display="http://www.boxofficeindia.com/movie.php?movieid=479"/>
    <hyperlink ref="B320" r:id="rId321" display="http://www.boxofficeindia.com/movie.php?movieid=1723"/>
    <hyperlink ref="B321" r:id="rId322" display="http://www.boxofficeindia.com/movie.php?movieid=1700"/>
    <hyperlink ref="B322" r:id="rId323" display="http://www.boxofficeindia.com/movie.php?movieid=373"/>
    <hyperlink ref="B323" r:id="rId324" display="http://www.boxofficeindia.com/movie.php?movieid=1549"/>
    <hyperlink ref="B324" r:id="rId325" display="http://www.boxofficeindia.com/movie.php?movieid=352"/>
    <hyperlink ref="B325" r:id="rId326" display="http://www.boxofficeindia.com/movie.php?movieid=1474"/>
    <hyperlink ref="B342" r:id="rId327" display="http://www.boxofficeindia.com/movie.php?movieid=3274"/>
    <hyperlink ref="B343" r:id="rId328" display="http://www.boxofficeindia.com/movie.php?movieid=3273"/>
    <hyperlink ref="B338" r:id="rId329" display="http://www.boxofficeindia.com/movie.php?movieid=2438"/>
    <hyperlink ref="B339" r:id="rId330" display="http://www.boxofficeindia.com/movie.php?movieid=2484"/>
    <hyperlink ref="B336" r:id="rId331" display="http://www.boxofficeindia.com/movie.php?movieid=1442"/>
    <hyperlink ref="B333" r:id="rId332" display="http://www.boxofficeindia.com/movie.php?movieid=69"/>
    <hyperlink ref="B332" r:id="rId333" display="http://www.boxofficeindia.com/movie.php?movieid=59"/>
    <hyperlink ref="B326" r:id="rId334" display="http://www.boxofficeindia.com/movie.php?movieid=215"/>
    <hyperlink ref="B328" r:id="rId335" display="http://www.boxofficeindia.com/movie.php?movieid=1110"/>
    <hyperlink ref="B329" r:id="rId336" display="http://www.boxofficeindia.com/movie.php?movieid=169"/>
    <hyperlink ref="B330" r:id="rId337" display="http://www.boxofficeindia.com/movie.php?movieid=132"/>
    <hyperlink ref="B331" r:id="rId338" display="http://www.boxofficeindia.com/movie.php?movieid=104"/>
    <hyperlink ref="B344" r:id="rId339" display="http://www.boxofficeindia.com/movie.php?movieid=3109"/>
    <hyperlink ref="B345" r:id="rId340" display="http://www.boxofficeindia.com/movie.php?movieid=3147"/>
    <hyperlink ref="B346" r:id="rId341" display="http://www.boxofficeindia.com/movie.php?movieid=3189"/>
    <hyperlink ref="B347" r:id="rId342" display="http://www.boxofficeindia.com/movie.php?movieid=2946"/>
    <hyperlink ref="B348" r:id="rId343" display="http://www.boxofficeindia.com/movie.php?movieid=2982"/>
    <hyperlink ref="B349" r:id="rId344" display="http://www.boxofficeindia.com/movie.php?movieid=2976"/>
    <hyperlink ref="B350" r:id="rId345" display="http://www.boxofficeindia.com/movie.php?movieid=3010"/>
    <hyperlink ref="B351" r:id="rId346" display="http://www.boxofficeindia.com/movie.php?movieid=2806"/>
    <hyperlink ref="B352" r:id="rId347" display="http://www.boxofficeindia.com/movie.php?movieid=2802"/>
    <hyperlink ref="B353" r:id="rId348" display="http://www.boxofficeindia.com/movie.php?movieid=2742"/>
    <hyperlink ref="B354" r:id="rId349" display="http://www.boxofficeindia.com/movie.php?movieid=2777"/>
    <hyperlink ref="B355" r:id="rId350" display="http://www.boxofficeindia.com/movie.php?movieid=2637"/>
    <hyperlink ref="B356" r:id="rId351" display="http://www.boxofficeindia.com/movie.php?movieid=2631"/>
    <hyperlink ref="B357" r:id="rId352" display="http://www.boxofficeindia.com/movie.php?movieid=2648"/>
    <hyperlink ref="B358" r:id="rId353" display="http://www.boxofficeindia.com/movie.php?movieid=2624"/>
    <hyperlink ref="B359" r:id="rId354" display="http://www.boxofficeindia.com/movie.php?movieid=2509"/>
    <hyperlink ref="B360" r:id="rId355" display="http://www.boxofficeindia.com/movie.php?movieid=2572"/>
    <hyperlink ref="B361" r:id="rId356" display="http://www.boxofficeindia.com/movie.php?movieid=2612"/>
    <hyperlink ref="B362" r:id="rId357" display="http://www.boxofficeindia.com/movie.php?movieid=2559"/>
    <hyperlink ref="B363" r:id="rId358" display="http://www.boxofficeindia.com/movie.php?movieid=2451"/>
    <hyperlink ref="B364" r:id="rId359" display="http://www.boxofficeindia.com/movie.php?movieid=2375"/>
    <hyperlink ref="B365" r:id="rId360" display="http://www.boxofficeindia.com/movie.php?movieid=2340"/>
    <hyperlink ref="B366" r:id="rId361" display="http://www.boxofficeindia.com/movie.php?movieid=743"/>
    <hyperlink ref="B367" r:id="rId362" display="http://www.boxofficeindia.com/movie.php?movieid=722"/>
    <hyperlink ref="B368" r:id="rId363" display="http://www.boxofficeindia.com/movie.php?movieid=2186"/>
    <hyperlink ref="B369" r:id="rId364" display="http://www.boxofficeindia.com/movie.php?movieid=744"/>
    <hyperlink ref="B370" r:id="rId365" display="http://www.boxofficeindia.com/movie.php?movieid=677"/>
    <hyperlink ref="B371" r:id="rId366" display="http://www.boxofficeindia.com/movie.php?movieid=676"/>
    <hyperlink ref="B372" r:id="rId367" display="http://www.boxofficeindia.com/movie.php?movieid=696"/>
    <hyperlink ref="B373" r:id="rId368" display="http://www.boxofficeindia.com/movie.php?movieid=663"/>
    <hyperlink ref="B374" r:id="rId369" display="http://www.boxofficeindia.com/movie.php?movieid=593"/>
    <hyperlink ref="B375" r:id="rId370" display="http://www.boxofficeindia.com/movie.php?movieid=598"/>
    <hyperlink ref="B376" r:id="rId371" display="http://www.boxofficeindia.com/movie.php?movieid=595"/>
    <hyperlink ref="B377" r:id="rId372" display="http://www.boxofficeindia.com/movie.php?movieid=600"/>
    <hyperlink ref="B378" r:id="rId373" display="http://www.boxofficeindia.com/movie.php?movieid=565"/>
    <hyperlink ref="B379" r:id="rId374" display="http://www.boxofficeindia.com/movie.php?movieid=542"/>
    <hyperlink ref="B380" r:id="rId375" display="http://www.boxofficeindia.com/movie.php?movieid=528"/>
    <hyperlink ref="B381" r:id="rId376" display="http://www.boxofficeindia.com/movie.php?movieid=513"/>
    <hyperlink ref="B382" r:id="rId377" display="http://www.boxofficeindia.com/movie.php?movieid=472"/>
    <hyperlink ref="B383" r:id="rId378" display="http://www.boxofficeindia.com/movie.php?movieid=485"/>
    <hyperlink ref="B384" r:id="rId379" display="http://www.boxofficeindia.com/movie.php?movieid=1802"/>
    <hyperlink ref="B385" r:id="rId380" display="http://www.boxofficeindia.com/movie.php?movieid=443"/>
    <hyperlink ref="B386" r:id="rId381" display="http://www.boxofficeindia.com/movie.php?movieid=1680"/>
    <hyperlink ref="B387" r:id="rId382" display="http://www.boxofficeindia.com/movie.php?movieid=408"/>
    <hyperlink ref="B388" r:id="rId383" display="http://www.boxofficeindia.com/movie.php?movieid=419"/>
    <hyperlink ref="B389" r:id="rId384" display="http://www.boxofficeindia.com/movie.php?movieid=413"/>
    <hyperlink ref="B390" r:id="rId385" display="http://www.boxofficeindia.com/movie.php?movieid=387"/>
    <hyperlink ref="B391" r:id="rId386" display="http://www.boxofficeindia.com/movie.php?movieid=368"/>
    <hyperlink ref="B392" r:id="rId387" display="http://www.boxofficeindia.com/movie.php?movieid=376"/>
    <hyperlink ref="B393" r:id="rId388" display="http://www.boxofficeindia.com/movie.php?movieid=287"/>
    <hyperlink ref="B394" r:id="rId389" display="http://www.boxofficeindia.com/movie.php?movieid=342"/>
    <hyperlink ref="B395" r:id="rId390" display="http://www.boxofficeindia.com/movie.php?movieid=1431"/>
    <hyperlink ref="B396" r:id="rId391" display="http://www.boxofficeindia.com/movie.php?movieid=349"/>
    <hyperlink ref="B397" r:id="rId392" display="http://www.boxofficeindia.com/movie.php?movieid=226"/>
    <hyperlink ref="B398" r:id="rId393" display="http://www.boxofficeindia.com/movie.php?movieid=189"/>
    <hyperlink ref="B399" r:id="rId394" display="http://www.boxofficeindia.com/movie.php?movieid=327"/>
    <hyperlink ref="B400" r:id="rId395" display="http://www.boxofficeindia.com/movie.php?movieid=212"/>
    <hyperlink ref="B401" r:id="rId396" display="http://www.boxofficeindia.com/movie.php?movieid=337"/>
    <hyperlink ref="B402" r:id="rId397" display="http://www.boxofficeindia.com/movie.php?movieid=159"/>
    <hyperlink ref="B403" r:id="rId398" display="http://www.boxofficeindia.com/movie.php?movieid=161"/>
    <hyperlink ref="B404" r:id="rId399" display="http://www.boxofficeindia.com/movie.php?movieid=785"/>
    <hyperlink ref="B405" r:id="rId400" display="http://www.boxofficeindia.com/movie.php?movieid=144"/>
    <hyperlink ref="B406" r:id="rId401" display="http://www.boxofficeindia.com/movie.php?movieid=112"/>
    <hyperlink ref="B407" r:id="rId402" display="http://www.boxofficeindia.com/movie.php?movieid=82"/>
    <hyperlink ref="B408" r:id="rId403" display="http://www.boxofficeindia.com/movie.php?movieid=951"/>
    <hyperlink ref="B409" r:id="rId404" display="http://www.boxofficeindia.com/movie.php?movieid=75"/>
    <hyperlink ref="B410" r:id="rId405" display="http://www.boxofficeindia.com/movie.php?movieid=838"/>
    <hyperlink ref="B411" r:id="rId406" display="http://www.boxofficeindia.com/movie.php?movieid=806"/>
    <hyperlink ref="B412" r:id="rId407" display="http://www.boxofficeindia.com/movie.php?movieid=57"/>
    <hyperlink ref="B413" r:id="rId408" display="http://www.boxofficeindia.com/movie.php?movieid=49"/>
    <hyperlink ref="B414" r:id="rId409" display="http://www.boxofficeindia.com/movie.php?movieid=13"/>
    <hyperlink ref="B415" r:id="rId410" display="http://www.boxofficeindia.com/movie.php?movieid=187"/>
    <hyperlink ref="B416" r:id="rId411" display="http://www.boxofficeindia.com/movie.php?movieid=10"/>
    <hyperlink ref="B417" r:id="rId412" display="http://www.boxofficeindia.com/movie.php?movieid=7"/>
    <hyperlink ref="B418" r:id="rId413" display="http://www.boxofficeindia.com/movie.php?movieid=791"/>
    <hyperlink ref="B419" r:id="rId414" display="http://www.boxofficeindia.com/movie.php?movieid=1207"/>
    <hyperlink ref="B420" r:id="rId415" display="http://www.boxofficeindia.com/movie.php?movieid=1516"/>
    <hyperlink ref="B421" r:id="rId416" display="http://www.boxofficeindia.com/movie.php?movieid=464"/>
    <hyperlink ref="B422" r:id="rId417" display="http://www.boxofficeindia.com/movie.php?movieid=2302"/>
    <hyperlink ref="B423" r:id="rId418" display="http://www.boxofficeindia.com/movie.php?movieid=2176"/>
    <hyperlink ref="B424" r:id="rId419" display="http://www.boxofficeindia.com/movie.php?movieid=2285"/>
    <hyperlink ref="B425" r:id="rId420" display="http://www.boxofficeindia.com/movie.php?movieid=2127"/>
    <hyperlink ref="B426" r:id="rId421" display="http://www.boxofficeindia.com/movie.php?movieid=2785"/>
    <hyperlink ref="B427" r:id="rId422" display="http://www.boxofficeindia.com/movie.php?movieid=2962"/>
    <hyperlink ref="B428" r:id="rId423" display="http://www.boxofficeindia.com/movie.php?movieid=2904"/>
    <hyperlink ref="B429" r:id="rId424" display="http://www.boxofficeindia.com/movie.php?movieid=2566"/>
    <hyperlink ref="B430" r:id="rId425" display="http://www.boxofficeindia.com/movie.php?movieid=3204"/>
    <hyperlink ref="B431" r:id="rId426" display="http://www.boxofficeindia.com/movie.php?movieid=3359"/>
    <hyperlink ref="B432" r:id="rId427" display="http://www.boxofficeindia.com/movie.php?movieid=3300"/>
    <hyperlink ref="B433" r:id="rId428" display="http://www.boxofficeindia.com/movie.php?movieid=3343"/>
    <hyperlink ref="B327" r:id="rId429" display="http://www.boxofficeindia.com/movie.php?movieid=333"/>
    <hyperlink ref="B337" r:id="rId430" display="http://www.boxofficeindia.com/movie.php?movieid=829"/>
    <hyperlink ref="V7" r:id="rId431" display="http://www.boxofficeindia.com/actor.php?actorid=175&amp;role=24"/>
    <hyperlink ref="B314" r:id="rId432" display="http://www.boxofficeindia.com/movie.php?movieid=792"/>
  </hyperlinks>
  <pageMargins left="0.7" right="0.7" top="0.75" bottom="0.75" header="0.3" footer="0.3"/>
  <pageSetup paperSize="9" orientation="portrait" r:id="rId43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I52" sqref="I52"/>
    </sheetView>
  </sheetViews>
  <sheetFormatPr defaultRowHeight="15"/>
  <sheetData>
    <row r="1" spans="1:10" ht="28.5">
      <c r="A1" s="41" t="s">
        <v>1916</v>
      </c>
      <c r="B1" s="41" t="s">
        <v>1917</v>
      </c>
      <c r="C1" s="41" t="s">
        <v>1918</v>
      </c>
      <c r="D1" s="41" t="s">
        <v>1919</v>
      </c>
      <c r="E1" s="41" t="s">
        <v>1920</v>
      </c>
      <c r="F1" s="41" t="s">
        <v>1921</v>
      </c>
      <c r="G1" s="41" t="s">
        <v>1922</v>
      </c>
      <c r="H1" s="41" t="s">
        <v>1923</v>
      </c>
      <c r="I1" s="41" t="s">
        <v>1924</v>
      </c>
      <c r="J1" s="41" t="s">
        <v>1925</v>
      </c>
    </row>
    <row r="2" spans="1:10" ht="30.75" thickBot="1">
      <c r="A2" s="42">
        <v>1</v>
      </c>
      <c r="B2" s="43" t="s">
        <v>1095</v>
      </c>
      <c r="C2" s="40">
        <v>34</v>
      </c>
      <c r="D2" s="40">
        <v>0</v>
      </c>
      <c r="E2" s="40">
        <v>0</v>
      </c>
      <c r="F2" s="40">
        <v>6</v>
      </c>
      <c r="G2" s="40">
        <v>8</v>
      </c>
      <c r="H2" s="40">
        <v>4</v>
      </c>
      <c r="I2" s="40">
        <v>1</v>
      </c>
      <c r="J2" s="44">
        <v>19</v>
      </c>
    </row>
    <row r="3" spans="1:10" ht="30.75" thickBot="1">
      <c r="A3" s="42">
        <v>2</v>
      </c>
      <c r="B3" s="43" t="s">
        <v>1937</v>
      </c>
      <c r="C3" s="40">
        <v>16</v>
      </c>
      <c r="D3" s="40">
        <v>0</v>
      </c>
      <c r="E3" s="40">
        <v>0</v>
      </c>
      <c r="F3" s="40">
        <v>1</v>
      </c>
      <c r="G3" s="40">
        <v>2</v>
      </c>
      <c r="H3" s="40">
        <v>4</v>
      </c>
      <c r="I3" s="40">
        <v>4</v>
      </c>
      <c r="J3" s="44">
        <v>11</v>
      </c>
    </row>
    <row r="4" spans="1:10" ht="30.75" thickBot="1">
      <c r="A4" s="42">
        <v>3</v>
      </c>
      <c r="B4" s="43" t="s">
        <v>1938</v>
      </c>
      <c r="C4" s="40">
        <v>24</v>
      </c>
      <c r="D4" s="40">
        <v>0</v>
      </c>
      <c r="E4" s="40">
        <v>0</v>
      </c>
      <c r="F4" s="40">
        <v>1</v>
      </c>
      <c r="G4" s="40">
        <v>5</v>
      </c>
      <c r="H4" s="40">
        <v>1</v>
      </c>
      <c r="I4" s="40">
        <v>4</v>
      </c>
      <c r="J4" s="44">
        <v>11</v>
      </c>
    </row>
    <row r="5" spans="1:10" ht="30.75" thickBot="1">
      <c r="A5" s="42">
        <v>4</v>
      </c>
      <c r="B5" s="43" t="s">
        <v>1939</v>
      </c>
      <c r="C5" s="40">
        <v>12</v>
      </c>
      <c r="D5" s="40">
        <v>0</v>
      </c>
      <c r="E5" s="40">
        <v>2</v>
      </c>
      <c r="F5" s="40">
        <v>2</v>
      </c>
      <c r="G5" s="40">
        <v>3</v>
      </c>
      <c r="H5" s="40">
        <v>1</v>
      </c>
      <c r="I5" s="40">
        <v>1</v>
      </c>
      <c r="J5" s="44">
        <v>9</v>
      </c>
    </row>
    <row r="6" spans="1:10" ht="30.75" thickBot="1">
      <c r="A6" s="42">
        <v>5</v>
      </c>
      <c r="B6" s="43" t="s">
        <v>853</v>
      </c>
      <c r="C6" s="40">
        <v>15</v>
      </c>
      <c r="D6" s="40">
        <v>0</v>
      </c>
      <c r="E6" s="40">
        <v>0</v>
      </c>
      <c r="F6" s="40">
        <v>2</v>
      </c>
      <c r="G6" s="40">
        <v>5</v>
      </c>
      <c r="H6" s="40">
        <v>0</v>
      </c>
      <c r="I6" s="40">
        <v>1</v>
      </c>
      <c r="J6" s="44">
        <v>8</v>
      </c>
    </row>
    <row r="7" spans="1:10" ht="30.75" thickBot="1">
      <c r="A7" s="42">
        <v>6</v>
      </c>
      <c r="B7" s="43" t="s">
        <v>1940</v>
      </c>
      <c r="C7" s="40">
        <v>30</v>
      </c>
      <c r="D7" s="40">
        <v>0</v>
      </c>
      <c r="E7" s="40">
        <v>1</v>
      </c>
      <c r="F7" s="40">
        <v>1</v>
      </c>
      <c r="G7" s="40">
        <v>3</v>
      </c>
      <c r="H7" s="40">
        <v>0</v>
      </c>
      <c r="I7" s="40">
        <v>3</v>
      </c>
      <c r="J7" s="44">
        <v>8</v>
      </c>
    </row>
    <row r="8" spans="1:10" ht="30.75" thickBot="1">
      <c r="A8" s="42">
        <v>7</v>
      </c>
      <c r="B8" s="43" t="s">
        <v>1941</v>
      </c>
      <c r="C8" s="40">
        <v>12</v>
      </c>
      <c r="D8" s="40">
        <v>0</v>
      </c>
      <c r="E8" s="40">
        <v>1</v>
      </c>
      <c r="F8" s="40">
        <v>2</v>
      </c>
      <c r="G8" s="40">
        <v>1</v>
      </c>
      <c r="H8" s="40">
        <v>1</v>
      </c>
      <c r="I8" s="40">
        <v>2</v>
      </c>
      <c r="J8" s="44">
        <v>7</v>
      </c>
    </row>
    <row r="9" spans="1:10" ht="45.75" thickBot="1">
      <c r="A9" s="42">
        <v>8</v>
      </c>
      <c r="B9" s="43" t="s">
        <v>848</v>
      </c>
      <c r="C9" s="40">
        <v>28</v>
      </c>
      <c r="D9" s="40">
        <v>0</v>
      </c>
      <c r="E9" s="40">
        <v>1</v>
      </c>
      <c r="F9" s="40">
        <v>0</v>
      </c>
      <c r="G9" s="40">
        <v>3</v>
      </c>
      <c r="H9" s="40">
        <v>1</v>
      </c>
      <c r="I9" s="40">
        <v>2</v>
      </c>
      <c r="J9" s="44">
        <v>7</v>
      </c>
    </row>
    <row r="10" spans="1:10" ht="30.75" thickBot="1">
      <c r="A10" s="42">
        <v>9</v>
      </c>
      <c r="B10" s="43" t="s">
        <v>844</v>
      </c>
      <c r="C10" s="40">
        <v>6</v>
      </c>
      <c r="D10" s="40">
        <v>1</v>
      </c>
      <c r="E10" s="40">
        <v>1</v>
      </c>
      <c r="F10" s="40">
        <v>0</v>
      </c>
      <c r="G10" s="40">
        <v>2</v>
      </c>
      <c r="H10" s="40">
        <v>2</v>
      </c>
      <c r="I10" s="40">
        <v>0</v>
      </c>
      <c r="J10" s="44">
        <v>6</v>
      </c>
    </row>
    <row r="11" spans="1:10" ht="30.75" thickBot="1">
      <c r="A11" s="42">
        <v>10</v>
      </c>
      <c r="B11" s="43" t="s">
        <v>826</v>
      </c>
      <c r="C11" s="40">
        <v>7</v>
      </c>
      <c r="D11" s="40">
        <v>0</v>
      </c>
      <c r="E11" s="40">
        <v>4</v>
      </c>
      <c r="F11" s="40">
        <v>1</v>
      </c>
      <c r="G11" s="40">
        <v>0</v>
      </c>
      <c r="H11" s="40">
        <v>0</v>
      </c>
      <c r="I11" s="40">
        <v>1</v>
      </c>
      <c r="J11" s="44">
        <v>6</v>
      </c>
    </row>
    <row r="12" spans="1:10" ht="30.75" thickBot="1">
      <c r="A12" s="42">
        <v>11</v>
      </c>
      <c r="B12" s="43" t="s">
        <v>1942</v>
      </c>
      <c r="C12" s="40">
        <v>11</v>
      </c>
      <c r="D12" s="40">
        <v>0</v>
      </c>
      <c r="E12" s="40">
        <v>1</v>
      </c>
      <c r="F12" s="40">
        <v>2</v>
      </c>
      <c r="G12" s="40">
        <v>0</v>
      </c>
      <c r="H12" s="40">
        <v>2</v>
      </c>
      <c r="I12" s="40">
        <v>1</v>
      </c>
      <c r="J12" s="44">
        <v>6</v>
      </c>
    </row>
    <row r="13" spans="1:10" ht="30.75" thickBot="1">
      <c r="A13" s="42">
        <v>12</v>
      </c>
      <c r="B13" s="43" t="s">
        <v>455</v>
      </c>
      <c r="C13" s="40">
        <v>12</v>
      </c>
      <c r="D13" s="40">
        <v>0</v>
      </c>
      <c r="E13" s="40">
        <v>1</v>
      </c>
      <c r="F13" s="40">
        <v>4</v>
      </c>
      <c r="G13" s="40">
        <v>0</v>
      </c>
      <c r="H13" s="40">
        <v>1</v>
      </c>
      <c r="I13" s="40">
        <v>0</v>
      </c>
      <c r="J13" s="44">
        <v>6</v>
      </c>
    </row>
    <row r="14" spans="1:10" ht="30.75" thickBot="1">
      <c r="A14" s="42">
        <v>13</v>
      </c>
      <c r="B14" s="43" t="s">
        <v>1943</v>
      </c>
      <c r="C14" s="40">
        <v>5</v>
      </c>
      <c r="D14" s="40">
        <v>0</v>
      </c>
      <c r="E14" s="40">
        <v>0</v>
      </c>
      <c r="F14" s="40">
        <v>0</v>
      </c>
      <c r="G14" s="40">
        <v>1</v>
      </c>
      <c r="H14" s="40">
        <v>3</v>
      </c>
      <c r="I14" s="40">
        <v>1</v>
      </c>
      <c r="J14" s="44">
        <v>5</v>
      </c>
    </row>
    <row r="15" spans="1:10" ht="45.75" thickBot="1">
      <c r="A15" s="42">
        <v>14</v>
      </c>
      <c r="B15" s="43" t="s">
        <v>1944</v>
      </c>
      <c r="C15" s="40">
        <v>8</v>
      </c>
      <c r="D15" s="40">
        <v>0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4">
        <v>5</v>
      </c>
    </row>
    <row r="16" spans="1:10" ht="45.75" thickBot="1">
      <c r="A16" s="42">
        <v>15</v>
      </c>
      <c r="B16" s="43" t="s">
        <v>1945</v>
      </c>
      <c r="C16" s="40">
        <v>12</v>
      </c>
      <c r="D16" s="40">
        <v>0</v>
      </c>
      <c r="E16" s="40">
        <v>0</v>
      </c>
      <c r="F16" s="40">
        <v>3</v>
      </c>
      <c r="G16" s="40">
        <v>0</v>
      </c>
      <c r="H16" s="40">
        <v>0</v>
      </c>
      <c r="I16" s="40">
        <v>2</v>
      </c>
      <c r="J16" s="44">
        <v>5</v>
      </c>
    </row>
    <row r="17" spans="1:10" ht="45.75" thickBot="1">
      <c r="A17" s="42">
        <v>16</v>
      </c>
      <c r="B17" s="43" t="s">
        <v>1946</v>
      </c>
      <c r="C17" s="40">
        <v>13</v>
      </c>
      <c r="D17" s="40">
        <v>0</v>
      </c>
      <c r="E17" s="40">
        <v>0</v>
      </c>
      <c r="F17" s="40">
        <v>0</v>
      </c>
      <c r="G17" s="40">
        <v>0</v>
      </c>
      <c r="H17" s="40">
        <v>2</v>
      </c>
      <c r="I17" s="40">
        <v>3</v>
      </c>
      <c r="J17" s="44">
        <v>5</v>
      </c>
    </row>
    <row r="18" spans="1:10" ht="30.75" thickBot="1">
      <c r="A18" s="42">
        <v>17</v>
      </c>
      <c r="B18" s="43" t="s">
        <v>1947</v>
      </c>
      <c r="C18" s="40">
        <v>31</v>
      </c>
      <c r="D18" s="40">
        <v>0</v>
      </c>
      <c r="E18" s="40">
        <v>0</v>
      </c>
      <c r="F18" s="40">
        <v>0</v>
      </c>
      <c r="G18" s="40">
        <v>0</v>
      </c>
      <c r="H18" s="40">
        <v>2</v>
      </c>
      <c r="I18" s="40">
        <v>3</v>
      </c>
      <c r="J18" s="44">
        <v>5</v>
      </c>
    </row>
    <row r="19" spans="1:10" ht="30.75" thickBot="1">
      <c r="A19" s="42">
        <v>18</v>
      </c>
      <c r="B19" s="43" t="s">
        <v>791</v>
      </c>
      <c r="C19" s="40">
        <v>4</v>
      </c>
      <c r="D19" s="40">
        <v>2</v>
      </c>
      <c r="E19" s="40">
        <v>1</v>
      </c>
      <c r="F19" s="40">
        <v>0</v>
      </c>
      <c r="G19" s="40">
        <v>1</v>
      </c>
      <c r="H19" s="40">
        <v>0</v>
      </c>
      <c r="I19" s="40">
        <v>0</v>
      </c>
      <c r="J19" s="44">
        <v>4</v>
      </c>
    </row>
    <row r="20" spans="1:10" ht="30.75" thickBot="1">
      <c r="A20" s="42">
        <v>19</v>
      </c>
      <c r="B20" s="43" t="s">
        <v>1948</v>
      </c>
      <c r="C20" s="40">
        <v>4</v>
      </c>
      <c r="D20" s="40">
        <v>0</v>
      </c>
      <c r="E20" s="40">
        <v>2</v>
      </c>
      <c r="F20" s="40">
        <v>1</v>
      </c>
      <c r="G20" s="40">
        <v>1</v>
      </c>
      <c r="H20" s="40">
        <v>0</v>
      </c>
      <c r="I20" s="40">
        <v>0</v>
      </c>
      <c r="J20" s="44">
        <v>4</v>
      </c>
    </row>
    <row r="21" spans="1:10" ht="30.75" thickBot="1">
      <c r="A21" s="42">
        <v>20</v>
      </c>
      <c r="B21" s="43" t="s">
        <v>1949</v>
      </c>
      <c r="C21" s="40">
        <v>4</v>
      </c>
      <c r="D21" s="40">
        <v>0</v>
      </c>
      <c r="E21" s="40">
        <v>1</v>
      </c>
      <c r="F21" s="40">
        <v>1</v>
      </c>
      <c r="G21" s="40">
        <v>1</v>
      </c>
      <c r="H21" s="40">
        <v>1</v>
      </c>
      <c r="I21" s="40">
        <v>0</v>
      </c>
      <c r="J21" s="44">
        <v>4</v>
      </c>
    </row>
    <row r="22" spans="1:10" ht="30.75" thickBot="1">
      <c r="A22" s="42">
        <v>21</v>
      </c>
      <c r="B22" s="43" t="s">
        <v>1950</v>
      </c>
      <c r="C22" s="40">
        <v>4</v>
      </c>
      <c r="D22" s="40">
        <v>0</v>
      </c>
      <c r="E22" s="40">
        <v>0</v>
      </c>
      <c r="F22" s="40">
        <v>0</v>
      </c>
      <c r="G22" s="40">
        <v>2</v>
      </c>
      <c r="H22" s="40">
        <v>1</v>
      </c>
      <c r="I22" s="40">
        <v>1</v>
      </c>
      <c r="J22" s="44">
        <v>4</v>
      </c>
    </row>
    <row r="23" spans="1:10" ht="30.75" thickBot="1">
      <c r="A23" s="42">
        <v>22</v>
      </c>
      <c r="B23" s="43" t="s">
        <v>46</v>
      </c>
      <c r="C23" s="40">
        <v>5</v>
      </c>
      <c r="D23" s="40">
        <v>1</v>
      </c>
      <c r="E23" s="40">
        <v>2</v>
      </c>
      <c r="F23" s="40">
        <v>0</v>
      </c>
      <c r="G23" s="40">
        <v>1</v>
      </c>
      <c r="H23" s="40">
        <v>0</v>
      </c>
      <c r="I23" s="40">
        <v>0</v>
      </c>
      <c r="J23" s="44">
        <v>4</v>
      </c>
    </row>
    <row r="24" spans="1:10" ht="30.75" thickBot="1">
      <c r="A24" s="42">
        <v>23</v>
      </c>
      <c r="B24" s="43" t="s">
        <v>1951</v>
      </c>
      <c r="C24" s="40">
        <v>8</v>
      </c>
      <c r="D24" s="40">
        <v>0</v>
      </c>
      <c r="E24" s="40">
        <v>0</v>
      </c>
      <c r="F24" s="40">
        <v>2</v>
      </c>
      <c r="G24" s="40">
        <v>0</v>
      </c>
      <c r="H24" s="40">
        <v>2</v>
      </c>
      <c r="I24" s="40">
        <v>0</v>
      </c>
      <c r="J24" s="44">
        <v>4</v>
      </c>
    </row>
    <row r="25" spans="1:10" ht="30.75" thickBot="1">
      <c r="A25" s="42">
        <v>24</v>
      </c>
      <c r="B25" s="43" t="s">
        <v>1952</v>
      </c>
      <c r="C25" s="40">
        <v>9</v>
      </c>
      <c r="D25" s="40">
        <v>0</v>
      </c>
      <c r="E25" s="40">
        <v>0</v>
      </c>
      <c r="F25" s="40">
        <v>1</v>
      </c>
      <c r="G25" s="40">
        <v>2</v>
      </c>
      <c r="H25" s="40">
        <v>1</v>
      </c>
      <c r="I25" s="40">
        <v>0</v>
      </c>
      <c r="J25" s="44">
        <v>4</v>
      </c>
    </row>
    <row r="26" spans="1:10" ht="30.75" thickBot="1">
      <c r="A26" s="42">
        <v>25</v>
      </c>
      <c r="B26" s="43" t="s">
        <v>1673</v>
      </c>
      <c r="C26" s="40">
        <v>12</v>
      </c>
      <c r="D26" s="40">
        <v>0</v>
      </c>
      <c r="E26" s="40">
        <v>0</v>
      </c>
      <c r="F26" s="40">
        <v>2</v>
      </c>
      <c r="G26" s="40">
        <v>1</v>
      </c>
      <c r="H26" s="40">
        <v>1</v>
      </c>
      <c r="I26" s="40">
        <v>0</v>
      </c>
      <c r="J26" s="44">
        <v>4</v>
      </c>
    </row>
    <row r="27" spans="1:10" ht="45.75" thickBot="1">
      <c r="A27" s="42">
        <v>26</v>
      </c>
      <c r="B27" s="43" t="s">
        <v>1953</v>
      </c>
      <c r="C27" s="40">
        <v>3</v>
      </c>
      <c r="D27" s="40">
        <v>0</v>
      </c>
      <c r="E27" s="40">
        <v>1</v>
      </c>
      <c r="F27" s="40">
        <v>0</v>
      </c>
      <c r="G27" s="40">
        <v>1</v>
      </c>
      <c r="H27" s="40">
        <v>1</v>
      </c>
      <c r="I27" s="40">
        <v>0</v>
      </c>
      <c r="J27" s="44">
        <v>3</v>
      </c>
    </row>
    <row r="28" spans="1:10" ht="30.75" thickBot="1">
      <c r="A28" s="42">
        <v>27</v>
      </c>
      <c r="B28" s="43" t="s">
        <v>1954</v>
      </c>
      <c r="C28" s="40">
        <v>4</v>
      </c>
      <c r="D28" s="40">
        <v>0</v>
      </c>
      <c r="E28" s="40">
        <v>0</v>
      </c>
      <c r="F28" s="40">
        <v>0</v>
      </c>
      <c r="G28" s="40">
        <v>1</v>
      </c>
      <c r="H28" s="40">
        <v>0</v>
      </c>
      <c r="I28" s="40">
        <v>2</v>
      </c>
      <c r="J28" s="44">
        <v>3</v>
      </c>
    </row>
    <row r="29" spans="1:10" ht="15.75" thickBot="1">
      <c r="A29" s="42">
        <v>28</v>
      </c>
      <c r="B29" s="43" t="s">
        <v>1955</v>
      </c>
      <c r="C29" s="40">
        <v>4</v>
      </c>
      <c r="D29" s="40">
        <v>0</v>
      </c>
      <c r="E29" s="40">
        <v>0</v>
      </c>
      <c r="F29" s="40">
        <v>0</v>
      </c>
      <c r="G29" s="40">
        <v>0</v>
      </c>
      <c r="H29" s="40">
        <v>3</v>
      </c>
      <c r="I29" s="40">
        <v>0</v>
      </c>
      <c r="J29" s="44">
        <v>3</v>
      </c>
    </row>
    <row r="30" spans="1:10" ht="30.75" thickBot="1">
      <c r="A30" s="42">
        <v>29</v>
      </c>
      <c r="B30" s="43" t="s">
        <v>1956</v>
      </c>
      <c r="C30" s="40">
        <v>4</v>
      </c>
      <c r="D30" s="40">
        <v>0</v>
      </c>
      <c r="E30" s="40">
        <v>0</v>
      </c>
      <c r="F30" s="40">
        <v>1</v>
      </c>
      <c r="G30" s="40">
        <v>0</v>
      </c>
      <c r="H30" s="40">
        <v>1</v>
      </c>
      <c r="I30" s="40">
        <v>1</v>
      </c>
      <c r="J30" s="44">
        <v>3</v>
      </c>
    </row>
    <row r="31" spans="1:10" ht="30.75" thickBot="1">
      <c r="A31" s="42">
        <v>30</v>
      </c>
      <c r="B31" s="43" t="s">
        <v>57</v>
      </c>
      <c r="C31" s="40">
        <v>4</v>
      </c>
      <c r="D31" s="40">
        <v>1</v>
      </c>
      <c r="E31" s="40">
        <v>2</v>
      </c>
      <c r="F31" s="40">
        <v>0</v>
      </c>
      <c r="G31" s="40">
        <v>0</v>
      </c>
      <c r="H31" s="40">
        <v>0</v>
      </c>
      <c r="I31" s="40">
        <v>0</v>
      </c>
      <c r="J31" s="44">
        <v>3</v>
      </c>
    </row>
    <row r="32" spans="1:10" ht="30.75" thickBot="1">
      <c r="A32" s="42">
        <v>31</v>
      </c>
      <c r="B32" s="43" t="s">
        <v>1957</v>
      </c>
      <c r="C32" s="40">
        <v>4</v>
      </c>
      <c r="D32" s="40">
        <v>0</v>
      </c>
      <c r="E32" s="40">
        <v>0</v>
      </c>
      <c r="F32" s="40">
        <v>0</v>
      </c>
      <c r="G32" s="40">
        <v>2</v>
      </c>
      <c r="H32" s="40">
        <v>0</v>
      </c>
      <c r="I32" s="40">
        <v>1</v>
      </c>
      <c r="J32" s="44">
        <v>3</v>
      </c>
    </row>
    <row r="33" spans="1:10" ht="30.75" thickBot="1">
      <c r="A33" s="42">
        <v>32</v>
      </c>
      <c r="B33" s="43" t="s">
        <v>1958</v>
      </c>
      <c r="C33" s="40">
        <v>4</v>
      </c>
      <c r="D33" s="40">
        <v>0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4">
        <v>3</v>
      </c>
    </row>
    <row r="34" spans="1:10" ht="30.75" thickBot="1">
      <c r="A34" s="42">
        <v>33</v>
      </c>
      <c r="B34" s="43" t="s">
        <v>1959</v>
      </c>
      <c r="C34" s="40">
        <v>4</v>
      </c>
      <c r="D34" s="40">
        <v>0</v>
      </c>
      <c r="E34" s="40">
        <v>0</v>
      </c>
      <c r="F34" s="40">
        <v>0</v>
      </c>
      <c r="G34" s="40">
        <v>1</v>
      </c>
      <c r="H34" s="40">
        <v>0</v>
      </c>
      <c r="I34" s="40">
        <v>2</v>
      </c>
      <c r="J34" s="44">
        <v>3</v>
      </c>
    </row>
    <row r="35" spans="1:10" ht="30.75" thickBot="1">
      <c r="A35" s="42">
        <v>34</v>
      </c>
      <c r="B35" s="43" t="s">
        <v>1960</v>
      </c>
      <c r="C35" s="40">
        <v>5</v>
      </c>
      <c r="D35" s="40">
        <v>0</v>
      </c>
      <c r="E35" s="40">
        <v>0</v>
      </c>
      <c r="F35" s="40">
        <v>1</v>
      </c>
      <c r="G35" s="40">
        <v>2</v>
      </c>
      <c r="H35" s="40">
        <v>0</v>
      </c>
      <c r="I35" s="40">
        <v>0</v>
      </c>
      <c r="J35" s="44">
        <v>3</v>
      </c>
    </row>
    <row r="36" spans="1:10" ht="30.75" thickBot="1">
      <c r="A36" s="42">
        <v>35</v>
      </c>
      <c r="B36" s="43" t="s">
        <v>1961</v>
      </c>
      <c r="C36" s="40">
        <v>5</v>
      </c>
      <c r="D36" s="40">
        <v>0</v>
      </c>
      <c r="E36" s="40">
        <v>1</v>
      </c>
      <c r="F36" s="40">
        <v>0</v>
      </c>
      <c r="G36" s="40">
        <v>2</v>
      </c>
      <c r="H36" s="40">
        <v>0</v>
      </c>
      <c r="I36" s="40">
        <v>0</v>
      </c>
      <c r="J36" s="44">
        <v>3</v>
      </c>
    </row>
    <row r="37" spans="1:10" ht="45.75" thickBot="1">
      <c r="A37" s="42">
        <v>36</v>
      </c>
      <c r="B37" s="43" t="s">
        <v>1962</v>
      </c>
      <c r="C37" s="40">
        <v>5</v>
      </c>
      <c r="D37" s="40">
        <v>0</v>
      </c>
      <c r="E37" s="40">
        <v>0</v>
      </c>
      <c r="F37" s="40">
        <v>0</v>
      </c>
      <c r="G37" s="40">
        <v>0</v>
      </c>
      <c r="H37" s="40">
        <v>1</v>
      </c>
      <c r="I37" s="40">
        <v>2</v>
      </c>
      <c r="J37" s="44">
        <v>3</v>
      </c>
    </row>
    <row r="38" spans="1:10" ht="30.75" thickBot="1">
      <c r="A38" s="42">
        <v>37</v>
      </c>
      <c r="B38" s="43" t="s">
        <v>718</v>
      </c>
      <c r="C38" s="40">
        <v>5</v>
      </c>
      <c r="D38" s="40">
        <v>0</v>
      </c>
      <c r="E38" s="40">
        <v>0</v>
      </c>
      <c r="F38" s="40">
        <v>0</v>
      </c>
      <c r="G38" s="40">
        <v>1</v>
      </c>
      <c r="H38" s="40">
        <v>1</v>
      </c>
      <c r="I38" s="40">
        <v>1</v>
      </c>
      <c r="J38" s="44">
        <v>3</v>
      </c>
    </row>
    <row r="39" spans="1:10" ht="30.75" thickBot="1">
      <c r="A39" s="42">
        <v>38</v>
      </c>
      <c r="B39" s="43" t="s">
        <v>1963</v>
      </c>
      <c r="C39" s="40">
        <v>6</v>
      </c>
      <c r="D39" s="40">
        <v>1</v>
      </c>
      <c r="E39" s="40">
        <v>1</v>
      </c>
      <c r="F39" s="40">
        <v>0</v>
      </c>
      <c r="G39" s="40">
        <v>1</v>
      </c>
      <c r="H39" s="40">
        <v>0</v>
      </c>
      <c r="I39" s="40">
        <v>0</v>
      </c>
      <c r="J39" s="44">
        <v>3</v>
      </c>
    </row>
    <row r="40" spans="1:10" ht="30.75" thickBot="1">
      <c r="A40" s="42">
        <v>39</v>
      </c>
      <c r="B40" s="43" t="s">
        <v>1218</v>
      </c>
      <c r="C40" s="40">
        <v>6</v>
      </c>
      <c r="D40" s="40">
        <v>0</v>
      </c>
      <c r="E40" s="40">
        <v>1</v>
      </c>
      <c r="F40" s="40">
        <v>0</v>
      </c>
      <c r="G40" s="40">
        <v>1</v>
      </c>
      <c r="H40" s="40">
        <v>0</v>
      </c>
      <c r="I40" s="40">
        <v>1</v>
      </c>
      <c r="J40" s="44">
        <v>3</v>
      </c>
    </row>
    <row r="41" spans="1:10" ht="30.75" thickBot="1">
      <c r="A41" s="42">
        <v>40</v>
      </c>
      <c r="B41" s="43" t="s">
        <v>1964</v>
      </c>
      <c r="C41" s="40">
        <v>6</v>
      </c>
      <c r="D41" s="40">
        <v>0</v>
      </c>
      <c r="E41" s="40">
        <v>1</v>
      </c>
      <c r="F41" s="40">
        <v>1</v>
      </c>
      <c r="G41" s="40">
        <v>0</v>
      </c>
      <c r="H41" s="40">
        <v>1</v>
      </c>
      <c r="I41" s="40">
        <v>0</v>
      </c>
      <c r="J41" s="44">
        <v>3</v>
      </c>
    </row>
    <row r="42" spans="1:10" ht="30.75" thickBot="1">
      <c r="A42" s="42">
        <v>41</v>
      </c>
      <c r="B42" s="43" t="s">
        <v>1965</v>
      </c>
      <c r="C42" s="40">
        <v>7</v>
      </c>
      <c r="D42" s="40">
        <v>0</v>
      </c>
      <c r="E42" s="40">
        <v>0</v>
      </c>
      <c r="F42" s="40">
        <v>0</v>
      </c>
      <c r="G42" s="40">
        <v>2</v>
      </c>
      <c r="H42" s="40">
        <v>1</v>
      </c>
      <c r="I42" s="40">
        <v>0</v>
      </c>
      <c r="J42" s="44">
        <v>3</v>
      </c>
    </row>
    <row r="43" spans="1:10" ht="30.75" thickBot="1">
      <c r="A43" s="42">
        <v>42</v>
      </c>
      <c r="B43" s="43" t="s">
        <v>1966</v>
      </c>
      <c r="C43" s="40">
        <v>7</v>
      </c>
      <c r="D43" s="40">
        <v>0</v>
      </c>
      <c r="E43" s="40">
        <v>0</v>
      </c>
      <c r="F43" s="40">
        <v>0</v>
      </c>
      <c r="G43" s="40">
        <v>1</v>
      </c>
      <c r="H43" s="40">
        <v>0</v>
      </c>
      <c r="I43" s="40">
        <v>2</v>
      </c>
      <c r="J43" s="44">
        <v>3</v>
      </c>
    </row>
    <row r="44" spans="1:10" ht="30.75" thickBot="1">
      <c r="A44" s="42">
        <v>43</v>
      </c>
      <c r="B44" s="43" t="s">
        <v>1967</v>
      </c>
      <c r="C44" s="40">
        <v>8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3</v>
      </c>
      <c r="J44" s="44">
        <v>3</v>
      </c>
    </row>
    <row r="45" spans="1:10" ht="30.75" thickBot="1">
      <c r="A45" s="42">
        <v>44</v>
      </c>
      <c r="B45" s="43" t="s">
        <v>1968</v>
      </c>
      <c r="C45" s="40">
        <v>9</v>
      </c>
      <c r="D45" s="40">
        <v>0</v>
      </c>
      <c r="E45" s="40">
        <v>0</v>
      </c>
      <c r="F45" s="40">
        <v>0</v>
      </c>
      <c r="G45" s="40">
        <v>0</v>
      </c>
      <c r="H45" s="40">
        <v>1</v>
      </c>
      <c r="I45" s="40">
        <v>2</v>
      </c>
      <c r="J45" s="44">
        <v>3</v>
      </c>
    </row>
    <row r="46" spans="1:10" ht="30.75" thickBot="1">
      <c r="A46" s="42">
        <v>45</v>
      </c>
      <c r="B46" s="43" t="s">
        <v>1969</v>
      </c>
      <c r="C46" s="40">
        <v>11</v>
      </c>
      <c r="D46" s="40">
        <v>0</v>
      </c>
      <c r="E46" s="40">
        <v>0</v>
      </c>
      <c r="F46" s="40">
        <v>1</v>
      </c>
      <c r="G46" s="40">
        <v>0</v>
      </c>
      <c r="H46" s="40">
        <v>1</v>
      </c>
      <c r="I46" s="40">
        <v>1</v>
      </c>
      <c r="J46" s="44">
        <v>3</v>
      </c>
    </row>
    <row r="47" spans="1:10" ht="30.75" thickBot="1">
      <c r="A47" s="42">
        <v>46</v>
      </c>
      <c r="B47" s="43" t="s">
        <v>1970</v>
      </c>
      <c r="C47" s="40">
        <v>11</v>
      </c>
      <c r="D47" s="40">
        <v>0</v>
      </c>
      <c r="E47" s="40">
        <v>0</v>
      </c>
      <c r="F47" s="40">
        <v>1</v>
      </c>
      <c r="G47" s="40">
        <v>0</v>
      </c>
      <c r="H47" s="40">
        <v>1</v>
      </c>
      <c r="I47" s="40">
        <v>1</v>
      </c>
      <c r="J47" s="44">
        <v>3</v>
      </c>
    </row>
    <row r="48" spans="1:10" ht="30.75" thickBot="1">
      <c r="A48" s="42">
        <v>47</v>
      </c>
      <c r="B48" s="43" t="s">
        <v>444</v>
      </c>
      <c r="C48" s="40">
        <v>12</v>
      </c>
      <c r="D48" s="40">
        <v>0</v>
      </c>
      <c r="E48" s="40">
        <v>0</v>
      </c>
      <c r="F48" s="40">
        <v>1</v>
      </c>
      <c r="G48" s="40">
        <v>1</v>
      </c>
      <c r="H48" s="40">
        <v>0</v>
      </c>
      <c r="I48" s="40">
        <v>1</v>
      </c>
      <c r="J48" s="44">
        <v>3</v>
      </c>
    </row>
    <row r="49" spans="1:10" ht="30.75" thickBot="1">
      <c r="A49" s="42">
        <v>48</v>
      </c>
      <c r="B49" s="43" t="s">
        <v>1971</v>
      </c>
      <c r="C49" s="40">
        <v>2</v>
      </c>
      <c r="D49" s="40">
        <v>0</v>
      </c>
      <c r="E49" s="40">
        <v>1</v>
      </c>
      <c r="F49" s="40">
        <v>0</v>
      </c>
      <c r="G49" s="40">
        <v>0</v>
      </c>
      <c r="H49" s="40">
        <v>1</v>
      </c>
      <c r="I49" s="40">
        <v>0</v>
      </c>
      <c r="J49" s="44">
        <v>2</v>
      </c>
    </row>
    <row r="50" spans="1:10" ht="30.75" thickBot="1">
      <c r="A50" s="42">
        <v>49</v>
      </c>
      <c r="B50" s="43" t="s">
        <v>1972</v>
      </c>
      <c r="C50" s="40">
        <v>2</v>
      </c>
      <c r="D50" s="40">
        <v>0</v>
      </c>
      <c r="E50" s="40">
        <v>0</v>
      </c>
      <c r="F50" s="40">
        <v>0</v>
      </c>
      <c r="G50" s="40">
        <v>0</v>
      </c>
      <c r="H50" s="40">
        <v>2</v>
      </c>
      <c r="I50" s="40">
        <v>0</v>
      </c>
      <c r="J50" s="44">
        <v>2</v>
      </c>
    </row>
    <row r="51" spans="1:10" ht="30.75" thickBot="1">
      <c r="A51" s="42">
        <v>50</v>
      </c>
      <c r="B51" s="43" t="s">
        <v>1523</v>
      </c>
      <c r="C51" s="40">
        <v>2</v>
      </c>
      <c r="D51" s="40">
        <v>0</v>
      </c>
      <c r="E51" s="40">
        <v>0</v>
      </c>
      <c r="F51" s="40">
        <v>0</v>
      </c>
      <c r="G51" s="40">
        <v>1</v>
      </c>
      <c r="H51" s="40">
        <v>0</v>
      </c>
      <c r="I51" s="40">
        <v>1</v>
      </c>
      <c r="J51" s="44">
        <v>2</v>
      </c>
    </row>
  </sheetData>
  <hyperlinks>
    <hyperlink ref="B2" r:id="rId1" display="http://www.boxofficeindia.com/actor.php?actorid=550"/>
    <hyperlink ref="B3" r:id="rId2" display="http://www.boxofficeindia.com/actor.php?actorid=88"/>
    <hyperlink ref="B4" r:id="rId3" display="http://www.boxofficeindia.com/actor.php?actorid=315"/>
    <hyperlink ref="B5" r:id="rId4" display="http://www.boxofficeindia.com/actor.php?actorid=124"/>
    <hyperlink ref="B6" r:id="rId5" display="http://www.boxofficeindia.com/actor.php?actorid=899"/>
    <hyperlink ref="B7" r:id="rId6" display="http://www.boxofficeindia.com/actor.php?actorid=328"/>
    <hyperlink ref="B8" r:id="rId7" display="http://www.boxofficeindia.com/actor.php?actorid=522"/>
    <hyperlink ref="B9" r:id="rId8" display="http://www.boxofficeindia.com/actor.php?actorid=711"/>
    <hyperlink ref="B10" r:id="rId9" display="http://www.boxofficeindia.com/actor.php?actorid=191"/>
    <hyperlink ref="B11" r:id="rId10" display="http://www.boxofficeindia.com/actor.php?actorid=779"/>
    <hyperlink ref="B12" r:id="rId11" display="http://www.boxofficeindia.com/actor.php?actorid=527"/>
    <hyperlink ref="B13" r:id="rId12" display="http://www.boxofficeindia.com/actor.php?actorid=459"/>
    <hyperlink ref="B14" r:id="rId13" display="http://www.boxofficeindia.com/actor.php?actorid=739"/>
    <hyperlink ref="B15" r:id="rId14" display="http://www.boxofficeindia.com/actor.php?actorid=730"/>
    <hyperlink ref="B16" r:id="rId15" display="http://www.boxofficeindia.com/actor.php?actorid=970"/>
    <hyperlink ref="B17" r:id="rId16" display="http://www.boxofficeindia.com/actor.php?actorid=561"/>
    <hyperlink ref="B18" r:id="rId17" display="http://www.boxofficeindia.com/actor.php?actorid=4227"/>
    <hyperlink ref="B19" r:id="rId18" display="http://www.boxofficeindia.com/actor.php?actorid=956"/>
    <hyperlink ref="B20" r:id="rId19" display="http://www.boxofficeindia.com/actor.php?actorid=494"/>
    <hyperlink ref="B21" r:id="rId20" display="http://www.boxofficeindia.com/actor.php?actorid=722"/>
    <hyperlink ref="B22" r:id="rId21" display="http://www.boxofficeindia.com/actor.php?actorid=2281"/>
    <hyperlink ref="B23" r:id="rId22" display="http://www.boxofficeindia.com/actor.php?actorid=214"/>
    <hyperlink ref="B24" r:id="rId23" display="http://www.boxofficeindia.com/actor.php?actorid=778"/>
    <hyperlink ref="B25" r:id="rId24" display="http://www.boxofficeindia.com/actor.php?actorid=483"/>
    <hyperlink ref="B26" r:id="rId25" display="http://www.boxofficeindia.com/actor.php?actorid=425"/>
    <hyperlink ref="B27" r:id="rId26" display="http://www.boxofficeindia.com/actor.php?actorid=492"/>
    <hyperlink ref="B28" r:id="rId27" display="http://www.boxofficeindia.com/actor.php?actorid=796"/>
    <hyperlink ref="B29" r:id="rId28" display="http://www.boxofficeindia.com/actor.php?actorid=992"/>
    <hyperlink ref="B30" r:id="rId29" display="http://www.boxofficeindia.com/actor.php?actorid=591"/>
    <hyperlink ref="B31" r:id="rId30" display="http://www.boxofficeindia.com/actor.php?actorid=2108"/>
    <hyperlink ref="B32" r:id="rId31" display="http://www.boxofficeindia.com/actor.php?actorid=976"/>
    <hyperlink ref="B33" r:id="rId32" display="http://www.boxofficeindia.com/actor.php?actorid=332"/>
    <hyperlink ref="B34" r:id="rId33" display="http://www.boxofficeindia.com/actor.php?actorid=619"/>
    <hyperlink ref="B35" r:id="rId34" display="http://www.boxofficeindia.com/actor.php?actorid=87"/>
    <hyperlink ref="B36" r:id="rId35" display="http://www.boxofficeindia.com/actor.php?actorid=571"/>
    <hyperlink ref="B37" r:id="rId36" display="http://www.boxofficeindia.com/actor.php?actorid=617"/>
    <hyperlink ref="B38" r:id="rId37" display="http://www.boxofficeindia.com/actor.php?actorid=4090"/>
    <hyperlink ref="B39" r:id="rId38" display="http://www.boxofficeindia.com/actor.php?actorid=977"/>
    <hyperlink ref="B40" r:id="rId39" display="http://www.boxofficeindia.com/actor.php?actorid=966"/>
    <hyperlink ref="B41" r:id="rId40" display="http://www.boxofficeindia.com/actor.php?actorid=1999"/>
    <hyperlink ref="B42" r:id="rId41" display="http://www.boxofficeindia.com/actor.php?actorid=489"/>
    <hyperlink ref="B43" r:id="rId42" display="http://www.boxofficeindia.com/actor.php?actorid=466"/>
    <hyperlink ref="B44" r:id="rId43" display="http://www.boxofficeindia.com/actor.php?actorid=4123"/>
    <hyperlink ref="B45" r:id="rId44" display="http://www.boxofficeindia.com/actor.php?actorid=2627"/>
    <hyperlink ref="B46" r:id="rId45" display="http://www.boxofficeindia.com/actor.php?actorid=530"/>
    <hyperlink ref="B47" r:id="rId46" display="http://www.boxofficeindia.com/actor.php?actorid=1250"/>
    <hyperlink ref="B48" r:id="rId47" display="http://www.boxofficeindia.com/actor.php?actorid=3085"/>
    <hyperlink ref="B49" r:id="rId48" display="http://www.boxofficeindia.com/actor.php?actorid=1008"/>
    <hyperlink ref="B50" r:id="rId49" display="http://www.boxofficeindia.com/actor.php?actorid=6512"/>
    <hyperlink ref="B51" r:id="rId50" display="http://www.boxofficeindia.com/actor.php?actorid=39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C4" sqref="C4"/>
    </sheetView>
  </sheetViews>
  <sheetFormatPr defaultRowHeight="15"/>
  <sheetData>
    <row r="1" spans="1:10" ht="28.5">
      <c r="A1" s="41" t="s">
        <v>1916</v>
      </c>
      <c r="B1" s="41" t="s">
        <v>1917</v>
      </c>
      <c r="C1" s="41" t="s">
        <v>1918</v>
      </c>
      <c r="D1" s="41" t="s">
        <v>1919</v>
      </c>
      <c r="E1" s="41" t="s">
        <v>1920</v>
      </c>
      <c r="F1" s="41" t="s">
        <v>1921</v>
      </c>
      <c r="G1" s="41" t="s">
        <v>1922</v>
      </c>
      <c r="H1" s="41" t="s">
        <v>1923</v>
      </c>
      <c r="I1" s="41" t="s">
        <v>1924</v>
      </c>
      <c r="J1" s="41" t="s">
        <v>1925</v>
      </c>
    </row>
    <row r="2" spans="1:10" ht="45.75" thickBot="1">
      <c r="A2" s="42">
        <v>1</v>
      </c>
      <c r="B2" s="43" t="s">
        <v>1973</v>
      </c>
      <c r="C2" s="40">
        <v>81</v>
      </c>
      <c r="D2" s="40">
        <v>2</v>
      </c>
      <c r="E2" s="40">
        <v>4</v>
      </c>
      <c r="F2" s="40">
        <v>4</v>
      </c>
      <c r="G2" s="40">
        <v>6</v>
      </c>
      <c r="H2" s="40">
        <v>9</v>
      </c>
      <c r="I2" s="40">
        <v>8</v>
      </c>
      <c r="J2" s="44">
        <v>33</v>
      </c>
    </row>
    <row r="3" spans="1:10" ht="30.75" thickBot="1">
      <c r="A3" s="42">
        <v>2</v>
      </c>
      <c r="B3" s="43" t="s">
        <v>1974</v>
      </c>
      <c r="C3" s="40">
        <v>54</v>
      </c>
      <c r="D3" s="40">
        <v>2</v>
      </c>
      <c r="E3" s="40">
        <v>7</v>
      </c>
      <c r="F3" s="40">
        <v>5</v>
      </c>
      <c r="G3" s="40">
        <v>7</v>
      </c>
      <c r="H3" s="40">
        <v>6</v>
      </c>
      <c r="I3" s="40">
        <v>3</v>
      </c>
      <c r="J3" s="44">
        <v>30</v>
      </c>
    </row>
    <row r="4" spans="1:10" ht="45.75" thickBot="1">
      <c r="A4" s="42">
        <v>3</v>
      </c>
      <c r="B4" s="43" t="s">
        <v>1975</v>
      </c>
      <c r="C4" s="40">
        <v>77</v>
      </c>
      <c r="D4" s="40">
        <v>1</v>
      </c>
      <c r="E4" s="40">
        <v>1</v>
      </c>
      <c r="F4" s="40">
        <v>0</v>
      </c>
      <c r="G4" s="40">
        <v>11</v>
      </c>
      <c r="H4" s="40">
        <v>7</v>
      </c>
      <c r="I4" s="40">
        <v>6</v>
      </c>
      <c r="J4" s="44">
        <v>26</v>
      </c>
    </row>
    <row r="5" spans="1:10" ht="60.75" thickBot="1">
      <c r="A5" s="42">
        <v>4</v>
      </c>
      <c r="B5" s="43" t="s">
        <v>1976</v>
      </c>
      <c r="C5" s="40">
        <v>34</v>
      </c>
      <c r="D5" s="40">
        <v>2</v>
      </c>
      <c r="E5" s="40">
        <v>2</v>
      </c>
      <c r="F5" s="40">
        <v>3</v>
      </c>
      <c r="G5" s="40">
        <v>6</v>
      </c>
      <c r="H5" s="40">
        <v>4</v>
      </c>
      <c r="I5" s="40">
        <v>6</v>
      </c>
      <c r="J5" s="44">
        <v>23</v>
      </c>
    </row>
    <row r="6" spans="1:10" ht="90.75" thickBot="1">
      <c r="A6" s="42">
        <v>5</v>
      </c>
      <c r="B6" s="43" t="s">
        <v>1977</v>
      </c>
      <c r="C6" s="40">
        <v>22</v>
      </c>
      <c r="D6" s="40">
        <v>0</v>
      </c>
      <c r="E6" s="40">
        <v>1</v>
      </c>
      <c r="F6" s="40">
        <v>3</v>
      </c>
      <c r="G6" s="40">
        <v>7</v>
      </c>
      <c r="H6" s="40">
        <v>0</v>
      </c>
      <c r="I6" s="40">
        <v>5</v>
      </c>
      <c r="J6" s="44">
        <v>16</v>
      </c>
    </row>
    <row r="7" spans="1:10" ht="45.75" thickBot="1">
      <c r="A7" s="42">
        <v>6</v>
      </c>
      <c r="B7" s="43" t="s">
        <v>1978</v>
      </c>
      <c r="C7" s="40">
        <v>44</v>
      </c>
      <c r="D7" s="40">
        <v>0</v>
      </c>
      <c r="E7" s="40">
        <v>2</v>
      </c>
      <c r="F7" s="40">
        <v>4</v>
      </c>
      <c r="G7" s="40">
        <v>2</v>
      </c>
      <c r="H7" s="40">
        <v>4</v>
      </c>
      <c r="I7" s="40">
        <v>3</v>
      </c>
      <c r="J7" s="44">
        <v>15</v>
      </c>
    </row>
    <row r="8" spans="1:10" ht="60.75" thickBot="1">
      <c r="A8" s="42">
        <v>7</v>
      </c>
      <c r="B8" s="43" t="s">
        <v>1979</v>
      </c>
      <c r="C8" s="40">
        <v>47</v>
      </c>
      <c r="D8" s="40">
        <v>0</v>
      </c>
      <c r="E8" s="40">
        <v>0</v>
      </c>
      <c r="F8" s="40">
        <v>3</v>
      </c>
      <c r="G8" s="40">
        <v>4</v>
      </c>
      <c r="H8" s="40">
        <v>3</v>
      </c>
      <c r="I8" s="40">
        <v>3</v>
      </c>
      <c r="J8" s="44">
        <v>13</v>
      </c>
    </row>
    <row r="9" spans="1:10" ht="60.75" thickBot="1">
      <c r="A9" s="42">
        <v>8</v>
      </c>
      <c r="B9" s="43" t="s">
        <v>1980</v>
      </c>
      <c r="C9" s="40">
        <v>37</v>
      </c>
      <c r="D9" s="40">
        <v>0</v>
      </c>
      <c r="E9" s="40">
        <v>0</v>
      </c>
      <c r="F9" s="40">
        <v>2</v>
      </c>
      <c r="G9" s="40">
        <v>8</v>
      </c>
      <c r="H9" s="40">
        <v>2</v>
      </c>
      <c r="I9" s="40">
        <v>1</v>
      </c>
      <c r="J9" s="44">
        <v>13</v>
      </c>
    </row>
    <row r="10" spans="1:10" ht="60.75" thickBot="1">
      <c r="A10" s="42">
        <v>9</v>
      </c>
      <c r="B10" s="43" t="s">
        <v>1981</v>
      </c>
      <c r="C10" s="40">
        <v>16</v>
      </c>
      <c r="D10" s="40">
        <v>0</v>
      </c>
      <c r="E10" s="40">
        <v>2</v>
      </c>
      <c r="F10" s="40">
        <v>1</v>
      </c>
      <c r="G10" s="40">
        <v>3</v>
      </c>
      <c r="H10" s="40">
        <v>4</v>
      </c>
      <c r="I10" s="40">
        <v>1</v>
      </c>
      <c r="J10" s="44">
        <v>11</v>
      </c>
    </row>
    <row r="11" spans="1:10" ht="45.75" thickBot="1">
      <c r="A11" s="42">
        <v>10</v>
      </c>
      <c r="B11" s="43" t="s">
        <v>1982</v>
      </c>
      <c r="C11" s="40">
        <v>26</v>
      </c>
      <c r="D11" s="40">
        <v>0</v>
      </c>
      <c r="E11" s="40">
        <v>0</v>
      </c>
      <c r="F11" s="40">
        <v>2</v>
      </c>
      <c r="G11" s="40">
        <v>4</v>
      </c>
      <c r="H11" s="40">
        <v>3</v>
      </c>
      <c r="I11" s="40">
        <v>2</v>
      </c>
      <c r="J11" s="44">
        <v>11</v>
      </c>
    </row>
    <row r="12" spans="1:10" ht="60.75" thickBot="1">
      <c r="A12" s="42">
        <v>11</v>
      </c>
      <c r="B12" s="43" t="s">
        <v>1983</v>
      </c>
      <c r="C12" s="40">
        <v>25</v>
      </c>
      <c r="D12" s="40">
        <v>0</v>
      </c>
      <c r="E12" s="40">
        <v>1</v>
      </c>
      <c r="F12" s="40">
        <v>3</v>
      </c>
      <c r="G12" s="40">
        <v>2</v>
      </c>
      <c r="H12" s="40">
        <v>2</v>
      </c>
      <c r="I12" s="40">
        <v>2</v>
      </c>
      <c r="J12" s="44">
        <v>10</v>
      </c>
    </row>
    <row r="13" spans="1:10" ht="60.75" thickBot="1">
      <c r="A13" s="42">
        <v>12</v>
      </c>
      <c r="B13" s="43" t="s">
        <v>1984</v>
      </c>
      <c r="C13" s="40">
        <v>22</v>
      </c>
      <c r="D13" s="40">
        <v>0</v>
      </c>
      <c r="E13" s="40">
        <v>0</v>
      </c>
      <c r="F13" s="40">
        <v>0</v>
      </c>
      <c r="G13" s="40">
        <v>3</v>
      </c>
      <c r="H13" s="40">
        <v>1</v>
      </c>
      <c r="I13" s="40">
        <v>5</v>
      </c>
      <c r="J13" s="44">
        <v>9</v>
      </c>
    </row>
    <row r="14" spans="1:10" ht="45.75" thickBot="1">
      <c r="A14" s="42">
        <v>13</v>
      </c>
      <c r="B14" s="43" t="s">
        <v>1985</v>
      </c>
      <c r="C14" s="40">
        <v>17</v>
      </c>
      <c r="D14" s="40">
        <v>0</v>
      </c>
      <c r="E14" s="40">
        <v>0</v>
      </c>
      <c r="F14" s="40">
        <v>0</v>
      </c>
      <c r="G14" s="40">
        <v>3</v>
      </c>
      <c r="H14" s="40">
        <v>3</v>
      </c>
      <c r="I14" s="40">
        <v>3</v>
      </c>
      <c r="J14" s="44">
        <v>9</v>
      </c>
    </row>
    <row r="15" spans="1:10" ht="75.75" thickBot="1">
      <c r="A15" s="42">
        <v>14</v>
      </c>
      <c r="B15" s="43" t="s">
        <v>1986</v>
      </c>
      <c r="C15" s="40">
        <v>17</v>
      </c>
      <c r="D15" s="40">
        <v>0</v>
      </c>
      <c r="E15" s="40">
        <v>2</v>
      </c>
      <c r="F15" s="40">
        <v>0</v>
      </c>
      <c r="G15" s="40">
        <v>5</v>
      </c>
      <c r="H15" s="40">
        <v>2</v>
      </c>
      <c r="I15" s="40">
        <v>0</v>
      </c>
      <c r="J15" s="44">
        <v>9</v>
      </c>
    </row>
    <row r="16" spans="1:10" ht="15.75" thickBot="1">
      <c r="A16" s="42">
        <v>15</v>
      </c>
      <c r="B16" s="43" t="s">
        <v>1987</v>
      </c>
      <c r="C16" s="40">
        <v>36</v>
      </c>
      <c r="D16" s="40">
        <v>0</v>
      </c>
      <c r="E16" s="40">
        <v>2</v>
      </c>
      <c r="F16" s="40">
        <v>1</v>
      </c>
      <c r="G16" s="40">
        <v>3</v>
      </c>
      <c r="H16" s="40">
        <v>1</v>
      </c>
      <c r="I16" s="40">
        <v>2</v>
      </c>
      <c r="J16" s="44">
        <v>9</v>
      </c>
    </row>
    <row r="17" spans="1:10" ht="45.75" thickBot="1">
      <c r="A17" s="42">
        <v>16</v>
      </c>
      <c r="B17" s="43" t="s">
        <v>1988</v>
      </c>
      <c r="C17" s="40">
        <v>37</v>
      </c>
      <c r="D17" s="40">
        <v>0</v>
      </c>
      <c r="E17" s="40">
        <v>1</v>
      </c>
      <c r="F17" s="40">
        <v>2</v>
      </c>
      <c r="G17" s="40">
        <v>2</v>
      </c>
      <c r="H17" s="40">
        <v>2</v>
      </c>
      <c r="I17" s="40">
        <v>1</v>
      </c>
      <c r="J17" s="44">
        <v>8</v>
      </c>
    </row>
    <row r="18" spans="1:10" ht="30.75" thickBot="1">
      <c r="A18" s="42">
        <v>17</v>
      </c>
      <c r="B18" s="43" t="s">
        <v>1989</v>
      </c>
      <c r="C18" s="40">
        <v>9</v>
      </c>
      <c r="D18" s="40">
        <v>0</v>
      </c>
      <c r="E18" s="40">
        <v>4</v>
      </c>
      <c r="F18" s="40">
        <v>1</v>
      </c>
      <c r="G18" s="40">
        <v>0</v>
      </c>
      <c r="H18" s="40">
        <v>0</v>
      </c>
      <c r="I18" s="40">
        <v>2</v>
      </c>
      <c r="J18" s="44">
        <v>7</v>
      </c>
    </row>
    <row r="19" spans="1:10" ht="60.75" thickBot="1">
      <c r="A19" s="42">
        <v>18</v>
      </c>
      <c r="B19" s="43" t="s">
        <v>1990</v>
      </c>
      <c r="C19" s="40">
        <v>9</v>
      </c>
      <c r="D19" s="40">
        <v>1</v>
      </c>
      <c r="E19" s="40">
        <v>0</v>
      </c>
      <c r="F19" s="40">
        <v>2</v>
      </c>
      <c r="G19" s="40">
        <v>3</v>
      </c>
      <c r="H19" s="40">
        <v>1</v>
      </c>
      <c r="I19" s="40">
        <v>0</v>
      </c>
      <c r="J19" s="44">
        <v>7</v>
      </c>
    </row>
    <row r="20" spans="1:10" ht="60.75" thickBot="1">
      <c r="A20" s="42">
        <v>19</v>
      </c>
      <c r="B20" s="43" t="s">
        <v>1991</v>
      </c>
      <c r="C20" s="40">
        <v>11</v>
      </c>
      <c r="D20" s="40">
        <v>0</v>
      </c>
      <c r="E20" s="40">
        <v>1</v>
      </c>
      <c r="F20" s="40">
        <v>0</v>
      </c>
      <c r="G20" s="40">
        <v>3</v>
      </c>
      <c r="H20" s="40">
        <v>2</v>
      </c>
      <c r="I20" s="40">
        <v>1</v>
      </c>
      <c r="J20" s="44">
        <v>7</v>
      </c>
    </row>
    <row r="21" spans="1:10" ht="30.75" thickBot="1">
      <c r="A21" s="42">
        <v>20</v>
      </c>
      <c r="B21" s="43" t="s">
        <v>1992</v>
      </c>
      <c r="C21" s="40">
        <v>10</v>
      </c>
      <c r="D21" s="40">
        <v>0</v>
      </c>
      <c r="E21" s="40">
        <v>0</v>
      </c>
      <c r="F21" s="40">
        <v>0</v>
      </c>
      <c r="G21" s="40">
        <v>0</v>
      </c>
      <c r="H21" s="40">
        <v>4</v>
      </c>
      <c r="I21" s="40">
        <v>2</v>
      </c>
      <c r="J21" s="44">
        <v>6</v>
      </c>
    </row>
    <row r="22" spans="1:10" ht="75.75" thickBot="1">
      <c r="A22" s="42">
        <v>21</v>
      </c>
      <c r="B22" s="43" t="s">
        <v>1993</v>
      </c>
      <c r="C22" s="40">
        <v>12</v>
      </c>
      <c r="D22" s="40">
        <v>2</v>
      </c>
      <c r="E22" s="40">
        <v>1</v>
      </c>
      <c r="F22" s="40">
        <v>0</v>
      </c>
      <c r="G22" s="40">
        <v>1</v>
      </c>
      <c r="H22" s="40">
        <v>1</v>
      </c>
      <c r="I22" s="40">
        <v>1</v>
      </c>
      <c r="J22" s="44">
        <v>6</v>
      </c>
    </row>
    <row r="23" spans="1:10" ht="75.75" thickBot="1">
      <c r="A23" s="42">
        <v>22</v>
      </c>
      <c r="B23" s="43" t="s">
        <v>1994</v>
      </c>
      <c r="C23" s="40">
        <v>23</v>
      </c>
      <c r="D23" s="40">
        <v>0</v>
      </c>
      <c r="E23" s="40">
        <v>1</v>
      </c>
      <c r="F23" s="40">
        <v>0</v>
      </c>
      <c r="G23" s="40">
        <v>1</v>
      </c>
      <c r="H23" s="40">
        <v>2</v>
      </c>
      <c r="I23" s="40">
        <v>2</v>
      </c>
      <c r="J23" s="44">
        <v>6</v>
      </c>
    </row>
    <row r="24" spans="1:10" ht="45.75" thickBot="1">
      <c r="A24" s="42">
        <v>23</v>
      </c>
      <c r="B24" s="43" t="s">
        <v>1995</v>
      </c>
      <c r="C24" s="40">
        <v>12</v>
      </c>
      <c r="D24" s="40">
        <v>0</v>
      </c>
      <c r="E24" s="40">
        <v>0</v>
      </c>
      <c r="F24" s="40">
        <v>1</v>
      </c>
      <c r="G24" s="40">
        <v>2</v>
      </c>
      <c r="H24" s="40">
        <v>2</v>
      </c>
      <c r="I24" s="40">
        <v>1</v>
      </c>
      <c r="J24" s="44">
        <v>6</v>
      </c>
    </row>
    <row r="25" spans="1:10" ht="60.75" thickBot="1">
      <c r="A25" s="42">
        <v>24</v>
      </c>
      <c r="B25" s="43" t="s">
        <v>1996</v>
      </c>
      <c r="C25" s="40">
        <v>26</v>
      </c>
      <c r="D25" s="40">
        <v>0</v>
      </c>
      <c r="E25" s="40">
        <v>0</v>
      </c>
      <c r="F25" s="40">
        <v>4</v>
      </c>
      <c r="G25" s="40">
        <v>0</v>
      </c>
      <c r="H25" s="40">
        <v>0</v>
      </c>
      <c r="I25" s="40">
        <v>1</v>
      </c>
      <c r="J25" s="44">
        <v>5</v>
      </c>
    </row>
    <row r="26" spans="1:10" ht="45.75" thickBot="1">
      <c r="A26" s="42">
        <v>25</v>
      </c>
      <c r="B26" s="43" t="s">
        <v>1997</v>
      </c>
      <c r="C26" s="40">
        <v>10</v>
      </c>
      <c r="D26" s="40">
        <v>0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4">
        <v>5</v>
      </c>
    </row>
    <row r="27" spans="1:10" ht="45.75" thickBot="1">
      <c r="A27" s="42">
        <v>26</v>
      </c>
      <c r="B27" s="43" t="s">
        <v>1998</v>
      </c>
      <c r="C27" s="40">
        <v>11</v>
      </c>
      <c r="D27" s="40">
        <v>0</v>
      </c>
      <c r="E27" s="40">
        <v>0</v>
      </c>
      <c r="F27" s="40">
        <v>1</v>
      </c>
      <c r="G27" s="40">
        <v>1</v>
      </c>
      <c r="H27" s="40">
        <v>1</v>
      </c>
      <c r="I27" s="40">
        <v>2</v>
      </c>
      <c r="J27" s="44">
        <v>5</v>
      </c>
    </row>
    <row r="28" spans="1:10" ht="30.75" thickBot="1">
      <c r="A28" s="42">
        <v>27</v>
      </c>
      <c r="B28" s="43" t="s">
        <v>1999</v>
      </c>
      <c r="C28" s="40">
        <v>17</v>
      </c>
      <c r="D28" s="40">
        <v>0</v>
      </c>
      <c r="E28" s="40">
        <v>0</v>
      </c>
      <c r="F28" s="40">
        <v>1</v>
      </c>
      <c r="G28" s="40">
        <v>0</v>
      </c>
      <c r="H28" s="40">
        <v>3</v>
      </c>
      <c r="I28" s="40">
        <v>1</v>
      </c>
      <c r="J28" s="44">
        <v>5</v>
      </c>
    </row>
    <row r="29" spans="1:10" ht="45.75" thickBot="1">
      <c r="A29" s="42">
        <v>28</v>
      </c>
      <c r="B29" s="43" t="s">
        <v>2000</v>
      </c>
      <c r="C29" s="40">
        <v>11</v>
      </c>
      <c r="D29" s="40">
        <v>0</v>
      </c>
      <c r="E29" s="40">
        <v>0</v>
      </c>
      <c r="F29" s="40">
        <v>2</v>
      </c>
      <c r="G29" s="40">
        <v>0</v>
      </c>
      <c r="H29" s="40">
        <v>1</v>
      </c>
      <c r="I29" s="40">
        <v>2</v>
      </c>
      <c r="J29" s="44">
        <v>5</v>
      </c>
    </row>
    <row r="30" spans="1:10" ht="60.75" thickBot="1">
      <c r="A30" s="42">
        <v>29</v>
      </c>
      <c r="B30" s="43" t="s">
        <v>2001</v>
      </c>
      <c r="C30" s="40">
        <v>7</v>
      </c>
      <c r="D30" s="40">
        <v>0</v>
      </c>
      <c r="E30" s="40">
        <v>0</v>
      </c>
      <c r="F30" s="40">
        <v>0</v>
      </c>
      <c r="G30" s="40">
        <v>2</v>
      </c>
      <c r="H30" s="40">
        <v>1</v>
      </c>
      <c r="I30" s="40">
        <v>1</v>
      </c>
      <c r="J30" s="44">
        <v>4</v>
      </c>
    </row>
    <row r="31" spans="1:10" ht="45.75" thickBot="1">
      <c r="A31" s="42">
        <v>30</v>
      </c>
      <c r="B31" s="43" t="s">
        <v>2002</v>
      </c>
      <c r="C31" s="40">
        <v>10</v>
      </c>
      <c r="D31" s="40">
        <v>0</v>
      </c>
      <c r="E31" s="40">
        <v>0</v>
      </c>
      <c r="F31" s="40">
        <v>0</v>
      </c>
      <c r="G31" s="40">
        <v>0</v>
      </c>
      <c r="H31" s="40">
        <v>3</v>
      </c>
      <c r="I31" s="40">
        <v>1</v>
      </c>
      <c r="J31" s="44">
        <v>4</v>
      </c>
    </row>
    <row r="32" spans="1:10" ht="45.75" thickBot="1">
      <c r="A32" s="42">
        <v>31</v>
      </c>
      <c r="B32" s="43" t="s">
        <v>2003</v>
      </c>
      <c r="C32" s="40">
        <v>10</v>
      </c>
      <c r="D32" s="40">
        <v>0</v>
      </c>
      <c r="E32" s="40">
        <v>0</v>
      </c>
      <c r="F32" s="40">
        <v>1</v>
      </c>
      <c r="G32" s="40">
        <v>1</v>
      </c>
      <c r="H32" s="40">
        <v>1</v>
      </c>
      <c r="I32" s="40">
        <v>1</v>
      </c>
      <c r="J32" s="44">
        <v>4</v>
      </c>
    </row>
    <row r="33" spans="1:10" ht="45.75" thickBot="1">
      <c r="A33" s="42">
        <v>32</v>
      </c>
      <c r="B33" s="43" t="s">
        <v>2004</v>
      </c>
      <c r="C33" s="40">
        <v>10</v>
      </c>
      <c r="D33" s="40">
        <v>0</v>
      </c>
      <c r="E33" s="40">
        <v>0</v>
      </c>
      <c r="F33" s="40">
        <v>1</v>
      </c>
      <c r="G33" s="40">
        <v>1</v>
      </c>
      <c r="H33" s="40">
        <v>1</v>
      </c>
      <c r="I33" s="40">
        <v>1</v>
      </c>
      <c r="J33" s="44">
        <v>4</v>
      </c>
    </row>
    <row r="34" spans="1:10" ht="60.75" thickBot="1">
      <c r="A34" s="42">
        <v>33</v>
      </c>
      <c r="B34" s="43" t="s">
        <v>2005</v>
      </c>
      <c r="C34" s="40">
        <v>26</v>
      </c>
      <c r="D34" s="40">
        <v>0</v>
      </c>
      <c r="E34" s="40">
        <v>0</v>
      </c>
      <c r="F34" s="40">
        <v>1</v>
      </c>
      <c r="G34" s="40">
        <v>0</v>
      </c>
      <c r="H34" s="40">
        <v>1</v>
      </c>
      <c r="I34" s="40">
        <v>2</v>
      </c>
      <c r="J34" s="44">
        <v>4</v>
      </c>
    </row>
    <row r="35" spans="1:10" ht="30.75" thickBot="1">
      <c r="A35" s="42">
        <v>34</v>
      </c>
      <c r="B35" s="43" t="s">
        <v>2006</v>
      </c>
      <c r="C35" s="40">
        <v>13</v>
      </c>
      <c r="D35" s="40">
        <v>0</v>
      </c>
      <c r="E35" s="40">
        <v>0</v>
      </c>
      <c r="F35" s="40">
        <v>0</v>
      </c>
      <c r="G35" s="40">
        <v>1</v>
      </c>
      <c r="H35" s="40">
        <v>1</v>
      </c>
      <c r="I35" s="40">
        <v>2</v>
      </c>
      <c r="J35" s="44">
        <v>4</v>
      </c>
    </row>
    <row r="36" spans="1:10" ht="60.75" thickBot="1">
      <c r="A36" s="42">
        <v>35</v>
      </c>
      <c r="B36" s="43" t="s">
        <v>2007</v>
      </c>
      <c r="C36" s="40">
        <v>10</v>
      </c>
      <c r="D36" s="40">
        <v>0</v>
      </c>
      <c r="E36" s="40">
        <v>0</v>
      </c>
      <c r="F36" s="40">
        <v>0</v>
      </c>
      <c r="G36" s="40">
        <v>1</v>
      </c>
      <c r="H36" s="40">
        <v>1</v>
      </c>
      <c r="I36" s="40">
        <v>2</v>
      </c>
      <c r="J36" s="44">
        <v>4</v>
      </c>
    </row>
    <row r="37" spans="1:10" ht="60.75" thickBot="1">
      <c r="A37" s="42">
        <v>36</v>
      </c>
      <c r="B37" s="43" t="s">
        <v>2008</v>
      </c>
      <c r="C37" s="40">
        <v>5</v>
      </c>
      <c r="D37" s="40">
        <v>0</v>
      </c>
      <c r="E37" s="40">
        <v>0</v>
      </c>
      <c r="F37" s="40">
        <v>0</v>
      </c>
      <c r="G37" s="40">
        <v>3</v>
      </c>
      <c r="H37" s="40">
        <v>0</v>
      </c>
      <c r="I37" s="40">
        <v>1</v>
      </c>
      <c r="J37" s="44">
        <v>4</v>
      </c>
    </row>
    <row r="38" spans="1:10" ht="60.75" thickBot="1">
      <c r="A38" s="42">
        <v>37</v>
      </c>
      <c r="B38" s="43" t="s">
        <v>2009</v>
      </c>
      <c r="C38" s="40">
        <v>10</v>
      </c>
      <c r="D38" s="40">
        <v>0</v>
      </c>
      <c r="E38" s="40">
        <v>0</v>
      </c>
      <c r="F38" s="40">
        <v>0</v>
      </c>
      <c r="G38" s="40">
        <v>2</v>
      </c>
      <c r="H38" s="40">
        <v>0</v>
      </c>
      <c r="I38" s="40">
        <v>2</v>
      </c>
      <c r="J38" s="44">
        <v>4</v>
      </c>
    </row>
    <row r="39" spans="1:10" ht="60.75" thickBot="1">
      <c r="A39" s="42">
        <v>38</v>
      </c>
      <c r="B39" s="43" t="s">
        <v>2010</v>
      </c>
      <c r="C39" s="40">
        <v>10</v>
      </c>
      <c r="D39" s="40">
        <v>0</v>
      </c>
      <c r="E39" s="40">
        <v>1</v>
      </c>
      <c r="F39" s="40">
        <v>1</v>
      </c>
      <c r="G39" s="40">
        <v>0</v>
      </c>
      <c r="H39" s="40">
        <v>2</v>
      </c>
      <c r="I39" s="40">
        <v>0</v>
      </c>
      <c r="J39" s="44">
        <v>4</v>
      </c>
    </row>
    <row r="40" spans="1:10" ht="60.75" thickBot="1">
      <c r="A40" s="42">
        <v>39</v>
      </c>
      <c r="B40" s="43" t="s">
        <v>2011</v>
      </c>
      <c r="C40" s="40">
        <v>12</v>
      </c>
      <c r="D40" s="40">
        <v>1</v>
      </c>
      <c r="E40" s="40">
        <v>2</v>
      </c>
      <c r="F40" s="40">
        <v>0</v>
      </c>
      <c r="G40" s="40">
        <v>1</v>
      </c>
      <c r="H40" s="40">
        <v>0</v>
      </c>
      <c r="I40" s="40">
        <v>0</v>
      </c>
      <c r="J40" s="44">
        <v>4</v>
      </c>
    </row>
    <row r="41" spans="1:10" ht="60.75" thickBot="1">
      <c r="A41" s="42">
        <v>40</v>
      </c>
      <c r="B41" s="43" t="s">
        <v>2012</v>
      </c>
      <c r="C41" s="40">
        <v>7</v>
      </c>
      <c r="D41" s="40">
        <v>0</v>
      </c>
      <c r="E41" s="40">
        <v>0</v>
      </c>
      <c r="F41" s="40">
        <v>2</v>
      </c>
      <c r="G41" s="40">
        <v>1</v>
      </c>
      <c r="H41" s="40">
        <v>1</v>
      </c>
      <c r="I41" s="40">
        <v>0</v>
      </c>
      <c r="J41" s="44">
        <v>4</v>
      </c>
    </row>
    <row r="42" spans="1:10" ht="60.75" thickBot="1">
      <c r="A42" s="42">
        <v>41</v>
      </c>
      <c r="B42" s="43" t="s">
        <v>2013</v>
      </c>
      <c r="C42" s="40">
        <v>4</v>
      </c>
      <c r="D42" s="40">
        <v>0</v>
      </c>
      <c r="E42" s="40">
        <v>0</v>
      </c>
      <c r="F42" s="40">
        <v>0</v>
      </c>
      <c r="G42" s="40">
        <v>0</v>
      </c>
      <c r="H42" s="40">
        <v>3</v>
      </c>
      <c r="I42" s="40">
        <v>0</v>
      </c>
      <c r="J42" s="44">
        <v>3</v>
      </c>
    </row>
    <row r="43" spans="1:10" ht="30.75" thickBot="1">
      <c r="A43" s="42">
        <v>42</v>
      </c>
      <c r="B43" s="43" t="s">
        <v>2014</v>
      </c>
      <c r="C43" s="40">
        <v>6</v>
      </c>
      <c r="D43" s="40">
        <v>0</v>
      </c>
      <c r="E43" s="40">
        <v>0</v>
      </c>
      <c r="F43" s="40">
        <v>0</v>
      </c>
      <c r="G43" s="40">
        <v>1</v>
      </c>
      <c r="H43" s="40">
        <v>1</v>
      </c>
      <c r="I43" s="40">
        <v>1</v>
      </c>
      <c r="J43" s="44">
        <v>3</v>
      </c>
    </row>
    <row r="44" spans="1:10" ht="60.75" thickBot="1">
      <c r="A44" s="42">
        <v>43</v>
      </c>
      <c r="B44" s="43" t="s">
        <v>2015</v>
      </c>
      <c r="C44" s="40">
        <v>7</v>
      </c>
      <c r="D44" s="40">
        <v>0</v>
      </c>
      <c r="E44" s="40">
        <v>0</v>
      </c>
      <c r="F44" s="40">
        <v>2</v>
      </c>
      <c r="G44" s="40">
        <v>0</v>
      </c>
      <c r="H44" s="40">
        <v>0</v>
      </c>
      <c r="I44" s="40">
        <v>1</v>
      </c>
      <c r="J44" s="44">
        <v>3</v>
      </c>
    </row>
    <row r="45" spans="1:10" ht="45.75" thickBot="1">
      <c r="A45" s="42">
        <v>44</v>
      </c>
      <c r="B45" s="43" t="s">
        <v>2016</v>
      </c>
      <c r="C45" s="40">
        <v>7</v>
      </c>
      <c r="D45" s="40">
        <v>0</v>
      </c>
      <c r="E45" s="40">
        <v>0</v>
      </c>
      <c r="F45" s="40">
        <v>0</v>
      </c>
      <c r="G45" s="40">
        <v>0</v>
      </c>
      <c r="H45" s="40">
        <v>1</v>
      </c>
      <c r="I45" s="40">
        <v>2</v>
      </c>
      <c r="J45" s="44">
        <v>3</v>
      </c>
    </row>
    <row r="46" spans="1:10" ht="45.75" thickBot="1">
      <c r="A46" s="42">
        <v>45</v>
      </c>
      <c r="B46" s="43" t="s">
        <v>2017</v>
      </c>
      <c r="C46" s="40">
        <v>10</v>
      </c>
      <c r="D46" s="40">
        <v>0</v>
      </c>
      <c r="E46" s="40">
        <v>0</v>
      </c>
      <c r="F46" s="40">
        <v>0</v>
      </c>
      <c r="G46" s="40">
        <v>1</v>
      </c>
      <c r="H46" s="40">
        <v>0</v>
      </c>
      <c r="I46" s="40">
        <v>2</v>
      </c>
      <c r="J46" s="44">
        <v>3</v>
      </c>
    </row>
    <row r="47" spans="1:10" ht="45.75" thickBot="1">
      <c r="A47" s="42">
        <v>46</v>
      </c>
      <c r="B47" s="43" t="s">
        <v>2018</v>
      </c>
      <c r="C47" s="40">
        <v>11</v>
      </c>
      <c r="D47" s="40">
        <v>0</v>
      </c>
      <c r="E47" s="40">
        <v>0</v>
      </c>
      <c r="F47" s="40">
        <v>0</v>
      </c>
      <c r="G47" s="40">
        <v>0</v>
      </c>
      <c r="H47" s="40">
        <v>2</v>
      </c>
      <c r="I47" s="40">
        <v>1</v>
      </c>
      <c r="J47" s="44">
        <v>3</v>
      </c>
    </row>
    <row r="48" spans="1:10" ht="30.75" thickBot="1">
      <c r="A48" s="42">
        <v>47</v>
      </c>
      <c r="B48" s="43" t="s">
        <v>2019</v>
      </c>
      <c r="C48" s="40">
        <v>10</v>
      </c>
      <c r="D48" s="40">
        <v>0</v>
      </c>
      <c r="E48" s="40">
        <v>0</v>
      </c>
      <c r="F48" s="40">
        <v>0</v>
      </c>
      <c r="G48" s="40">
        <v>1</v>
      </c>
      <c r="H48" s="40">
        <v>2</v>
      </c>
      <c r="I48" s="40">
        <v>0</v>
      </c>
      <c r="J48" s="44">
        <v>3</v>
      </c>
    </row>
    <row r="49" spans="1:10" ht="60.75" thickBot="1">
      <c r="A49" s="42">
        <v>48</v>
      </c>
      <c r="B49" s="43" t="s">
        <v>2020</v>
      </c>
      <c r="C49" s="40">
        <v>15</v>
      </c>
      <c r="D49" s="40">
        <v>0</v>
      </c>
      <c r="E49" s="40">
        <v>0</v>
      </c>
      <c r="F49" s="40">
        <v>1</v>
      </c>
      <c r="G49" s="40">
        <v>0</v>
      </c>
      <c r="H49" s="40">
        <v>1</v>
      </c>
      <c r="I49" s="40">
        <v>1</v>
      </c>
      <c r="J49" s="44">
        <v>3</v>
      </c>
    </row>
    <row r="50" spans="1:10" ht="60.75" thickBot="1">
      <c r="A50" s="42">
        <v>49</v>
      </c>
      <c r="B50" s="43" t="s">
        <v>2021</v>
      </c>
      <c r="C50" s="40">
        <v>6</v>
      </c>
      <c r="D50" s="40">
        <v>0</v>
      </c>
      <c r="E50" s="40">
        <v>1</v>
      </c>
      <c r="F50" s="40">
        <v>0</v>
      </c>
      <c r="G50" s="40">
        <v>1</v>
      </c>
      <c r="H50" s="40">
        <v>0</v>
      </c>
      <c r="I50" s="40">
        <v>1</v>
      </c>
      <c r="J50" s="44">
        <v>3</v>
      </c>
    </row>
    <row r="51" spans="1:10" ht="45.75" thickBot="1">
      <c r="A51" s="42">
        <v>50</v>
      </c>
      <c r="B51" s="43" t="s">
        <v>2022</v>
      </c>
      <c r="C51" s="40">
        <v>5</v>
      </c>
      <c r="D51" s="40">
        <v>0</v>
      </c>
      <c r="E51" s="40">
        <v>0</v>
      </c>
      <c r="F51" s="40">
        <v>1</v>
      </c>
      <c r="G51" s="40">
        <v>0</v>
      </c>
      <c r="H51" s="40">
        <v>1</v>
      </c>
      <c r="I51" s="40">
        <v>1</v>
      </c>
      <c r="J51" s="44">
        <v>3</v>
      </c>
    </row>
  </sheetData>
  <hyperlinks>
    <hyperlink ref="B2" r:id="rId1" display="http://www.boxofficeindia.com/banner.php?bannerid=62"/>
    <hyperlink ref="B3" r:id="rId2" display="http://www.boxofficeindia.com/banner.php?bannerid=59"/>
    <hyperlink ref="B4" r:id="rId3" display="http://www.boxofficeindia.com/banner.php?bannerid=95"/>
    <hyperlink ref="B5" r:id="rId4" display="http://www.boxofficeindia.com/banner.php?bannerid=60"/>
    <hyperlink ref="B6" r:id="rId5" display="http://www.boxofficeindia.com/banner.php?bannerid=36"/>
    <hyperlink ref="B7" r:id="rId6" display="http://www.boxofficeindia.com/banner.php?bannerid=66"/>
    <hyperlink ref="B8" r:id="rId7" display="http://www.boxofficeindia.com/banner.php?bannerid=61"/>
    <hyperlink ref="B9" r:id="rId8" display="http://www.boxofficeindia.com/banner.php?bannerid=114"/>
    <hyperlink ref="B10" r:id="rId9" display="http://www.boxofficeindia.com/banner.php?bannerid=67"/>
    <hyperlink ref="B11" r:id="rId10" display="http://www.boxofficeindia.com/banner.php?bannerid=91"/>
    <hyperlink ref="B12" r:id="rId11" display="http://www.boxofficeindia.com/banner.php?bannerid=108"/>
    <hyperlink ref="B13" r:id="rId12" display="http://www.boxofficeindia.com/banner.php?bannerid=216"/>
    <hyperlink ref="B14" r:id="rId13" display="http://www.boxofficeindia.com/banner.php?bannerid=69"/>
    <hyperlink ref="B15" r:id="rId14" display="http://www.boxofficeindia.com/banner.php?bannerid=93"/>
    <hyperlink ref="B16" r:id="rId15" display="http://www.boxofficeindia.com/banner.php?bannerid=78"/>
    <hyperlink ref="B17" r:id="rId16" display="http://www.boxofficeindia.com/banner.php?bannerid=68"/>
    <hyperlink ref="B18" r:id="rId17" display="http://www.boxofficeindia.com/banner.php?bannerid=99"/>
    <hyperlink ref="B19" r:id="rId18" display="http://www.boxofficeindia.com/banner.php?bannerid=128"/>
    <hyperlink ref="B20" r:id="rId19" display="http://www.boxofficeindia.com/banner.php?bannerid=171"/>
    <hyperlink ref="B21" r:id="rId20" display="http://www.boxofficeindia.com/banner.php?bannerid=914"/>
    <hyperlink ref="B22" r:id="rId21" display="http://www.boxofficeindia.com/banner.php?bannerid=103"/>
    <hyperlink ref="B23" r:id="rId22" display="http://www.boxofficeindia.com/banner.php?bannerid=669"/>
    <hyperlink ref="B24" r:id="rId23" display="http://www.boxofficeindia.com/banner.php?bannerid=92"/>
    <hyperlink ref="B25" r:id="rId24" display="http://www.boxofficeindia.com/banner.php?bannerid=145"/>
    <hyperlink ref="B26" r:id="rId25" display="http://www.boxofficeindia.com/banner.php?bannerid=219"/>
    <hyperlink ref="B27" r:id="rId26" display="http://www.boxofficeindia.com/banner.php?bannerid=130"/>
    <hyperlink ref="B28" r:id="rId27" display="http://www.boxofficeindia.com/banner.php?bannerid=64"/>
    <hyperlink ref="B29" r:id="rId28" display="http://www.boxofficeindia.com/banner.php?bannerid=131"/>
    <hyperlink ref="B30" r:id="rId29" display="http://www.boxofficeindia.com/banner.php?bannerid=274"/>
    <hyperlink ref="B31" r:id="rId30" display="http://www.boxofficeindia.com/banner.php?bannerid=220"/>
    <hyperlink ref="B32" r:id="rId31" display="http://www.boxofficeindia.com/banner.php?bannerid=685"/>
    <hyperlink ref="B33" r:id="rId32" display="http://www.boxofficeindia.com/banner.php?bannerid=129"/>
    <hyperlink ref="B34" r:id="rId33" display="http://www.boxofficeindia.com/banner.php?bannerid=194"/>
    <hyperlink ref="B35" r:id="rId34" display="http://www.boxofficeindia.com/banner.php?bannerid=1001"/>
    <hyperlink ref="B36" r:id="rId35" display="http://www.boxofficeindia.com/banner.php?bannerid=689"/>
    <hyperlink ref="B37" r:id="rId36" display="http://www.boxofficeindia.com/banner.php?bannerid=119"/>
    <hyperlink ref="B38" r:id="rId37" display="http://www.boxofficeindia.com/banner.php?bannerid=753"/>
    <hyperlink ref="B39" r:id="rId38" display="http://www.boxofficeindia.com/banner.php?bannerid=76"/>
    <hyperlink ref="B40" r:id="rId39" display="http://www.boxofficeindia.com/banner.php?bannerid=80"/>
    <hyperlink ref="B41" r:id="rId40" display="http://www.boxofficeindia.com/banner.php?bannerid=185"/>
    <hyperlink ref="B42" r:id="rId41" display="http://www.boxofficeindia.com/banner.php?bannerid=681"/>
    <hyperlink ref="B43" r:id="rId42" display="http://www.boxofficeindia.com/banner.php?bannerid=117"/>
    <hyperlink ref="B44" r:id="rId43" display="http://www.boxofficeindia.com/banner.php?bannerid=175"/>
    <hyperlink ref="B45" r:id="rId44" display="http://www.boxofficeindia.com/banner.php?bannerid=113"/>
    <hyperlink ref="B46" r:id="rId45" display="http://www.boxofficeindia.com/banner.php?bannerid=408"/>
    <hyperlink ref="B47" r:id="rId46" display="http://www.boxofficeindia.com/banner.php?bannerid=141"/>
    <hyperlink ref="B48" r:id="rId47" display="http://www.boxofficeindia.com/banner.php?bannerid=149"/>
    <hyperlink ref="B49" r:id="rId48" display="http://www.boxofficeindia.com/banner.php?bannerid=132"/>
    <hyperlink ref="B50" r:id="rId49" display="http://www.boxofficeindia.com/banner.php?bannerid=1187"/>
    <hyperlink ref="B51" r:id="rId50" display="http://www.boxofficeindia.com/banner.php?bannerid=89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72"/>
  <sheetViews>
    <sheetView workbookViewId="0">
      <selection activeCell="D3" sqref="D3"/>
    </sheetView>
  </sheetViews>
  <sheetFormatPr defaultRowHeight="15"/>
  <cols>
    <col min="1" max="1" width="18.85546875" bestFit="1" customWidth="1"/>
    <col min="2" max="2" width="9.5703125" bestFit="1" customWidth="1"/>
  </cols>
  <sheetData>
    <row r="1" spans="1:2">
      <c r="A1" s="41" t="s">
        <v>1934</v>
      </c>
    </row>
    <row r="2" spans="1:2" ht="15.75" thickBot="1">
      <c r="A2" s="43" t="s">
        <v>397</v>
      </c>
      <c r="B2">
        <v>44.117647058823529</v>
      </c>
    </row>
    <row r="3" spans="1:2" ht="15.75" thickBot="1">
      <c r="A3" s="43" t="s">
        <v>58</v>
      </c>
      <c r="B3">
        <v>66.666666666666657</v>
      </c>
    </row>
    <row r="4" spans="1:2" ht="15.75" thickBot="1">
      <c r="A4" s="43" t="s">
        <v>429</v>
      </c>
      <c r="B4">
        <v>39.285714285714285</v>
      </c>
    </row>
    <row r="5" spans="1:2" ht="15.75" thickBot="1">
      <c r="A5" s="43" t="s">
        <v>16</v>
      </c>
      <c r="B5">
        <v>50.819672131147541</v>
      </c>
    </row>
    <row r="6" spans="1:2" ht="15.75" thickBot="1">
      <c r="A6" s="43" t="s">
        <v>79</v>
      </c>
      <c r="B6">
        <v>26.373626373626376</v>
      </c>
    </row>
    <row r="7" spans="1:2" ht="15.75" thickBot="1">
      <c r="A7" s="43" t="s">
        <v>497</v>
      </c>
      <c r="B7">
        <v>33.333333333333329</v>
      </c>
    </row>
    <row r="8" spans="1:2" ht="15.75" thickBot="1">
      <c r="A8" s="43" t="s">
        <v>511</v>
      </c>
      <c r="B8">
        <v>27.397260273972602</v>
      </c>
    </row>
    <row r="9" spans="1:2" ht="15.75" thickBot="1">
      <c r="A9" s="43" t="s">
        <v>73</v>
      </c>
      <c r="B9">
        <v>65.384615384615387</v>
      </c>
    </row>
    <row r="10" spans="1:2" ht="15.75" thickBot="1">
      <c r="A10" s="43" t="s">
        <v>442</v>
      </c>
      <c r="B10">
        <v>34.042553191489361</v>
      </c>
    </row>
    <row r="11" spans="1:2" ht="15.75" thickBot="1">
      <c r="A11" s="43" t="s">
        <v>451</v>
      </c>
      <c r="B11">
        <v>22.857142857142858</v>
      </c>
    </row>
    <row r="12" spans="1:2" ht="15.75" thickBot="1">
      <c r="A12" s="43" t="s">
        <v>78</v>
      </c>
      <c r="B12">
        <v>15.238095238095239</v>
      </c>
    </row>
    <row r="13" spans="1:2" ht="15.75" thickBot="1">
      <c r="A13" s="43" t="s">
        <v>802</v>
      </c>
      <c r="B13">
        <v>35.714285714285715</v>
      </c>
    </row>
    <row r="14" spans="1:2" ht="15.75" thickBot="1">
      <c r="A14" s="43" t="s">
        <v>393</v>
      </c>
      <c r="B14">
        <v>27.450980392156865</v>
      </c>
    </row>
    <row r="15" spans="1:2" ht="15.75" thickBot="1">
      <c r="A15" s="43" t="s">
        <v>918</v>
      </c>
      <c r="B15">
        <v>36.111111111111107</v>
      </c>
    </row>
    <row r="16" spans="1:2" ht="15.75" thickBot="1">
      <c r="A16" s="43" t="s">
        <v>555</v>
      </c>
      <c r="B16">
        <v>11.607142857142858</v>
      </c>
    </row>
    <row r="17" spans="1:2" ht="15.75" thickBot="1">
      <c r="A17" s="43" t="s">
        <v>794</v>
      </c>
      <c r="B17">
        <v>54.54545454545454</v>
      </c>
    </row>
    <row r="18" spans="1:2" ht="15.75" thickBot="1">
      <c r="A18" s="43" t="s">
        <v>724</v>
      </c>
      <c r="B18">
        <v>26.086956521739129</v>
      </c>
    </row>
    <row r="19" spans="1:2" ht="15.75" thickBot="1">
      <c r="A19" s="43" t="s">
        <v>931</v>
      </c>
      <c r="B19">
        <v>31.428571428571427</v>
      </c>
    </row>
    <row r="20" spans="1:2" ht="15.75" thickBot="1">
      <c r="A20" s="43" t="s">
        <v>77</v>
      </c>
      <c r="B20">
        <v>23.404255319148938</v>
      </c>
    </row>
    <row r="21" spans="1:2" ht="15.75" thickBot="1">
      <c r="A21" s="43" t="s">
        <v>823</v>
      </c>
      <c r="B21">
        <v>38.461538461538467</v>
      </c>
    </row>
    <row r="22" spans="1:2" ht="15.75" thickBot="1">
      <c r="A22" s="43" t="s">
        <v>912</v>
      </c>
      <c r="B22">
        <v>56.25</v>
      </c>
    </row>
    <row r="23" spans="1:2" ht="15.75" thickBot="1">
      <c r="A23" s="43" t="s">
        <v>435</v>
      </c>
      <c r="B23">
        <v>24.324324324324326</v>
      </c>
    </row>
    <row r="24" spans="1:2" ht="15.75" thickBot="1">
      <c r="A24" s="43" t="s">
        <v>1220</v>
      </c>
      <c r="B24">
        <v>88.888888888888886</v>
      </c>
    </row>
    <row r="25" spans="1:2" ht="15.75" thickBot="1">
      <c r="A25" s="43" t="s">
        <v>468</v>
      </c>
      <c r="B25">
        <v>14.285714285714285</v>
      </c>
    </row>
    <row r="26" spans="1:2" ht="15.75" thickBot="1">
      <c r="A26" s="43" t="s">
        <v>1244</v>
      </c>
      <c r="B26">
        <v>55.555555555555557</v>
      </c>
    </row>
    <row r="27" spans="1:2" ht="15.75" thickBot="1">
      <c r="A27" s="43" t="s">
        <v>959</v>
      </c>
      <c r="B27">
        <v>21.739130434782609</v>
      </c>
    </row>
    <row r="28" spans="1:2" ht="15.75" thickBot="1">
      <c r="A28" s="43" t="s">
        <v>1199</v>
      </c>
      <c r="B28">
        <v>25</v>
      </c>
    </row>
    <row r="29" spans="1:2" ht="15.75" thickBot="1">
      <c r="A29" s="43" t="s">
        <v>827</v>
      </c>
      <c r="B29">
        <v>50</v>
      </c>
    </row>
    <row r="30" spans="1:2" ht="15.75" thickBot="1">
      <c r="A30" s="43" t="s">
        <v>1588</v>
      </c>
      <c r="B30">
        <v>4.7619047619047619</v>
      </c>
    </row>
    <row r="31" spans="1:2" ht="15.75" thickBot="1">
      <c r="A31" s="43" t="s">
        <v>1926</v>
      </c>
      <c r="B31">
        <v>0</v>
      </c>
    </row>
    <row r="32" spans="1:2" ht="15.75" thickBot="1">
      <c r="A32" s="43" t="s">
        <v>1927</v>
      </c>
      <c r="B32">
        <v>0</v>
      </c>
    </row>
    <row r="33" spans="1:2" ht="15.75" thickBot="1">
      <c r="A33" s="43" t="s">
        <v>1928</v>
      </c>
      <c r="B33">
        <v>0</v>
      </c>
    </row>
    <row r="34" spans="1:2" ht="15.75" thickBot="1">
      <c r="A34" s="43" t="s">
        <v>1929</v>
      </c>
      <c r="B34">
        <v>0</v>
      </c>
    </row>
    <row r="35" spans="1:2" ht="15.75" thickBot="1">
      <c r="A35" s="43" t="s">
        <v>1930</v>
      </c>
      <c r="B35">
        <v>0</v>
      </c>
    </row>
    <row r="36" spans="1:2" ht="15.75" thickBot="1">
      <c r="A36" s="43" t="s">
        <v>1931</v>
      </c>
      <c r="B36">
        <v>0</v>
      </c>
    </row>
    <row r="37" spans="1:2" ht="15.75" thickBot="1">
      <c r="A37" s="43" t="s">
        <v>1932</v>
      </c>
      <c r="B37">
        <v>0</v>
      </c>
    </row>
    <row r="38" spans="1:2" ht="15.75" thickBot="1">
      <c r="A38" s="43" t="s">
        <v>1933</v>
      </c>
      <c r="B38">
        <v>0</v>
      </c>
    </row>
    <row r="39" spans="1:2" ht="15.75" thickBot="1">
      <c r="A39" s="43" t="s">
        <v>69</v>
      </c>
      <c r="B39" s="45">
        <v>46.808510638297875</v>
      </c>
    </row>
    <row r="40" spans="1:2" ht="15.75" thickBot="1">
      <c r="A40" s="43" t="s">
        <v>788</v>
      </c>
      <c r="B40" s="45">
        <v>45.652173913043477</v>
      </c>
    </row>
    <row r="41" spans="1:2" ht="15.75" thickBot="1">
      <c r="A41" s="43" t="s">
        <v>831</v>
      </c>
      <c r="B41" s="45">
        <v>73.076923076923066</v>
      </c>
    </row>
    <row r="42" spans="1:2" ht="15.75" thickBot="1">
      <c r="A42" s="43" t="s">
        <v>383</v>
      </c>
      <c r="B42" s="45">
        <v>47.5</v>
      </c>
    </row>
    <row r="43" spans="1:2" ht="15.75" thickBot="1">
      <c r="A43" s="43" t="s">
        <v>803</v>
      </c>
      <c r="B43" s="45">
        <v>45</v>
      </c>
    </row>
    <row r="44" spans="1:2" ht="15.75" thickBot="1">
      <c r="A44" s="43" t="s">
        <v>59</v>
      </c>
      <c r="B44" s="45">
        <v>46.428571428571431</v>
      </c>
    </row>
    <row r="45" spans="1:2" ht="15.75" thickBot="1">
      <c r="A45" s="43" t="s">
        <v>410</v>
      </c>
      <c r="B45" s="45">
        <v>27.659574468085108</v>
      </c>
    </row>
    <row r="46" spans="1:2" ht="15.75" thickBot="1">
      <c r="A46" s="43" t="s">
        <v>806</v>
      </c>
      <c r="B46" s="45">
        <v>57.142857142857139</v>
      </c>
    </row>
    <row r="47" spans="1:2" ht="15.75" thickBot="1">
      <c r="A47" s="43" t="s">
        <v>818</v>
      </c>
      <c r="B47" s="45">
        <v>30</v>
      </c>
    </row>
    <row r="48" spans="1:2" ht="15.75" thickBot="1">
      <c r="A48" s="43" t="s">
        <v>398</v>
      </c>
      <c r="B48" s="45">
        <v>21.052631578947366</v>
      </c>
    </row>
    <row r="49" spans="1:2" ht="15.75" thickBot="1">
      <c r="A49" s="43" t="s">
        <v>449</v>
      </c>
      <c r="B49" s="45">
        <v>42.307692307692307</v>
      </c>
    </row>
    <row r="50" spans="1:2" ht="15.75" thickBot="1">
      <c r="A50" s="43" t="s">
        <v>1113</v>
      </c>
      <c r="B50" s="45">
        <v>39.285714285714285</v>
      </c>
    </row>
    <row r="51" spans="1:2" ht="15.75" thickBot="1">
      <c r="A51" s="43" t="s">
        <v>492</v>
      </c>
      <c r="B51" s="45">
        <v>36.666666666666664</v>
      </c>
    </row>
    <row r="52" spans="1:2" ht="15.75" thickBot="1">
      <c r="A52" s="43" t="s">
        <v>813</v>
      </c>
      <c r="B52" s="45">
        <v>60</v>
      </c>
    </row>
    <row r="53" spans="1:2" ht="15.75" thickBot="1">
      <c r="A53" s="43" t="s">
        <v>810</v>
      </c>
      <c r="B53" s="45">
        <v>40.909090909090914</v>
      </c>
    </row>
    <row r="54" spans="1:2" ht="15.75" thickBot="1">
      <c r="A54" s="43" t="s">
        <v>830</v>
      </c>
      <c r="B54" s="45">
        <v>32</v>
      </c>
    </row>
    <row r="55" spans="1:2" ht="15.75" thickBot="1">
      <c r="A55" s="43" t="s">
        <v>416</v>
      </c>
      <c r="B55" s="45">
        <v>14.035087719298245</v>
      </c>
    </row>
    <row r="56" spans="1:2" ht="15.75" thickBot="1">
      <c r="A56" s="43" t="s">
        <v>1284</v>
      </c>
      <c r="B56" s="45">
        <v>77.777777777777786</v>
      </c>
    </row>
    <row r="57" spans="1:2" ht="15.75" thickBot="1">
      <c r="A57" s="43" t="s">
        <v>14</v>
      </c>
      <c r="B57" s="45">
        <v>29.166666666666668</v>
      </c>
    </row>
    <row r="58" spans="1:2" ht="15.75" thickBot="1">
      <c r="A58" s="43" t="s">
        <v>784</v>
      </c>
      <c r="B58" s="45">
        <v>26.923076923076923</v>
      </c>
    </row>
    <row r="59" spans="1:2" ht="15.75" thickBot="1">
      <c r="A59" s="43" t="s">
        <v>419</v>
      </c>
      <c r="B59" s="45">
        <v>21.212121212121211</v>
      </c>
    </row>
    <row r="60" spans="1:2" ht="15.75" thickBot="1">
      <c r="A60" s="43" t="s">
        <v>518</v>
      </c>
      <c r="B60" s="45">
        <v>21.212121212121211</v>
      </c>
    </row>
    <row r="61" spans="1:2" ht="15.75" thickBot="1">
      <c r="A61" s="43" t="s">
        <v>1165</v>
      </c>
      <c r="B61" s="45">
        <v>37.5</v>
      </c>
    </row>
    <row r="62" spans="1:2" ht="15.75" thickBot="1">
      <c r="A62" s="43" t="s">
        <v>797</v>
      </c>
      <c r="B62" s="45">
        <v>71.428571428571431</v>
      </c>
    </row>
    <row r="63" spans="1:2" ht="15.75" thickBot="1">
      <c r="A63" s="43" t="s">
        <v>1187</v>
      </c>
      <c r="B63" s="45">
        <v>45.454545454545453</v>
      </c>
    </row>
    <row r="64" spans="1:2" ht="15.75" thickBot="1">
      <c r="A64" s="43" t="s">
        <v>1214</v>
      </c>
      <c r="B64" s="45">
        <v>35.714285714285715</v>
      </c>
    </row>
    <row r="65" spans="1:2" ht="15.75" thickBot="1">
      <c r="A65" s="43" t="s">
        <v>459</v>
      </c>
      <c r="B65" s="45">
        <v>21.739130434782609</v>
      </c>
    </row>
    <row r="66" spans="1:2" ht="15.75" thickBot="1">
      <c r="A66" s="43" t="s">
        <v>772</v>
      </c>
      <c r="B66" s="45">
        <v>20.833333333333336</v>
      </c>
    </row>
    <row r="67" spans="1:2" ht="15.75" thickBot="1">
      <c r="A67" s="43" t="s">
        <v>1334</v>
      </c>
      <c r="B67" s="45">
        <v>50</v>
      </c>
    </row>
    <row r="68" spans="1:2" ht="15.75" thickBot="1">
      <c r="A68" s="43" t="s">
        <v>474</v>
      </c>
      <c r="B68" s="45">
        <v>44.444444444444443</v>
      </c>
    </row>
    <row r="69" spans="1:2" ht="30.75" thickBot="1">
      <c r="A69" s="43" t="s">
        <v>461</v>
      </c>
      <c r="B69" s="45">
        <v>50</v>
      </c>
    </row>
    <row r="70" spans="1:2" ht="15.75" thickBot="1">
      <c r="A70" s="43" t="s">
        <v>1935</v>
      </c>
      <c r="B70" s="45">
        <v>16.666666666666664</v>
      </c>
    </row>
    <row r="71" spans="1:2" ht="15.75" thickBot="1">
      <c r="A71" s="43" t="s">
        <v>1021</v>
      </c>
      <c r="B71" s="45">
        <v>7.1428571428571423</v>
      </c>
    </row>
    <row r="72" spans="1:2" ht="15.75" thickBot="1">
      <c r="A72" s="43" t="s">
        <v>1936</v>
      </c>
      <c r="B72" s="45">
        <v>2.083333333333333</v>
      </c>
    </row>
  </sheetData>
  <hyperlinks>
    <hyperlink ref="A2" r:id="rId1" display="http://www.boxofficeindia.com/actor.php?actorid=2"/>
    <hyperlink ref="A3" r:id="rId2" display="http://www.boxofficeindia.com/actor.php?actorid=4"/>
    <hyperlink ref="A4" r:id="rId3" display="http://www.boxofficeindia.com/actor.php?actorid=44"/>
    <hyperlink ref="A5" r:id="rId4" display="http://www.boxofficeindia.com/actor.php?actorid=5"/>
    <hyperlink ref="A6" r:id="rId5" display="http://www.boxofficeindia.com/actor.php?actorid=518"/>
    <hyperlink ref="A7" r:id="rId6" display="http://www.boxofficeindia.com/actor.php?actorid=47"/>
    <hyperlink ref="A8" r:id="rId7" display="http://www.boxofficeindia.com/actor.php?actorid=29"/>
    <hyperlink ref="A9" r:id="rId8" display="http://www.boxofficeindia.com/actor.php?actorid=6"/>
    <hyperlink ref="A10" r:id="rId9" display="http://www.boxofficeindia.com/actor.php?actorid=75"/>
    <hyperlink ref="A11" r:id="rId10" display="http://www.boxofficeindia.com/actor.php?actorid=71"/>
    <hyperlink ref="A12" r:id="rId11" display="http://www.boxofficeindia.com/actor.php?actorid=76"/>
    <hyperlink ref="A13" r:id="rId12" display="http://www.boxofficeindia.com/actor.php?actorid=48"/>
    <hyperlink ref="A14" r:id="rId13" display="http://www.boxofficeindia.com/actor.php?actorid=43"/>
    <hyperlink ref="A15" r:id="rId14" display="http://www.boxofficeindia.com/actor.php?actorid=102"/>
    <hyperlink ref="A16" r:id="rId15" display="http://www.boxofficeindia.com/actor.php?actorid=57"/>
    <hyperlink ref="A17" r:id="rId16" display="http://www.boxofficeindia.com/actor.php?actorid=30"/>
    <hyperlink ref="A18" r:id="rId17" display="http://www.boxofficeindia.com/actor.php?actorid=8"/>
    <hyperlink ref="A19" r:id="rId18" display="http://www.boxofficeindia.com/actor.php?actorid=1555"/>
    <hyperlink ref="A20" r:id="rId19" display="http://www.boxofficeindia.com/actor.php?actorid=3"/>
    <hyperlink ref="A21" r:id="rId20" display="http://www.boxofficeindia.com/actor.php?actorid=45"/>
    <hyperlink ref="A22" r:id="rId21" display="http://www.boxofficeindia.com/actor.php?actorid=11"/>
    <hyperlink ref="A23" r:id="rId22" display="http://www.boxofficeindia.com/actor.php?actorid=56"/>
    <hyperlink ref="A24" r:id="rId23" display="http://www.boxofficeindia.com/actor.php?actorid=6603"/>
    <hyperlink ref="A25" r:id="rId24" display="http://www.boxofficeindia.com/actor.php?actorid=1"/>
    <hyperlink ref="A26" r:id="rId25" display="http://www.boxofficeindia.com/actor.php?actorid=621"/>
    <hyperlink ref="A27" r:id="rId26" display="http://www.boxofficeindia.com/actor.php?actorid=7"/>
    <hyperlink ref="A28" r:id="rId27" display="http://www.boxofficeindia.com/actor.php?actorid=50"/>
    <hyperlink ref="A29" r:id="rId28" display="http://www.boxofficeindia.com/actor.php?actorid=26"/>
    <hyperlink ref="A30" r:id="rId29" display="http://www.boxofficeindia.com/actor.php?actorid=13"/>
    <hyperlink ref="A31" r:id="rId30" display="http://www.boxofficeindia.com/actor.php?actorid=82"/>
    <hyperlink ref="A32" r:id="rId31" display="http://www.boxofficeindia.com/actor.php?actorid=19"/>
    <hyperlink ref="A33" r:id="rId32" display="http://www.boxofficeindia.com/actor.php?actorid=14"/>
    <hyperlink ref="A34" r:id="rId33" display="http://www.boxofficeindia.com/actor.php?actorid=8704"/>
    <hyperlink ref="A35" r:id="rId34" display="http://www.boxofficeindia.com/actor.php?actorid=94"/>
    <hyperlink ref="A36" r:id="rId35" display="http://www.boxofficeindia.com/actor.php?actorid=3540"/>
    <hyperlink ref="A37" r:id="rId36" display="http://www.boxofficeindia.com/actor.php?actorid=21"/>
    <hyperlink ref="A38" r:id="rId37" display="http://www.boxofficeindia.com/actor.php?actorid=37"/>
    <hyperlink ref="A39" r:id="rId38" display="http://www.boxofficeindia.com/actor.php?actorid=49"/>
    <hyperlink ref="A40" r:id="rId39" display="http://www.boxofficeindia.com/actor.php?actorid=10"/>
    <hyperlink ref="A41" r:id="rId40" display="http://www.boxofficeindia.com/actor.php?actorid=17"/>
    <hyperlink ref="A42" r:id="rId41" display="http://www.boxofficeindia.com/actor.php?actorid=62"/>
    <hyperlink ref="A43" r:id="rId42" display="http://www.boxofficeindia.com/actor.php?actorid=63"/>
    <hyperlink ref="A44" r:id="rId43" display="http://www.boxofficeindia.com/actor.php?actorid=92"/>
    <hyperlink ref="A45" r:id="rId44" display="http://www.boxofficeindia.com/actor.php?actorid=118"/>
    <hyperlink ref="A46" r:id="rId45" display="http://www.boxofficeindia.com/actor.php?actorid=73"/>
    <hyperlink ref="A47" r:id="rId46" display="http://www.boxofficeindia.com/actor.php?actorid=185"/>
    <hyperlink ref="A48" r:id="rId47" display="http://www.boxofficeindia.com/actor.php?actorid=119"/>
    <hyperlink ref="A49" r:id="rId48" display="http://www.boxofficeindia.com/actor.php?actorid=91"/>
    <hyperlink ref="A50" r:id="rId49" display="http://www.boxofficeindia.com/actor.php?actorid=316"/>
    <hyperlink ref="A51" r:id="rId50" display="http://www.boxofficeindia.com/actor.php?actorid=728"/>
    <hyperlink ref="A52" r:id="rId51" display="http://www.boxofficeindia.com/actor.php?actorid=64"/>
    <hyperlink ref="A53" r:id="rId52" display="http://www.boxofficeindia.com/actor.php?actorid=184"/>
    <hyperlink ref="A54" r:id="rId53" display="http://www.boxofficeindia.com/actor.php?actorid=479"/>
    <hyperlink ref="A55" r:id="rId54" display="http://www.boxofficeindia.com/actor.php?actorid=172"/>
    <hyperlink ref="A56" r:id="rId55" display="http://www.boxofficeindia.com/actor.php?actorid=6604"/>
    <hyperlink ref="A57" r:id="rId56" display="http://www.boxofficeindia.com/actor.php?actorid=16"/>
    <hyperlink ref="A58" r:id="rId57" display="http://www.boxofficeindia.com/actor.php?actorid=704"/>
    <hyperlink ref="A59" r:id="rId58" display="http://www.boxofficeindia.com/actor.php?actorid=1235"/>
    <hyperlink ref="A60" r:id="rId59" display="http://www.boxofficeindia.com/actor.php?actorid=1550"/>
    <hyperlink ref="A61" r:id="rId60" display="http://www.boxofficeindia.com/actor.php?actorid=65"/>
    <hyperlink ref="A62" r:id="rId61" display="http://www.boxofficeindia.com/actor.php?actorid=74"/>
    <hyperlink ref="A63" r:id="rId62" display="http://www.boxofficeindia.com/actor.php?actorid=663"/>
    <hyperlink ref="A64" r:id="rId63" display="http://www.boxofficeindia.com/actor.php?actorid=176"/>
    <hyperlink ref="A65" r:id="rId64" display="http://www.boxofficeindia.com/actor.php?actorid=23"/>
    <hyperlink ref="A66" r:id="rId65" display="http://www.boxofficeindia.com/actor.php?actorid=720"/>
    <hyperlink ref="A67" r:id="rId66" display="http://www.boxofficeindia.com/actor.php?actorid=622"/>
    <hyperlink ref="A68" r:id="rId67" display="http://www.boxofficeindia.com/actor.php?actorid=15"/>
    <hyperlink ref="A69" r:id="rId68" display="http://www.boxofficeindia.com/actor.php?actorid=177"/>
    <hyperlink ref="A70" r:id="rId69" display="http://www.boxofficeindia.com/actor.php?actorid=1531"/>
    <hyperlink ref="A71" r:id="rId70" display="http://www.boxofficeindia.com/actor.php?actorid=12"/>
    <hyperlink ref="A72" r:id="rId71" display="http://www.boxofficeindia.com/actor.php?actorid=13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L26" sqref="L26"/>
    </sheetView>
  </sheetViews>
  <sheetFormatPr defaultRowHeight="15"/>
  <cols>
    <col min="1" max="1" width="22.42578125" bestFit="1" customWidth="1"/>
  </cols>
  <sheetData>
    <row r="1" spans="1:1">
      <c r="A1" s="9" t="s">
        <v>51</v>
      </c>
    </row>
    <row r="2" spans="1:1">
      <c r="A2" s="37" t="s">
        <v>14</v>
      </c>
    </row>
    <row r="3" spans="1:1">
      <c r="A3" s="17" t="s">
        <v>451</v>
      </c>
    </row>
    <row r="4" spans="1:1">
      <c r="A4" s="37" t="s">
        <v>429</v>
      </c>
    </row>
    <row r="5" spans="1:1">
      <c r="A5" s="37" t="s">
        <v>442</v>
      </c>
    </row>
    <row r="6" spans="1:1">
      <c r="A6" s="38" t="s">
        <v>397</v>
      </c>
    </row>
    <row r="7" spans="1:1">
      <c r="A7" s="17" t="s">
        <v>724</v>
      </c>
    </row>
    <row r="8" spans="1:1">
      <c r="A8" s="17" t="s">
        <v>79</v>
      </c>
    </row>
    <row r="9" spans="1:1">
      <c r="A9" s="17" t="s">
        <v>555</v>
      </c>
    </row>
    <row r="10" spans="1:1">
      <c r="A10" s="17" t="s">
        <v>58</v>
      </c>
    </row>
    <row r="11" spans="1:1">
      <c r="A11" s="17" t="s">
        <v>736</v>
      </c>
    </row>
    <row r="12" spans="1:1">
      <c r="A12" s="17" t="s">
        <v>511</v>
      </c>
    </row>
    <row r="13" spans="1:1">
      <c r="A13" s="17" t="s">
        <v>1588</v>
      </c>
    </row>
    <row r="14" spans="1:1">
      <c r="A14" s="17" t="s">
        <v>468</v>
      </c>
    </row>
    <row r="15" spans="1:1">
      <c r="A15" s="17" t="s">
        <v>426</v>
      </c>
    </row>
    <row r="16" spans="1:1">
      <c r="A16" t="s">
        <v>435</v>
      </c>
    </row>
    <row r="17" spans="1:1">
      <c r="A17" s="17" t="s">
        <v>459</v>
      </c>
    </row>
    <row r="18" spans="1:1">
      <c r="A18" s="17" t="s">
        <v>1735</v>
      </c>
    </row>
    <row r="19" spans="1:1">
      <c r="A19" t="s">
        <v>73</v>
      </c>
    </row>
    <row r="20" spans="1:1">
      <c r="A20" t="s">
        <v>78</v>
      </c>
    </row>
    <row r="21" spans="1:1">
      <c r="A21" t="s">
        <v>77</v>
      </c>
    </row>
    <row r="22" spans="1:1">
      <c r="A22" s="17" t="s">
        <v>477</v>
      </c>
    </row>
    <row r="23" spans="1:1">
      <c r="A23" t="s">
        <v>538</v>
      </c>
    </row>
    <row r="24" spans="1:1">
      <c r="A24" t="s">
        <v>460</v>
      </c>
    </row>
    <row r="25" spans="1:1">
      <c r="A25" t="s">
        <v>564</v>
      </c>
    </row>
    <row r="26" spans="1:1">
      <c r="A26" s="17" t="s">
        <v>393</v>
      </c>
    </row>
    <row r="27" spans="1:1">
      <c r="A27" s="17" t="s">
        <v>16</v>
      </c>
    </row>
    <row r="28" spans="1:1">
      <c r="A28" t="s">
        <v>545</v>
      </c>
    </row>
    <row r="29" spans="1:1">
      <c r="A29" t="s">
        <v>415</v>
      </c>
    </row>
    <row r="30" spans="1:1">
      <c r="A30" s="17" t="s">
        <v>1746</v>
      </c>
    </row>
    <row r="31" spans="1:1">
      <c r="A31" s="17" t="s">
        <v>497</v>
      </c>
    </row>
    <row r="32" spans="1:1">
      <c r="A32" s="17" t="s">
        <v>514</v>
      </c>
    </row>
    <row r="33" spans="1:1">
      <c r="A33" s="17" t="s">
        <v>760</v>
      </c>
    </row>
    <row r="34" spans="1:1">
      <c r="A34" s="17" t="s">
        <v>546</v>
      </c>
    </row>
    <row r="35" spans="1:1">
      <c r="A35" s="17" t="s">
        <v>76</v>
      </c>
    </row>
    <row r="36" spans="1:1">
      <c r="A36" s="17" t="s">
        <v>550</v>
      </c>
    </row>
    <row r="37" spans="1:1">
      <c r="A37" s="17" t="s">
        <v>405</v>
      </c>
    </row>
    <row r="38" spans="1:1">
      <c r="A38" s="17" t="s">
        <v>419</v>
      </c>
    </row>
    <row r="39" spans="1:1">
      <c r="A39" s="17" t="s">
        <v>794</v>
      </c>
    </row>
    <row r="40" spans="1:1">
      <c r="A40" s="17" t="s">
        <v>479</v>
      </c>
    </row>
    <row r="41" spans="1:1">
      <c r="A41" s="17" t="s">
        <v>755</v>
      </c>
    </row>
    <row r="42" spans="1:1">
      <c r="A42" s="17" t="s">
        <v>909</v>
      </c>
    </row>
    <row r="43" spans="1:1">
      <c r="A43" s="17" t="s">
        <v>790</v>
      </c>
    </row>
    <row r="44" spans="1:1">
      <c r="A44" s="17" t="s">
        <v>898</v>
      </c>
    </row>
    <row r="45" spans="1:1">
      <c r="A45" s="17" t="s">
        <v>817</v>
      </c>
    </row>
    <row r="46" spans="1:1">
      <c r="A46" t="s">
        <v>383</v>
      </c>
    </row>
    <row r="47" spans="1:1">
      <c r="A47" t="s">
        <v>416</v>
      </c>
    </row>
    <row r="48" spans="1:1">
      <c r="A48" s="17" t="s">
        <v>795</v>
      </c>
    </row>
    <row r="49" spans="1:1">
      <c r="A49" t="s">
        <v>818</v>
      </c>
    </row>
    <row r="50" spans="1:1">
      <c r="A50" s="17" t="s">
        <v>928</v>
      </c>
    </row>
    <row r="51" spans="1:1">
      <c r="A51" s="17" t="s">
        <v>569</v>
      </c>
    </row>
    <row r="52" spans="1:1">
      <c r="A52" s="17" t="s">
        <v>1213</v>
      </c>
    </row>
    <row r="53" spans="1:1">
      <c r="A53" s="17" t="s">
        <v>802</v>
      </c>
    </row>
    <row r="54" spans="1:1">
      <c r="A54" s="17" t="s">
        <v>394</v>
      </c>
    </row>
    <row r="55" spans="1:1">
      <c r="A55" s="17" t="s">
        <v>823</v>
      </c>
    </row>
    <row r="56" spans="1:1">
      <c r="A56" s="17" t="s">
        <v>931</v>
      </c>
    </row>
    <row r="57" spans="1:1">
      <c r="A57" s="17" t="s">
        <v>1051</v>
      </c>
    </row>
    <row r="58" spans="1:1">
      <c r="A58" s="17" t="s">
        <v>1097</v>
      </c>
    </row>
    <row r="59" spans="1:1">
      <c r="A59" s="17" t="s">
        <v>772</v>
      </c>
    </row>
    <row r="60" spans="1:1">
      <c r="A60" s="17" t="s">
        <v>1050</v>
      </c>
    </row>
    <row r="61" spans="1:1">
      <c r="A61" s="17" t="s">
        <v>1805</v>
      </c>
    </row>
    <row r="62" spans="1:1">
      <c r="A62" s="17" t="s">
        <v>396</v>
      </c>
    </row>
    <row r="63" spans="1:1">
      <c r="A63" s="17" t="s">
        <v>453</v>
      </c>
    </row>
    <row r="64" spans="1:1">
      <c r="A64" s="17" t="s">
        <v>1653</v>
      </c>
    </row>
    <row r="65" spans="1:1">
      <c r="A65" s="17" t="s">
        <v>411</v>
      </c>
    </row>
    <row r="66" spans="1:1">
      <c r="A66" s="17" t="s">
        <v>1825</v>
      </c>
    </row>
    <row r="67" spans="1:1">
      <c r="A67" s="17" t="s">
        <v>827</v>
      </c>
    </row>
    <row r="68" spans="1:1">
      <c r="A68" t="s">
        <v>1074</v>
      </c>
    </row>
    <row r="69" spans="1:1">
      <c r="A69" s="17" t="s">
        <v>959</v>
      </c>
    </row>
    <row r="70" spans="1:1">
      <c r="A70" s="17" t="s">
        <v>1477</v>
      </c>
    </row>
    <row r="71" spans="1:1">
      <c r="A71" s="17" t="s">
        <v>1265</v>
      </c>
    </row>
    <row r="72" spans="1:1">
      <c r="A72" s="17" t="s">
        <v>1096</v>
      </c>
    </row>
    <row r="73" spans="1:1">
      <c r="A73" s="17" t="s">
        <v>921</v>
      </c>
    </row>
    <row r="74" spans="1:1">
      <c r="A74" t="s">
        <v>1058</v>
      </c>
    </row>
    <row r="75" spans="1:1">
      <c r="A75" s="17" t="s">
        <v>912</v>
      </c>
    </row>
    <row r="76" spans="1:1">
      <c r="A76" s="17" t="s">
        <v>1665</v>
      </c>
    </row>
    <row r="77" spans="1:1">
      <c r="A77" s="17" t="s">
        <v>808</v>
      </c>
    </row>
    <row r="78" spans="1:1">
      <c r="A78" s="17" t="s">
        <v>1473</v>
      </c>
    </row>
    <row r="79" spans="1:1">
      <c r="A79" t="s">
        <v>918</v>
      </c>
    </row>
    <row r="80" spans="1:1">
      <c r="A80" s="17" t="s">
        <v>1113</v>
      </c>
    </row>
    <row r="81" spans="1:1">
      <c r="A81" s="17" t="s">
        <v>1670</v>
      </c>
    </row>
    <row r="82" spans="1:1">
      <c r="A82" s="17" t="s">
        <v>1671</v>
      </c>
    </row>
    <row r="83" spans="1:1">
      <c r="A83" s="17" t="s">
        <v>1365</v>
      </c>
    </row>
    <row r="84" spans="1:1">
      <c r="A84" s="17" t="s">
        <v>1299</v>
      </c>
    </row>
    <row r="85" spans="1:1">
      <c r="A85" s="17" t="s">
        <v>1032</v>
      </c>
    </row>
    <row r="86" spans="1:1">
      <c r="A86" s="17" t="s">
        <v>1132</v>
      </c>
    </row>
    <row r="87" spans="1:1">
      <c r="A87" s="17" t="s">
        <v>1244</v>
      </c>
    </row>
    <row r="88" spans="1:1">
      <c r="A88" s="17" t="s">
        <v>789</v>
      </c>
    </row>
    <row r="89" spans="1:1">
      <c r="A89" s="17" t="s">
        <v>1369</v>
      </c>
    </row>
    <row r="90" spans="1:1">
      <c r="A90" s="17" t="s">
        <v>1028</v>
      </c>
    </row>
    <row r="91" spans="1:1">
      <c r="A91" s="17" t="s">
        <v>814</v>
      </c>
    </row>
    <row r="92" spans="1:1">
      <c r="A92" s="17" t="s">
        <v>1237</v>
      </c>
    </row>
    <row r="93" spans="1:1">
      <c r="A93" s="17" t="s">
        <v>810</v>
      </c>
    </row>
    <row r="94" spans="1:1">
      <c r="A94" s="17" t="s">
        <v>1333</v>
      </c>
    </row>
    <row r="95" spans="1:1">
      <c r="A95" s="17" t="s">
        <v>1360</v>
      </c>
    </row>
    <row r="96" spans="1:1">
      <c r="A96" s="17" t="s">
        <v>1225</v>
      </c>
    </row>
    <row r="97" spans="1:1">
      <c r="A97" s="22" t="s">
        <v>1327</v>
      </c>
    </row>
    <row r="98" spans="1:1">
      <c r="A98" s="17" t="s">
        <v>474</v>
      </c>
    </row>
    <row r="99" spans="1:1">
      <c r="A99" s="17" t="s">
        <v>1690</v>
      </c>
    </row>
    <row r="100" spans="1:1">
      <c r="A100" s="17" t="s">
        <v>69</v>
      </c>
    </row>
    <row r="101" spans="1:1">
      <c r="A101" s="17" t="s">
        <v>1494</v>
      </c>
    </row>
    <row r="102" spans="1:1">
      <c r="A102" s="17" t="s">
        <v>788</v>
      </c>
    </row>
    <row r="103" spans="1:1">
      <c r="A103" s="17" t="s">
        <v>1176</v>
      </c>
    </row>
    <row r="104" spans="1:1">
      <c r="A104" s="17" t="s">
        <v>1035</v>
      </c>
    </row>
    <row r="105" spans="1:1">
      <c r="A105" s="17" t="s">
        <v>1301</v>
      </c>
    </row>
    <row r="106" spans="1:1">
      <c r="A106" s="17" t="s">
        <v>1312</v>
      </c>
    </row>
    <row r="107" spans="1:1">
      <c r="A107" s="17" t="s">
        <v>1218</v>
      </c>
    </row>
    <row r="108" spans="1:1">
      <c r="A108" s="17" t="s">
        <v>1425</v>
      </c>
    </row>
    <row r="109" spans="1:1">
      <c r="A109" s="17" t="s">
        <v>1694</v>
      </c>
    </row>
    <row r="110" spans="1:1">
      <c r="A110" s="17" t="s">
        <v>1531</v>
      </c>
    </row>
    <row r="111" spans="1:1">
      <c r="A111" s="17" t="s">
        <v>1033</v>
      </c>
    </row>
    <row r="112" spans="1:1">
      <c r="A112" s="17" t="s">
        <v>1220</v>
      </c>
    </row>
    <row r="113" spans="1:1">
      <c r="A113" s="17" t="s">
        <v>1279</v>
      </c>
    </row>
    <row r="114" spans="1:1">
      <c r="A114" s="17" t="s">
        <v>803</v>
      </c>
    </row>
    <row r="115" spans="1:1">
      <c r="A115" s="17" t="s">
        <v>1407</v>
      </c>
    </row>
    <row r="116" spans="1:1">
      <c r="A116" s="17" t="s">
        <v>1701</v>
      </c>
    </row>
    <row r="117" spans="1:1">
      <c r="A117" s="17" t="s">
        <v>1706</v>
      </c>
    </row>
    <row r="118" spans="1:1">
      <c r="A118" s="17" t="s">
        <v>1214</v>
      </c>
    </row>
    <row r="119" spans="1:1">
      <c r="A119" s="17" t="s">
        <v>1158</v>
      </c>
    </row>
    <row r="120" spans="1:1">
      <c r="A120" s="17" t="s">
        <v>1554</v>
      </c>
    </row>
    <row r="121" spans="1:1">
      <c r="A121" s="17" t="s">
        <v>1355</v>
      </c>
    </row>
    <row r="122" spans="1:1">
      <c r="A122" s="17" t="s">
        <v>1713</v>
      </c>
    </row>
    <row r="123" spans="1:1">
      <c r="A123" s="17" t="s">
        <v>1256</v>
      </c>
    </row>
    <row r="124" spans="1:1">
      <c r="A124" s="17" t="s">
        <v>1154</v>
      </c>
    </row>
    <row r="125" spans="1:1">
      <c r="A125" t="s">
        <v>60</v>
      </c>
    </row>
    <row r="126" spans="1:1">
      <c r="A126" t="s">
        <v>59</v>
      </c>
    </row>
    <row r="127" spans="1:1">
      <c r="A127" s="17" t="s">
        <v>410</v>
      </c>
    </row>
    <row r="128" spans="1:1">
      <c r="A128" s="17" t="s">
        <v>728</v>
      </c>
    </row>
    <row r="129" spans="1:1">
      <c r="A129" s="17" t="s">
        <v>524</v>
      </c>
    </row>
    <row r="130" spans="1:1">
      <c r="A130" s="17" t="s">
        <v>488</v>
      </c>
    </row>
    <row r="131" spans="1:1">
      <c r="A131" s="17" t="s">
        <v>725</v>
      </c>
    </row>
    <row r="132" spans="1:1">
      <c r="A132" s="17" t="s">
        <v>737</v>
      </c>
    </row>
    <row r="133" spans="1:1">
      <c r="A133" s="17" t="s">
        <v>534</v>
      </c>
    </row>
    <row r="134" spans="1:1">
      <c r="A134" s="17" t="s">
        <v>1593</v>
      </c>
    </row>
    <row r="135" spans="1:1">
      <c r="A135" s="17" t="s">
        <v>559</v>
      </c>
    </row>
    <row r="136" spans="1:1">
      <c r="A136" s="17" t="s">
        <v>398</v>
      </c>
    </row>
    <row r="137" spans="1:1">
      <c r="A137" t="s">
        <v>436</v>
      </c>
    </row>
    <row r="138" spans="1:1">
      <c r="A138" t="s">
        <v>542</v>
      </c>
    </row>
    <row r="139" spans="1:1">
      <c r="A139" s="17" t="s">
        <v>1599</v>
      </c>
    </row>
    <row r="140" spans="1:1">
      <c r="A140" s="17" t="s">
        <v>776</v>
      </c>
    </row>
    <row r="141" spans="1:1">
      <c r="A141" s="17" t="s">
        <v>461</v>
      </c>
    </row>
    <row r="142" spans="1:1">
      <c r="A142" s="17" t="s">
        <v>478</v>
      </c>
    </row>
    <row r="143" spans="1:1">
      <c r="A143" t="s">
        <v>565</v>
      </c>
    </row>
    <row r="144" spans="1:1">
      <c r="A144" s="17" t="s">
        <v>1603</v>
      </c>
    </row>
    <row r="145" spans="1:1">
      <c r="A145" s="17" t="s">
        <v>425</v>
      </c>
    </row>
    <row r="146" spans="1:1">
      <c r="A146" s="17" t="s">
        <v>500</v>
      </c>
    </row>
    <row r="147" spans="1:1">
      <c r="A147" s="17" t="s">
        <v>1609</v>
      </c>
    </row>
    <row r="148" spans="1:1">
      <c r="A148" s="17" t="s">
        <v>1747</v>
      </c>
    </row>
    <row r="149" spans="1:1">
      <c r="A149" s="17" t="s">
        <v>745</v>
      </c>
    </row>
    <row r="150" spans="1:1">
      <c r="A150" s="17" t="s">
        <v>761</v>
      </c>
    </row>
    <row r="151" spans="1:1">
      <c r="A151" s="17" t="s">
        <v>507</v>
      </c>
    </row>
    <row r="152" spans="1:1">
      <c r="A152" s="17" t="s">
        <v>1762</v>
      </c>
    </row>
    <row r="153" spans="1:1">
      <c r="A153" s="17" t="s">
        <v>551</v>
      </c>
    </row>
    <row r="154" spans="1:1">
      <c r="A154" s="17" t="s">
        <v>1617</v>
      </c>
    </row>
    <row r="155" spans="1:1">
      <c r="A155" s="17" t="s">
        <v>449</v>
      </c>
    </row>
    <row r="156" spans="1:1">
      <c r="A156" s="17" t="s">
        <v>784</v>
      </c>
    </row>
    <row r="157" spans="1:1">
      <c r="A157" t="s">
        <v>492</v>
      </c>
    </row>
    <row r="158" spans="1:1">
      <c r="A158" s="17" t="s">
        <v>1623</v>
      </c>
    </row>
    <row r="159" spans="1:1">
      <c r="A159" s="17" t="s">
        <v>465</v>
      </c>
    </row>
    <row r="160" spans="1:1">
      <c r="A160" s="17" t="s">
        <v>792</v>
      </c>
    </row>
    <row r="161" spans="1:1">
      <c r="A161" s="17" t="s">
        <v>944</v>
      </c>
    </row>
    <row r="162" spans="1:1">
      <c r="A162" s="17" t="s">
        <v>518</v>
      </c>
    </row>
    <row r="163" spans="1:1">
      <c r="A163" s="17" t="s">
        <v>1145</v>
      </c>
    </row>
    <row r="164" spans="1:1">
      <c r="A164" t="s">
        <v>1064</v>
      </c>
    </row>
    <row r="165" spans="1:1">
      <c r="A165" s="17" t="s">
        <v>1784</v>
      </c>
    </row>
    <row r="166" spans="1:1">
      <c r="A166" t="s">
        <v>1021</v>
      </c>
    </row>
    <row r="167" spans="1:1">
      <c r="A167" t="s">
        <v>830</v>
      </c>
    </row>
    <row r="168" spans="1:1">
      <c r="A168" s="17" t="s">
        <v>1104</v>
      </c>
    </row>
    <row r="169" spans="1:1">
      <c r="A169" s="17" t="s">
        <v>922</v>
      </c>
    </row>
    <row r="170" spans="1:1">
      <c r="A170" s="17" t="s">
        <v>1791</v>
      </c>
    </row>
    <row r="171" spans="1:1">
      <c r="A171" s="17" t="s">
        <v>824</v>
      </c>
    </row>
    <row r="172" spans="1:1">
      <c r="A172" s="17" t="s">
        <v>938</v>
      </c>
    </row>
    <row r="173" spans="1:1">
      <c r="A173" s="17" t="s">
        <v>966</v>
      </c>
    </row>
    <row r="174" spans="1:1">
      <c r="A174" s="17" t="s">
        <v>1142</v>
      </c>
    </row>
    <row r="175" spans="1:1">
      <c r="A175" s="17" t="s">
        <v>1117</v>
      </c>
    </row>
    <row r="176" spans="1:1">
      <c r="A176" s="17" t="s">
        <v>1639</v>
      </c>
    </row>
    <row r="177" spans="1:1">
      <c r="A177" s="17" t="s">
        <v>1094</v>
      </c>
    </row>
    <row r="178" spans="1:1">
      <c r="A178" s="17" t="s">
        <v>1806</v>
      </c>
    </row>
    <row r="179" spans="1:1">
      <c r="A179" s="17" t="s">
        <v>939</v>
      </c>
    </row>
    <row r="180" spans="1:1">
      <c r="A180" s="17" t="s">
        <v>1082</v>
      </c>
    </row>
    <row r="181" spans="1:1">
      <c r="A181" s="17" t="s">
        <v>1167</v>
      </c>
    </row>
    <row r="182" spans="1:1">
      <c r="A182" s="17" t="s">
        <v>1818</v>
      </c>
    </row>
    <row r="183" spans="1:1">
      <c r="A183" t="s">
        <v>952</v>
      </c>
    </row>
    <row r="184" spans="1:1">
      <c r="A184" s="17" t="s">
        <v>1654</v>
      </c>
    </row>
    <row r="185" spans="1:1">
      <c r="A185" s="17" t="s">
        <v>811</v>
      </c>
    </row>
    <row r="186" spans="1:1">
      <c r="A186" s="17" t="s">
        <v>1102</v>
      </c>
    </row>
    <row r="187" spans="1:1">
      <c r="A187" s="37" t="s">
        <v>806</v>
      </c>
    </row>
    <row r="188" spans="1:1">
      <c r="A188" s="17" t="s">
        <v>835</v>
      </c>
    </row>
    <row r="189" spans="1:1">
      <c r="A189" s="17" t="s">
        <v>902</v>
      </c>
    </row>
    <row r="190" spans="1:1">
      <c r="A190" s="37" t="s">
        <v>831</v>
      </c>
    </row>
    <row r="191" spans="1:1">
      <c r="A191" s="17" t="s">
        <v>958</v>
      </c>
    </row>
    <row r="192" spans="1:1">
      <c r="A192" s="17" t="s">
        <v>1835</v>
      </c>
    </row>
    <row r="193" spans="1:1">
      <c r="A193" s="17" t="s">
        <v>1108</v>
      </c>
    </row>
    <row r="194" spans="1:1">
      <c r="A194" s="17" t="s">
        <v>1464</v>
      </c>
    </row>
    <row r="195" spans="1:1">
      <c r="A195" s="17" t="s">
        <v>797</v>
      </c>
    </row>
    <row r="196" spans="1:1">
      <c r="A196" s="17" t="s">
        <v>813</v>
      </c>
    </row>
    <row r="197" spans="1:1">
      <c r="A197" s="17" t="s">
        <v>932</v>
      </c>
    </row>
    <row r="198" spans="1:1">
      <c r="A198" t="s">
        <v>1059</v>
      </c>
    </row>
    <row r="199" spans="1:1">
      <c r="A199" s="17" t="s">
        <v>1666</v>
      </c>
    </row>
    <row r="200" spans="1:1">
      <c r="A200" s="17" t="s">
        <v>1474</v>
      </c>
    </row>
    <row r="201" spans="1:1">
      <c r="A201" s="17" t="s">
        <v>1131</v>
      </c>
    </row>
    <row r="202" spans="1:1">
      <c r="A202" s="17" t="s">
        <v>1178</v>
      </c>
    </row>
    <row r="203" spans="1:1">
      <c r="A203" s="17" t="s">
        <v>1672</v>
      </c>
    </row>
    <row r="204" spans="1:1">
      <c r="A204" s="17" t="s">
        <v>1476</v>
      </c>
    </row>
    <row r="205" spans="1:1">
      <c r="A205" s="17" t="s">
        <v>1177</v>
      </c>
    </row>
    <row r="206" spans="1:1">
      <c r="A206" s="17" t="s">
        <v>1165</v>
      </c>
    </row>
    <row r="207" spans="1:1">
      <c r="A207" s="17" t="s">
        <v>1366</v>
      </c>
    </row>
    <row r="208" spans="1:1">
      <c r="A208" s="17" t="s">
        <v>1170</v>
      </c>
    </row>
    <row r="209" spans="1:1">
      <c r="A209" s="17" t="s">
        <v>1489</v>
      </c>
    </row>
    <row r="210" spans="1:1">
      <c r="A210" s="17" t="s">
        <v>1499</v>
      </c>
    </row>
    <row r="211" spans="1:1">
      <c r="A211" s="17" t="s">
        <v>1198</v>
      </c>
    </row>
    <row r="212" spans="1:1">
      <c r="A212" s="17" t="s">
        <v>1319</v>
      </c>
    </row>
    <row r="213" spans="1:1">
      <c r="A213" s="17" t="s">
        <v>1370</v>
      </c>
    </row>
    <row r="214" spans="1:1">
      <c r="A214" s="17" t="s">
        <v>1393</v>
      </c>
    </row>
    <row r="215" spans="1:1">
      <c r="A215" s="17" t="s">
        <v>1183</v>
      </c>
    </row>
    <row r="216" spans="1:1">
      <c r="A216" s="17" t="s">
        <v>1484</v>
      </c>
    </row>
    <row r="217" spans="1:1">
      <c r="A217" s="17" t="s">
        <v>1510</v>
      </c>
    </row>
    <row r="218" spans="1:1">
      <c r="A218" s="17" t="s">
        <v>1334</v>
      </c>
    </row>
    <row r="219" spans="1:1">
      <c r="A219" s="17" t="s">
        <v>1348</v>
      </c>
    </row>
    <row r="220" spans="1:1">
      <c r="A220" s="17" t="s">
        <v>1420</v>
      </c>
    </row>
    <row r="221" spans="1:1">
      <c r="A221" s="17" t="s">
        <v>1691</v>
      </c>
    </row>
    <row r="222" spans="1:1">
      <c r="A222" s="17" t="s">
        <v>1519</v>
      </c>
    </row>
    <row r="223" spans="1:1">
      <c r="A223" s="17" t="s">
        <v>1187</v>
      </c>
    </row>
    <row r="224" spans="1:1">
      <c r="A224" s="17" t="s">
        <v>1036</v>
      </c>
    </row>
    <row r="225" spans="1:1">
      <c r="A225" s="17" t="s">
        <v>1351</v>
      </c>
    </row>
    <row r="226" spans="1:1">
      <c r="A226" s="17" t="s">
        <v>1426</v>
      </c>
    </row>
    <row r="227" spans="1:1">
      <c r="A227" s="17" t="s">
        <v>1698</v>
      </c>
    </row>
    <row r="228" spans="1:1">
      <c r="A228" s="17" t="s">
        <v>1532</v>
      </c>
    </row>
    <row r="229" spans="1:1">
      <c r="A229" s="17" t="s">
        <v>1208</v>
      </c>
    </row>
    <row r="230" spans="1:1">
      <c r="A230" s="17" t="s">
        <v>1284</v>
      </c>
    </row>
    <row r="231" spans="1:1">
      <c r="A231" s="17" t="s">
        <v>1307</v>
      </c>
    </row>
    <row r="232" spans="1:1">
      <c r="A232" s="17" t="s">
        <v>1328</v>
      </c>
    </row>
    <row r="233" spans="1:1">
      <c r="A233" s="17" t="s">
        <v>1398</v>
      </c>
    </row>
    <row r="234" spans="1:1">
      <c r="A234" s="17" t="s">
        <v>1203</v>
      </c>
    </row>
    <row r="235" spans="1:1">
      <c r="A235" s="17" t="s">
        <v>1408</v>
      </c>
    </row>
    <row r="236" spans="1:1">
      <c r="A236" s="17" t="s">
        <v>1432</v>
      </c>
    </row>
    <row r="237" spans="1:1">
      <c r="A237" s="17" t="s">
        <v>1702</v>
      </c>
    </row>
    <row r="238" spans="1:1">
      <c r="A238" s="17" t="s">
        <v>1707</v>
      </c>
    </row>
    <row r="239" spans="1:1">
      <c r="A239" s="17" t="s">
        <v>1295</v>
      </c>
    </row>
    <row r="240" spans="1:1">
      <c r="A240" s="17" t="s">
        <v>1555</v>
      </c>
    </row>
    <row r="241" spans="1:1">
      <c r="A241" s="12" t="s">
        <v>1238</v>
      </c>
    </row>
    <row r="242" spans="1:1">
      <c r="A242" s="17" t="s">
        <v>1341</v>
      </c>
    </row>
    <row r="243" spans="1:1">
      <c r="A243" s="17" t="s">
        <v>469</v>
      </c>
    </row>
    <row r="244" spans="1:1">
      <c r="A244" s="17" t="s">
        <v>1381</v>
      </c>
    </row>
    <row r="245" spans="1:1">
      <c r="A245" s="17" t="s">
        <v>1714</v>
      </c>
    </row>
    <row r="246" spans="1:1">
      <c r="A246" s="17" t="s">
        <v>1563</v>
      </c>
    </row>
    <row r="247" spans="1:1">
      <c r="A247" s="17" t="s">
        <v>462</v>
      </c>
    </row>
    <row r="248" spans="1:1">
      <c r="A248" s="17" t="s">
        <v>1290</v>
      </c>
    </row>
    <row r="249" spans="1:1">
      <c r="A249" s="17" t="s">
        <v>1722</v>
      </c>
    </row>
    <row r="250" spans="1:1">
      <c r="A250" s="17" t="s">
        <v>1268</v>
      </c>
    </row>
  </sheetData>
  <hyperlinks>
    <hyperlink ref="A15" r:id="rId1" display="http://www.boxofficeindia.com/actor.php?actorid=175&amp;role=2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36"/>
  <sheetViews>
    <sheetView topLeftCell="B1" workbookViewId="0">
      <selection activeCell="B3" sqref="B3"/>
    </sheetView>
  </sheetViews>
  <sheetFormatPr defaultRowHeight="15"/>
  <cols>
    <col min="1" max="1" width="14.140625" customWidth="1"/>
    <col min="4" max="4" width="23.5703125" customWidth="1"/>
    <col min="6" max="6" width="19.7109375" customWidth="1"/>
  </cols>
  <sheetData>
    <row r="1" spans="1:6" ht="28.5">
      <c r="A1" t="s">
        <v>2264</v>
      </c>
      <c r="B1" s="41" t="s">
        <v>2265</v>
      </c>
      <c r="C1" s="48" t="s">
        <v>2064</v>
      </c>
      <c r="D1" s="41" t="s">
        <v>2065</v>
      </c>
      <c r="E1" s="41" t="s">
        <v>2066</v>
      </c>
      <c r="F1" s="41" t="s">
        <v>2067</v>
      </c>
    </row>
    <row r="2" spans="1:6" ht="45.75" thickBot="1">
      <c r="A2" t="s">
        <v>2188</v>
      </c>
      <c r="B2" s="42">
        <v>26</v>
      </c>
      <c r="C2" s="43" t="s">
        <v>2189</v>
      </c>
      <c r="D2" s="46">
        <v>43027</v>
      </c>
      <c r="E2" s="40" t="s">
        <v>2190</v>
      </c>
      <c r="F2" s="40"/>
    </row>
    <row r="3" spans="1:6" ht="29.25" thickBot="1">
      <c r="A3" t="s">
        <v>2188</v>
      </c>
      <c r="B3" s="42">
        <v>25</v>
      </c>
      <c r="C3" s="43" t="s">
        <v>2191</v>
      </c>
      <c r="D3" s="46">
        <v>42727</v>
      </c>
      <c r="E3" s="40" t="s">
        <v>2192</v>
      </c>
      <c r="F3" s="40" t="s">
        <v>47</v>
      </c>
    </row>
    <row r="4" spans="1:6" ht="29.25" thickBot="1">
      <c r="A4" t="s">
        <v>2188</v>
      </c>
      <c r="B4" s="42">
        <v>24</v>
      </c>
      <c r="C4" s="43" t="s">
        <v>283</v>
      </c>
      <c r="D4" s="46">
        <v>41992</v>
      </c>
      <c r="E4" s="40" t="s">
        <v>2193</v>
      </c>
      <c r="F4" s="40" t="s">
        <v>47</v>
      </c>
    </row>
    <row r="5" spans="1:6" ht="29.25" thickBot="1">
      <c r="A5" t="s">
        <v>2188</v>
      </c>
      <c r="B5" s="42">
        <v>23</v>
      </c>
      <c r="C5" s="43" t="s">
        <v>285</v>
      </c>
      <c r="D5" s="46">
        <v>41628</v>
      </c>
      <c r="E5" s="40" t="s">
        <v>2194</v>
      </c>
      <c r="F5" s="40" t="s">
        <v>47</v>
      </c>
    </row>
    <row r="6" spans="1:6" ht="29.25" thickBot="1">
      <c r="A6" t="s">
        <v>2188</v>
      </c>
      <c r="B6" s="42">
        <v>22</v>
      </c>
      <c r="C6" s="43" t="s">
        <v>363</v>
      </c>
      <c r="D6" s="46">
        <v>41243</v>
      </c>
      <c r="E6" s="40" t="s">
        <v>2195</v>
      </c>
      <c r="F6" s="40" t="s">
        <v>178</v>
      </c>
    </row>
    <row r="7" spans="1:6" ht="30.75" thickBot="1">
      <c r="A7" t="s">
        <v>2188</v>
      </c>
      <c r="B7" s="42">
        <v>21</v>
      </c>
      <c r="C7" s="43" t="s">
        <v>2196</v>
      </c>
      <c r="D7" s="46">
        <v>40564</v>
      </c>
      <c r="E7" s="40" t="s">
        <v>2197</v>
      </c>
      <c r="F7" s="40" t="s">
        <v>621</v>
      </c>
    </row>
    <row r="8" spans="1:6" ht="29.25" thickBot="1">
      <c r="A8" t="s">
        <v>2188</v>
      </c>
      <c r="B8" s="42">
        <v>20</v>
      </c>
      <c r="C8" s="43" t="s">
        <v>184</v>
      </c>
      <c r="D8" s="46">
        <v>40171</v>
      </c>
      <c r="E8" s="40" t="s">
        <v>2198</v>
      </c>
      <c r="F8" s="40" t="s">
        <v>47</v>
      </c>
    </row>
    <row r="9" spans="1:6" ht="29.25" thickBot="1">
      <c r="A9" t="s">
        <v>2188</v>
      </c>
      <c r="B9" s="42">
        <v>19</v>
      </c>
      <c r="C9" s="43" t="s">
        <v>188</v>
      </c>
      <c r="D9" s="46">
        <v>39807</v>
      </c>
      <c r="E9" s="40" t="s">
        <v>2199</v>
      </c>
      <c r="F9" s="40" t="s">
        <v>82</v>
      </c>
    </row>
    <row r="10" spans="1:6" ht="45.75" thickBot="1">
      <c r="A10" t="s">
        <v>2188</v>
      </c>
      <c r="B10" s="42">
        <v>18</v>
      </c>
      <c r="C10" s="43" t="s">
        <v>204</v>
      </c>
      <c r="D10" s="46">
        <v>39437</v>
      </c>
      <c r="E10" s="40" t="s">
        <v>2200</v>
      </c>
      <c r="F10" s="40" t="s">
        <v>176</v>
      </c>
    </row>
    <row r="11" spans="1:6" ht="29.25" thickBot="1">
      <c r="A11" t="s">
        <v>2188</v>
      </c>
      <c r="B11" s="42">
        <v>17</v>
      </c>
      <c r="C11" s="43" t="s">
        <v>201</v>
      </c>
      <c r="D11" s="46">
        <v>38863</v>
      </c>
      <c r="E11" s="40" t="s">
        <v>2201</v>
      </c>
      <c r="F11" s="40" t="s">
        <v>176</v>
      </c>
    </row>
    <row r="12" spans="1:6" ht="30.75" thickBot="1">
      <c r="A12" t="s">
        <v>2188</v>
      </c>
      <c r="B12" s="42">
        <v>16</v>
      </c>
      <c r="C12" s="43" t="s">
        <v>221</v>
      </c>
      <c r="D12" s="46">
        <v>38743</v>
      </c>
      <c r="E12" s="40" t="s">
        <v>2202</v>
      </c>
      <c r="F12" s="40" t="s">
        <v>177</v>
      </c>
    </row>
    <row r="13" spans="1:6" ht="60.75" thickBot="1">
      <c r="A13" t="s">
        <v>2188</v>
      </c>
      <c r="B13" s="42">
        <v>15</v>
      </c>
      <c r="C13" s="43" t="s">
        <v>2203</v>
      </c>
      <c r="D13" s="46">
        <v>38576</v>
      </c>
      <c r="E13" s="40" t="s">
        <v>2204</v>
      </c>
      <c r="F13" s="40" t="s">
        <v>401</v>
      </c>
    </row>
    <row r="14" spans="1:6" ht="45.75" thickBot="1">
      <c r="A14" t="s">
        <v>2188</v>
      </c>
      <c r="B14" s="42">
        <v>14</v>
      </c>
      <c r="C14" s="43" t="s">
        <v>2205</v>
      </c>
      <c r="D14" s="46">
        <v>37113</v>
      </c>
      <c r="E14" s="40" t="s">
        <v>2206</v>
      </c>
      <c r="F14" s="40" t="s">
        <v>179</v>
      </c>
    </row>
    <row r="15" spans="1:6" ht="29.25" thickBot="1">
      <c r="A15" t="s">
        <v>2188</v>
      </c>
      <c r="B15" s="42">
        <v>13</v>
      </c>
      <c r="C15" s="43" t="s">
        <v>216</v>
      </c>
      <c r="D15" s="46">
        <v>37057</v>
      </c>
      <c r="E15" s="40" t="s">
        <v>2207</v>
      </c>
      <c r="F15" s="40" t="s">
        <v>177</v>
      </c>
    </row>
    <row r="16" spans="1:6" ht="29.25" thickBot="1">
      <c r="A16" t="s">
        <v>2188</v>
      </c>
      <c r="B16" s="42">
        <v>12</v>
      </c>
      <c r="C16" s="43" t="s">
        <v>2208</v>
      </c>
      <c r="D16" s="46">
        <v>36532</v>
      </c>
      <c r="E16" s="40" t="s">
        <v>2209</v>
      </c>
      <c r="F16" s="40" t="s">
        <v>401</v>
      </c>
    </row>
    <row r="17" spans="1:6" ht="30.75" thickBot="1">
      <c r="A17" t="s">
        <v>2188</v>
      </c>
      <c r="B17" s="42">
        <v>11</v>
      </c>
      <c r="C17" s="43" t="s">
        <v>2210</v>
      </c>
      <c r="D17" s="46">
        <v>36413</v>
      </c>
      <c r="E17" s="40" t="s">
        <v>2211</v>
      </c>
      <c r="F17" s="40" t="s">
        <v>624</v>
      </c>
    </row>
    <row r="18" spans="1:6" ht="29.25" thickBot="1">
      <c r="A18" t="s">
        <v>2188</v>
      </c>
      <c r="B18" s="42">
        <v>10</v>
      </c>
      <c r="C18" s="43" t="s">
        <v>167</v>
      </c>
      <c r="D18" s="46">
        <v>36350</v>
      </c>
      <c r="E18" s="40" t="s">
        <v>2212</v>
      </c>
      <c r="F18" s="40" t="s">
        <v>179</v>
      </c>
    </row>
    <row r="19" spans="1:6" ht="30.75" thickBot="1">
      <c r="A19" t="s">
        <v>2188</v>
      </c>
      <c r="B19" s="42">
        <v>9</v>
      </c>
      <c r="C19" s="43" t="s">
        <v>113</v>
      </c>
      <c r="D19" s="46">
        <v>36280</v>
      </c>
      <c r="E19" s="40" t="s">
        <v>2213</v>
      </c>
      <c r="F19" s="40" t="s">
        <v>177</v>
      </c>
    </row>
    <row r="20" spans="1:6" ht="29.25" thickBot="1">
      <c r="A20" t="s">
        <v>2188</v>
      </c>
      <c r="B20" s="42">
        <v>8</v>
      </c>
      <c r="C20" s="43" t="s">
        <v>124</v>
      </c>
      <c r="D20" s="46">
        <v>35965</v>
      </c>
      <c r="E20" s="40" t="s">
        <v>2214</v>
      </c>
      <c r="F20" s="40" t="s">
        <v>177</v>
      </c>
    </row>
    <row r="21" spans="1:6" ht="29.25" thickBot="1">
      <c r="A21" t="s">
        <v>2188</v>
      </c>
      <c r="B21" s="42">
        <v>7</v>
      </c>
      <c r="C21" s="43" t="s">
        <v>91</v>
      </c>
      <c r="D21" s="46">
        <v>35762</v>
      </c>
      <c r="E21" s="40" t="s">
        <v>2215</v>
      </c>
      <c r="F21" s="40" t="s">
        <v>176</v>
      </c>
    </row>
    <row r="22" spans="1:6" ht="45.75" thickBot="1">
      <c r="A22" t="s">
        <v>2188</v>
      </c>
      <c r="B22" s="42">
        <v>6</v>
      </c>
      <c r="C22" s="43" t="s">
        <v>65</v>
      </c>
      <c r="D22" s="46">
        <v>35380</v>
      </c>
      <c r="E22" s="40" t="s">
        <v>2216</v>
      </c>
      <c r="F22" s="40" t="s">
        <v>47</v>
      </c>
    </row>
    <row r="23" spans="1:6" ht="60.75" thickBot="1">
      <c r="A23" t="s">
        <v>2188</v>
      </c>
      <c r="B23" s="42">
        <v>5</v>
      </c>
      <c r="C23" s="43" t="s">
        <v>2217</v>
      </c>
      <c r="D23" s="46">
        <v>35034</v>
      </c>
      <c r="E23" s="40" t="s">
        <v>2218</v>
      </c>
      <c r="F23" s="40" t="s">
        <v>401</v>
      </c>
    </row>
    <row r="24" spans="1:6" ht="29.25" thickBot="1">
      <c r="A24" t="s">
        <v>2188</v>
      </c>
      <c r="B24" s="42">
        <v>4</v>
      </c>
      <c r="C24" s="43" t="s">
        <v>88</v>
      </c>
      <c r="D24" s="46">
        <v>34950</v>
      </c>
      <c r="E24" s="40" t="s">
        <v>2219</v>
      </c>
      <c r="F24" s="40" t="s">
        <v>82</v>
      </c>
    </row>
    <row r="25" spans="1:6" ht="45.75" thickBot="1">
      <c r="A25" t="s">
        <v>2188</v>
      </c>
      <c r="B25" s="42">
        <v>3</v>
      </c>
      <c r="C25" s="43" t="s">
        <v>2220</v>
      </c>
      <c r="D25" s="46">
        <v>34915</v>
      </c>
      <c r="E25" s="40" t="s">
        <v>2221</v>
      </c>
      <c r="F25" s="40" t="s">
        <v>401</v>
      </c>
    </row>
    <row r="26" spans="1:6" ht="29.25" thickBot="1">
      <c r="A26" t="s">
        <v>2188</v>
      </c>
      <c r="B26" s="42">
        <v>2</v>
      </c>
      <c r="C26" s="43" t="s">
        <v>2222</v>
      </c>
      <c r="D26" s="46">
        <v>34803</v>
      </c>
      <c r="E26" s="40" t="s">
        <v>2223</v>
      </c>
      <c r="F26" s="40" t="s">
        <v>401</v>
      </c>
    </row>
    <row r="27" spans="1:6" ht="45.75" thickBot="1">
      <c r="A27" t="s">
        <v>2188</v>
      </c>
      <c r="B27" s="42">
        <v>1</v>
      </c>
      <c r="C27" s="43" t="s">
        <v>2224</v>
      </c>
      <c r="D27" s="46">
        <v>34642</v>
      </c>
      <c r="E27" s="40" t="s">
        <v>1894</v>
      </c>
      <c r="F27" s="40" t="s">
        <v>401</v>
      </c>
    </row>
    <row r="28" spans="1:6" ht="45.75" thickBot="1">
      <c r="A28" t="s">
        <v>2250</v>
      </c>
      <c r="B28" s="42">
        <v>15</v>
      </c>
      <c r="C28" s="43" t="s">
        <v>705</v>
      </c>
      <c r="D28" s="46">
        <v>42601</v>
      </c>
      <c r="E28" s="40" t="s">
        <v>2225</v>
      </c>
      <c r="F28" s="40" t="s">
        <v>179</v>
      </c>
    </row>
    <row r="29" spans="1:6" ht="30.75" thickBot="1">
      <c r="A29" t="s">
        <v>2250</v>
      </c>
      <c r="B29" s="42">
        <v>14</v>
      </c>
      <c r="C29" s="43" t="s">
        <v>2226</v>
      </c>
      <c r="D29" s="46">
        <v>41670</v>
      </c>
      <c r="E29" s="40" t="s">
        <v>2227</v>
      </c>
      <c r="F29" s="40" t="s">
        <v>624</v>
      </c>
    </row>
    <row r="30" spans="1:6" ht="30.75" thickBot="1">
      <c r="A30" t="s">
        <v>2250</v>
      </c>
      <c r="B30" s="42">
        <v>13</v>
      </c>
      <c r="C30" s="43" t="s">
        <v>341</v>
      </c>
      <c r="D30" s="46">
        <v>41446</v>
      </c>
      <c r="E30" s="40" t="s">
        <v>2228</v>
      </c>
      <c r="F30" s="40" t="s">
        <v>177</v>
      </c>
    </row>
    <row r="31" spans="1:6" ht="30.75" thickBot="1">
      <c r="A31" t="s">
        <v>2250</v>
      </c>
      <c r="B31" s="42">
        <v>12</v>
      </c>
      <c r="C31" s="43" t="s">
        <v>2229</v>
      </c>
      <c r="D31" s="46">
        <v>41206</v>
      </c>
      <c r="E31" s="40" t="s">
        <v>2230</v>
      </c>
      <c r="F31" s="40" t="s">
        <v>401</v>
      </c>
    </row>
    <row r="32" spans="1:6" ht="29.25" thickBot="1">
      <c r="A32" t="s">
        <v>2250</v>
      </c>
      <c r="B32" s="42">
        <v>11</v>
      </c>
      <c r="C32" s="43" t="s">
        <v>2231</v>
      </c>
      <c r="D32" s="46">
        <v>41068</v>
      </c>
      <c r="E32" s="40" t="s">
        <v>2232</v>
      </c>
      <c r="F32" s="40" t="s">
        <v>401</v>
      </c>
    </row>
    <row r="33" spans="1:6" ht="60.75" thickBot="1">
      <c r="A33" t="s">
        <v>2250</v>
      </c>
      <c r="B33" s="42">
        <v>10</v>
      </c>
      <c r="C33" s="43" t="s">
        <v>331</v>
      </c>
      <c r="D33" s="46">
        <v>40739</v>
      </c>
      <c r="E33" s="40" t="s">
        <v>2233</v>
      </c>
      <c r="F33" s="40" t="s">
        <v>177</v>
      </c>
    </row>
    <row r="34" spans="1:6" ht="29.25" thickBot="1">
      <c r="A34" t="s">
        <v>2250</v>
      </c>
      <c r="B34" s="42">
        <v>9</v>
      </c>
      <c r="C34" s="43" t="s">
        <v>2234</v>
      </c>
      <c r="D34" s="46">
        <v>40396</v>
      </c>
      <c r="E34" s="40" t="s">
        <v>2235</v>
      </c>
      <c r="F34" s="40" t="s">
        <v>401</v>
      </c>
    </row>
    <row r="35" spans="1:6" ht="30.75" thickBot="1">
      <c r="A35" t="s">
        <v>2250</v>
      </c>
      <c r="B35" s="42">
        <v>8</v>
      </c>
      <c r="C35" s="43" t="s">
        <v>2236</v>
      </c>
      <c r="D35" s="46">
        <v>40242</v>
      </c>
      <c r="E35" s="40" t="s">
        <v>2237</v>
      </c>
      <c r="F35" s="40" t="s">
        <v>624</v>
      </c>
    </row>
    <row r="36" spans="1:6" ht="29.25" thickBot="1">
      <c r="A36" t="s">
        <v>2250</v>
      </c>
      <c r="B36" s="42">
        <v>7</v>
      </c>
      <c r="C36" s="43" t="s">
        <v>679</v>
      </c>
      <c r="D36" s="46">
        <v>39850</v>
      </c>
      <c r="E36" s="40" t="s">
        <v>2238</v>
      </c>
      <c r="F36" s="40" t="s">
        <v>179</v>
      </c>
    </row>
    <row r="37" spans="1:6" ht="60.75" thickBot="1">
      <c r="A37" t="s">
        <v>2250</v>
      </c>
      <c r="B37" s="42">
        <v>6</v>
      </c>
      <c r="C37" s="43" t="s">
        <v>2239</v>
      </c>
      <c r="D37" s="46">
        <v>39780</v>
      </c>
      <c r="E37" s="40" t="s">
        <v>2240</v>
      </c>
      <c r="F37" s="40" t="s">
        <v>401</v>
      </c>
    </row>
    <row r="38" spans="1:6" ht="60.75" thickBot="1">
      <c r="A38" t="s">
        <v>2250</v>
      </c>
      <c r="B38" s="42">
        <v>5</v>
      </c>
      <c r="C38" s="43" t="s">
        <v>2241</v>
      </c>
      <c r="D38" s="46">
        <v>39346</v>
      </c>
      <c r="E38" s="40" t="s">
        <v>2242</v>
      </c>
      <c r="F38" s="40" t="s">
        <v>624</v>
      </c>
    </row>
    <row r="39" spans="1:6" ht="45.75" thickBot="1">
      <c r="A39" t="s">
        <v>2250</v>
      </c>
      <c r="B39" s="42">
        <v>4</v>
      </c>
      <c r="C39" s="43" t="s">
        <v>2243</v>
      </c>
      <c r="D39" s="46">
        <v>39220</v>
      </c>
      <c r="E39" s="40" t="s">
        <v>2244</v>
      </c>
      <c r="F39" s="40" t="s">
        <v>624</v>
      </c>
    </row>
    <row r="40" spans="1:6" ht="60.75" thickBot="1">
      <c r="A40" t="s">
        <v>2250</v>
      </c>
      <c r="B40" s="42">
        <v>3</v>
      </c>
      <c r="C40" s="43" t="s">
        <v>673</v>
      </c>
      <c r="D40" s="46">
        <v>39136</v>
      </c>
      <c r="E40" s="40" t="s">
        <v>2245</v>
      </c>
      <c r="F40" s="40" t="s">
        <v>179</v>
      </c>
    </row>
    <row r="41" spans="1:6" ht="30.75" thickBot="1">
      <c r="A41" t="s">
        <v>2250</v>
      </c>
      <c r="B41" s="42">
        <v>2</v>
      </c>
      <c r="C41" s="43" t="s">
        <v>2246</v>
      </c>
      <c r="D41" s="46">
        <v>38947</v>
      </c>
      <c r="E41" s="40" t="s">
        <v>2247</v>
      </c>
      <c r="F41" s="40" t="s">
        <v>624</v>
      </c>
    </row>
    <row r="42" spans="1:6" ht="30.75" thickBot="1">
      <c r="A42" t="s">
        <v>2250</v>
      </c>
      <c r="B42" s="42">
        <v>1</v>
      </c>
      <c r="C42" s="43" t="s">
        <v>2248</v>
      </c>
      <c r="D42" s="46">
        <v>38415</v>
      </c>
      <c r="E42" s="40" t="s">
        <v>2249</v>
      </c>
      <c r="F42" s="40" t="s">
        <v>401</v>
      </c>
    </row>
    <row r="43" spans="1:6" ht="30.75" thickBot="1">
      <c r="A43" t="s">
        <v>2062</v>
      </c>
      <c r="B43" s="42">
        <v>24</v>
      </c>
      <c r="C43" s="43" t="s">
        <v>2023</v>
      </c>
      <c r="D43" s="46">
        <v>41705</v>
      </c>
      <c r="E43" s="21" t="s">
        <v>2024</v>
      </c>
      <c r="F43" s="40" t="s">
        <v>401</v>
      </c>
    </row>
    <row r="44" spans="1:6" ht="30.75" thickBot="1">
      <c r="A44" t="s">
        <v>2062</v>
      </c>
      <c r="B44" s="42">
        <v>23</v>
      </c>
      <c r="C44" s="43" t="s">
        <v>2025</v>
      </c>
      <c r="D44" s="46">
        <v>41649</v>
      </c>
      <c r="E44" s="40" t="s">
        <v>2026</v>
      </c>
      <c r="F44" s="40" t="s">
        <v>401</v>
      </c>
    </row>
    <row r="45" spans="1:6" ht="30.75" thickBot="1">
      <c r="A45" t="s">
        <v>2062</v>
      </c>
      <c r="B45" s="42">
        <v>22</v>
      </c>
      <c r="C45" s="43" t="s">
        <v>991</v>
      </c>
      <c r="D45" s="46">
        <v>39416</v>
      </c>
      <c r="E45" s="21" t="s">
        <v>2027</v>
      </c>
      <c r="F45" s="40" t="s">
        <v>401</v>
      </c>
    </row>
    <row r="46" spans="1:6" ht="29.25" thickBot="1">
      <c r="A46" t="s">
        <v>2062</v>
      </c>
      <c r="B46" s="42">
        <v>21</v>
      </c>
      <c r="C46" s="43" t="s">
        <v>215</v>
      </c>
      <c r="D46" s="46">
        <v>37449</v>
      </c>
      <c r="E46" s="40" t="s">
        <v>2028</v>
      </c>
      <c r="F46" s="40" t="s">
        <v>177</v>
      </c>
    </row>
    <row r="47" spans="1:6" ht="60.75" thickBot="1">
      <c r="A47" t="s">
        <v>2062</v>
      </c>
      <c r="B47" s="42">
        <v>20</v>
      </c>
      <c r="C47" s="43" t="s">
        <v>15</v>
      </c>
      <c r="D47" s="46">
        <v>37400</v>
      </c>
      <c r="E47" s="40" t="s">
        <v>2029</v>
      </c>
      <c r="F47" s="40" t="s">
        <v>179</v>
      </c>
    </row>
    <row r="48" spans="1:6" ht="29.25" thickBot="1">
      <c r="A48" t="s">
        <v>2062</v>
      </c>
      <c r="B48" s="42">
        <v>19</v>
      </c>
      <c r="C48" s="43" t="s">
        <v>2030</v>
      </c>
      <c r="D48" s="46">
        <v>37134</v>
      </c>
      <c r="E48" s="40" t="s">
        <v>2031</v>
      </c>
      <c r="F48" s="40" t="s">
        <v>401</v>
      </c>
    </row>
    <row r="49" spans="1:6" ht="60.75" thickBot="1">
      <c r="A49" t="s">
        <v>2062</v>
      </c>
      <c r="B49" s="42">
        <v>18</v>
      </c>
      <c r="C49" s="43" t="s">
        <v>2032</v>
      </c>
      <c r="D49" s="46">
        <v>37113</v>
      </c>
      <c r="E49" s="40" t="s">
        <v>2033</v>
      </c>
      <c r="F49" s="40" t="s">
        <v>401</v>
      </c>
    </row>
    <row r="50" spans="1:6" ht="30.75" thickBot="1">
      <c r="A50" t="s">
        <v>2062</v>
      </c>
      <c r="B50" s="42">
        <v>17</v>
      </c>
      <c r="C50" s="43" t="s">
        <v>2034</v>
      </c>
      <c r="D50" s="46">
        <v>36861</v>
      </c>
      <c r="E50" s="40" t="s">
        <v>2035</v>
      </c>
      <c r="F50" s="40" t="s">
        <v>624</v>
      </c>
    </row>
    <row r="51" spans="1:6" ht="29.25" thickBot="1">
      <c r="A51" t="s">
        <v>2062</v>
      </c>
      <c r="B51" s="42">
        <v>16</v>
      </c>
      <c r="C51" s="43" t="s">
        <v>2036</v>
      </c>
      <c r="D51" s="46">
        <v>36560</v>
      </c>
      <c r="E51" s="40" t="s">
        <v>2037</v>
      </c>
      <c r="F51" s="40" t="s">
        <v>401</v>
      </c>
    </row>
    <row r="52" spans="1:6" ht="29.25" thickBot="1">
      <c r="A52" t="s">
        <v>2062</v>
      </c>
      <c r="B52" s="42">
        <v>15</v>
      </c>
      <c r="C52" s="43" t="s">
        <v>2038</v>
      </c>
      <c r="D52" s="46">
        <v>36238</v>
      </c>
      <c r="E52" s="40" t="s">
        <v>2039</v>
      </c>
      <c r="F52" s="40" t="s">
        <v>401</v>
      </c>
    </row>
    <row r="53" spans="1:6" ht="29.25" thickBot="1">
      <c r="A53" t="s">
        <v>2062</v>
      </c>
      <c r="B53" s="42">
        <v>14</v>
      </c>
      <c r="C53" s="43" t="s">
        <v>2040</v>
      </c>
      <c r="D53" s="46">
        <v>36140</v>
      </c>
      <c r="E53" s="40" t="s">
        <v>2041</v>
      </c>
      <c r="F53" s="40" t="s">
        <v>401</v>
      </c>
    </row>
    <row r="54" spans="1:6" ht="30.75" thickBot="1">
      <c r="A54" t="s">
        <v>2062</v>
      </c>
      <c r="B54" s="42">
        <v>13</v>
      </c>
      <c r="C54" s="43" t="s">
        <v>83</v>
      </c>
      <c r="D54" s="46">
        <v>35734</v>
      </c>
      <c r="E54" s="40" t="s">
        <v>2042</v>
      </c>
      <c r="F54" s="40" t="s">
        <v>82</v>
      </c>
    </row>
    <row r="55" spans="1:6" ht="30.75" thickBot="1">
      <c r="A55" t="s">
        <v>2062</v>
      </c>
      <c r="B55" s="42">
        <v>12</v>
      </c>
      <c r="C55" s="43" t="s">
        <v>2043</v>
      </c>
      <c r="D55" s="46">
        <v>35692</v>
      </c>
      <c r="E55" s="21" t="s">
        <v>2044</v>
      </c>
      <c r="F55" s="40" t="s">
        <v>401</v>
      </c>
    </row>
    <row r="56" spans="1:6" ht="30.75" thickBot="1">
      <c r="A56" t="s">
        <v>2062</v>
      </c>
      <c r="B56" s="42">
        <v>11</v>
      </c>
      <c r="C56" s="43" t="s">
        <v>2045</v>
      </c>
      <c r="D56" s="46">
        <v>35622</v>
      </c>
      <c r="E56" s="40" t="s">
        <v>2046</v>
      </c>
      <c r="F56" s="40" t="s">
        <v>401</v>
      </c>
    </row>
    <row r="57" spans="1:6" ht="30.75" thickBot="1">
      <c r="A57" t="s">
        <v>2062</v>
      </c>
      <c r="B57" s="42">
        <v>10</v>
      </c>
      <c r="C57" s="43" t="s">
        <v>2047</v>
      </c>
      <c r="D57" s="46">
        <v>35573</v>
      </c>
      <c r="E57" s="40" t="s">
        <v>2048</v>
      </c>
      <c r="F57" s="40" t="s">
        <v>401</v>
      </c>
    </row>
    <row r="58" spans="1:6" ht="29.25" thickBot="1">
      <c r="A58" t="s">
        <v>2062</v>
      </c>
      <c r="B58" s="42">
        <v>9</v>
      </c>
      <c r="C58" s="43" t="s">
        <v>166</v>
      </c>
      <c r="D58" s="46">
        <v>35538</v>
      </c>
      <c r="E58" s="40" t="s">
        <v>2049</v>
      </c>
      <c r="F58" s="40" t="s">
        <v>179</v>
      </c>
    </row>
    <row r="59" spans="1:6" ht="30.75" thickBot="1">
      <c r="A59" t="s">
        <v>2062</v>
      </c>
      <c r="B59" s="42">
        <v>8</v>
      </c>
      <c r="C59" s="43" t="s">
        <v>2050</v>
      </c>
      <c r="D59" s="46">
        <v>35216</v>
      </c>
      <c r="E59" s="40" t="s">
        <v>2051</v>
      </c>
      <c r="F59" s="40" t="s">
        <v>621</v>
      </c>
    </row>
    <row r="60" spans="1:6" ht="30.75" thickBot="1">
      <c r="A60" t="s">
        <v>2062</v>
      </c>
      <c r="B60" s="42">
        <v>7</v>
      </c>
      <c r="C60" s="43" t="s">
        <v>2052</v>
      </c>
      <c r="D60" s="46">
        <v>35146</v>
      </c>
      <c r="E60" s="40" t="s">
        <v>1902</v>
      </c>
      <c r="F60" s="40" t="s">
        <v>401</v>
      </c>
    </row>
    <row r="61" spans="1:6" ht="29.25" thickBot="1">
      <c r="A61" t="s">
        <v>2062</v>
      </c>
      <c r="B61" s="42">
        <v>6</v>
      </c>
      <c r="C61" s="43" t="s">
        <v>2053</v>
      </c>
      <c r="D61" s="46">
        <v>34992</v>
      </c>
      <c r="E61" s="40" t="s">
        <v>2054</v>
      </c>
      <c r="F61" s="40" t="s">
        <v>401</v>
      </c>
    </row>
    <row r="62" spans="1:6" ht="30.75" thickBot="1">
      <c r="A62" t="s">
        <v>2062</v>
      </c>
      <c r="B62" s="42">
        <v>5</v>
      </c>
      <c r="C62" s="43" t="s">
        <v>2055</v>
      </c>
      <c r="D62" s="46">
        <v>34894</v>
      </c>
      <c r="E62" s="40" t="s">
        <v>2056</v>
      </c>
      <c r="F62" s="40" t="s">
        <v>624</v>
      </c>
    </row>
    <row r="63" spans="1:6" ht="15.75" thickBot="1">
      <c r="A63" t="s">
        <v>2062</v>
      </c>
      <c r="B63" s="42">
        <v>4</v>
      </c>
      <c r="C63" s="43" t="s">
        <v>86</v>
      </c>
      <c r="D63" s="46">
        <v>34852</v>
      </c>
      <c r="E63" s="21" t="s">
        <v>2057</v>
      </c>
      <c r="F63" s="40" t="s">
        <v>82</v>
      </c>
    </row>
    <row r="64" spans="1:6" ht="60.75" thickBot="1">
      <c r="A64" t="s">
        <v>2062</v>
      </c>
      <c r="B64" s="42">
        <v>3</v>
      </c>
      <c r="C64" s="43" t="s">
        <v>5</v>
      </c>
      <c r="D64" s="46">
        <v>34551</v>
      </c>
      <c r="E64" s="21" t="s">
        <v>2058</v>
      </c>
      <c r="F64" s="40" t="s">
        <v>47</v>
      </c>
    </row>
    <row r="65" spans="1:6" ht="15.75" thickBot="1">
      <c r="A65" t="s">
        <v>2062</v>
      </c>
      <c r="B65" s="42">
        <v>2</v>
      </c>
      <c r="C65" s="43" t="s">
        <v>175</v>
      </c>
      <c r="D65" s="46">
        <v>34446</v>
      </c>
      <c r="E65" s="21" t="s">
        <v>2059</v>
      </c>
      <c r="F65" s="40" t="s">
        <v>179</v>
      </c>
    </row>
    <row r="66" spans="1:6" ht="60.75" thickBot="1">
      <c r="A66" t="s">
        <v>2062</v>
      </c>
      <c r="B66" s="42">
        <v>1</v>
      </c>
      <c r="C66" s="43" t="s">
        <v>2060</v>
      </c>
      <c r="D66" s="46">
        <v>34334</v>
      </c>
      <c r="E66" s="21" t="s">
        <v>2061</v>
      </c>
      <c r="F66" s="40" t="s">
        <v>401</v>
      </c>
    </row>
    <row r="67" spans="1:6" ht="30.75" thickBot="1">
      <c r="A67" t="s">
        <v>2187</v>
      </c>
      <c r="B67" s="42">
        <v>70</v>
      </c>
      <c r="C67" s="43" t="s">
        <v>2068</v>
      </c>
      <c r="D67" s="46">
        <v>42804</v>
      </c>
      <c r="E67" s="40" t="s">
        <v>2069</v>
      </c>
      <c r="F67" s="40" t="s">
        <v>624</v>
      </c>
    </row>
    <row r="68" spans="1:6" ht="30.75" thickBot="1">
      <c r="A68" t="s">
        <v>2187</v>
      </c>
      <c r="B68" s="42">
        <v>69</v>
      </c>
      <c r="C68" s="43" t="s">
        <v>2070</v>
      </c>
      <c r="D68" s="46">
        <v>41964</v>
      </c>
      <c r="E68" s="40" t="s">
        <v>2071</v>
      </c>
      <c r="F68" s="40" t="s">
        <v>624</v>
      </c>
    </row>
    <row r="69" spans="1:6" ht="29.25" thickBot="1">
      <c r="A69" t="s">
        <v>2187</v>
      </c>
      <c r="B69" s="42">
        <v>68</v>
      </c>
      <c r="C69" s="43" t="s">
        <v>2072</v>
      </c>
      <c r="D69" s="46">
        <v>41957</v>
      </c>
      <c r="E69" s="40" t="s">
        <v>2073</v>
      </c>
      <c r="F69" s="40" t="s">
        <v>401</v>
      </c>
    </row>
    <row r="70" spans="1:6" ht="60.75" thickBot="1">
      <c r="A70" t="s">
        <v>2187</v>
      </c>
      <c r="B70" s="42">
        <v>67</v>
      </c>
      <c r="C70" s="43" t="s">
        <v>2074</v>
      </c>
      <c r="D70" s="46">
        <v>41306</v>
      </c>
      <c r="E70" s="40" t="s">
        <v>2075</v>
      </c>
      <c r="F70" s="40" t="s">
        <v>624</v>
      </c>
    </row>
    <row r="71" spans="1:6" ht="29.25" thickBot="1">
      <c r="A71" t="s">
        <v>2187</v>
      </c>
      <c r="B71" s="42">
        <v>66</v>
      </c>
      <c r="C71" s="43" t="s">
        <v>2076</v>
      </c>
      <c r="D71" s="46">
        <v>40851</v>
      </c>
      <c r="E71" s="40" t="s">
        <v>2077</v>
      </c>
      <c r="F71" s="40" t="s">
        <v>624</v>
      </c>
    </row>
    <row r="72" spans="1:6" ht="30.75" thickBot="1">
      <c r="A72" t="s">
        <v>2187</v>
      </c>
      <c r="B72" s="42">
        <v>65</v>
      </c>
      <c r="C72" s="43" t="s">
        <v>2078</v>
      </c>
      <c r="D72" s="46">
        <v>40662</v>
      </c>
      <c r="E72" s="40" t="s">
        <v>2079</v>
      </c>
      <c r="F72" s="40" t="s">
        <v>624</v>
      </c>
    </row>
    <row r="73" spans="1:6" ht="29.25" thickBot="1">
      <c r="A73" t="s">
        <v>2187</v>
      </c>
      <c r="B73" s="42">
        <v>64</v>
      </c>
      <c r="C73" s="43" t="s">
        <v>2080</v>
      </c>
      <c r="D73" s="46">
        <v>40347</v>
      </c>
      <c r="E73" s="40" t="s">
        <v>2081</v>
      </c>
      <c r="F73" s="40" t="s">
        <v>401</v>
      </c>
    </row>
    <row r="74" spans="1:6" ht="30.75" thickBot="1">
      <c r="A74" t="s">
        <v>2187</v>
      </c>
      <c r="B74" s="42">
        <v>63</v>
      </c>
      <c r="C74" s="43" t="s">
        <v>2082</v>
      </c>
      <c r="D74" s="46">
        <v>40088</v>
      </c>
      <c r="E74" s="40" t="s">
        <v>2083</v>
      </c>
      <c r="F74" s="40" t="s">
        <v>401</v>
      </c>
    </row>
    <row r="75" spans="1:6" ht="30.75" thickBot="1">
      <c r="A75" t="s">
        <v>2187</v>
      </c>
      <c r="B75" s="42">
        <v>62</v>
      </c>
      <c r="C75" s="43" t="s">
        <v>2084</v>
      </c>
      <c r="D75" s="46">
        <v>40039</v>
      </c>
      <c r="E75" s="40" t="s">
        <v>2085</v>
      </c>
      <c r="F75" s="40" t="s">
        <v>401</v>
      </c>
    </row>
    <row r="76" spans="1:6" ht="45.75" thickBot="1">
      <c r="A76" t="s">
        <v>2187</v>
      </c>
      <c r="B76" s="42">
        <v>61</v>
      </c>
      <c r="C76" s="43" t="s">
        <v>2086</v>
      </c>
      <c r="D76" s="46">
        <v>39850</v>
      </c>
      <c r="E76" s="40" t="s">
        <v>2087</v>
      </c>
      <c r="F76" s="40" t="s">
        <v>624</v>
      </c>
    </row>
    <row r="77" spans="1:6" ht="60.75" thickBot="1">
      <c r="A77" t="s">
        <v>2187</v>
      </c>
      <c r="B77" s="42">
        <v>60</v>
      </c>
      <c r="C77" s="43" t="s">
        <v>2088</v>
      </c>
      <c r="D77" s="46">
        <v>39654</v>
      </c>
      <c r="E77" s="40" t="s">
        <v>2089</v>
      </c>
      <c r="F77" s="40" t="s">
        <v>624</v>
      </c>
    </row>
    <row r="78" spans="1:6" ht="29.25" thickBot="1">
      <c r="A78" t="s">
        <v>2187</v>
      </c>
      <c r="B78" s="42">
        <v>59</v>
      </c>
      <c r="C78" s="43" t="s">
        <v>198</v>
      </c>
      <c r="D78" s="46">
        <v>39283</v>
      </c>
      <c r="E78" s="40" t="s">
        <v>2090</v>
      </c>
      <c r="F78" s="40" t="s">
        <v>176</v>
      </c>
    </row>
    <row r="79" spans="1:6" ht="75.75" thickBot="1">
      <c r="A79" t="s">
        <v>2187</v>
      </c>
      <c r="B79" s="42">
        <v>58</v>
      </c>
      <c r="C79" s="43" t="s">
        <v>2091</v>
      </c>
      <c r="D79" s="46">
        <v>39269</v>
      </c>
      <c r="E79" s="40" t="s">
        <v>2092</v>
      </c>
      <c r="F79" s="40" t="s">
        <v>624</v>
      </c>
    </row>
    <row r="80" spans="1:6" ht="30.75" thickBot="1">
      <c r="A80" t="s">
        <v>2187</v>
      </c>
      <c r="B80" s="42">
        <v>57</v>
      </c>
      <c r="C80" s="43" t="s">
        <v>982</v>
      </c>
      <c r="D80" s="46">
        <v>39108</v>
      </c>
      <c r="E80" s="40" t="s">
        <v>2093</v>
      </c>
      <c r="F80" s="40" t="s">
        <v>624</v>
      </c>
    </row>
    <row r="81" spans="1:6" ht="30.75" thickBot="1">
      <c r="A81" t="s">
        <v>2187</v>
      </c>
      <c r="B81" s="42">
        <v>56</v>
      </c>
      <c r="C81" s="43" t="s">
        <v>233</v>
      </c>
      <c r="D81" s="46">
        <v>39073</v>
      </c>
      <c r="E81" s="40" t="s">
        <v>2094</v>
      </c>
      <c r="F81" s="40" t="s">
        <v>177</v>
      </c>
    </row>
    <row r="82" spans="1:6" ht="30.75" thickBot="1">
      <c r="A82" t="s">
        <v>2187</v>
      </c>
      <c r="B82" s="42">
        <v>55</v>
      </c>
      <c r="C82" s="43" t="s">
        <v>2095</v>
      </c>
      <c r="D82" s="46">
        <v>38954</v>
      </c>
      <c r="E82" s="40" t="s">
        <v>2096</v>
      </c>
      <c r="F82" s="40" t="s">
        <v>624</v>
      </c>
    </row>
    <row r="83" spans="1:6" ht="15.75" thickBot="1">
      <c r="A83" t="s">
        <v>2187</v>
      </c>
      <c r="B83" s="42">
        <v>54</v>
      </c>
      <c r="C83" s="43" t="s">
        <v>2097</v>
      </c>
      <c r="D83" s="46">
        <v>38520</v>
      </c>
      <c r="E83" s="40" t="s">
        <v>2098</v>
      </c>
      <c r="F83" s="40" t="s">
        <v>624</v>
      </c>
    </row>
    <row r="84" spans="1:6" ht="60.75" thickBot="1">
      <c r="A84" t="s">
        <v>2187</v>
      </c>
      <c r="B84" s="42">
        <v>53</v>
      </c>
      <c r="C84" s="43" t="s">
        <v>2099</v>
      </c>
      <c r="D84" s="46">
        <v>38471</v>
      </c>
      <c r="E84" s="40" t="s">
        <v>2100</v>
      </c>
      <c r="F84" s="40" t="s">
        <v>624</v>
      </c>
    </row>
    <row r="85" spans="1:6" ht="30.75" thickBot="1">
      <c r="A85" t="s">
        <v>2187</v>
      </c>
      <c r="B85" s="42">
        <v>52</v>
      </c>
      <c r="C85" s="43" t="s">
        <v>2101</v>
      </c>
      <c r="D85" s="46">
        <v>37918</v>
      </c>
      <c r="E85" s="40" t="s">
        <v>2102</v>
      </c>
      <c r="F85" s="40" t="s">
        <v>624</v>
      </c>
    </row>
    <row r="86" spans="1:6" ht="30.75" thickBot="1">
      <c r="A86" t="s">
        <v>2187</v>
      </c>
      <c r="B86" s="42">
        <v>51</v>
      </c>
      <c r="C86" s="43" t="s">
        <v>2103</v>
      </c>
      <c r="D86" s="46">
        <v>37708</v>
      </c>
      <c r="E86" s="40" t="s">
        <v>1904</v>
      </c>
      <c r="F86" s="40" t="s">
        <v>621</v>
      </c>
    </row>
    <row r="87" spans="1:6" ht="45.75" thickBot="1">
      <c r="A87" t="s">
        <v>2187</v>
      </c>
      <c r="B87" s="42">
        <v>50</v>
      </c>
      <c r="C87" s="43" t="s">
        <v>2104</v>
      </c>
      <c r="D87" s="46">
        <v>37617</v>
      </c>
      <c r="E87" s="40" t="s">
        <v>2105</v>
      </c>
      <c r="F87" s="40" t="s">
        <v>624</v>
      </c>
    </row>
    <row r="88" spans="1:6" ht="45.75" thickBot="1">
      <c r="A88" t="s">
        <v>2187</v>
      </c>
      <c r="B88" s="42">
        <v>49</v>
      </c>
      <c r="C88" s="43" t="s">
        <v>599</v>
      </c>
      <c r="D88" s="46">
        <v>37561</v>
      </c>
      <c r="E88" s="40" t="s">
        <v>2106</v>
      </c>
      <c r="F88" s="40" t="s">
        <v>624</v>
      </c>
    </row>
    <row r="89" spans="1:6" ht="45.75" thickBot="1">
      <c r="A89" t="s">
        <v>2187</v>
      </c>
      <c r="B89" s="42">
        <v>48</v>
      </c>
      <c r="C89" s="43" t="s">
        <v>2107</v>
      </c>
      <c r="D89" s="46">
        <v>37470</v>
      </c>
      <c r="E89" s="40" t="s">
        <v>2108</v>
      </c>
      <c r="F89" s="40" t="s">
        <v>401</v>
      </c>
    </row>
    <row r="90" spans="1:6" ht="45.75" thickBot="1">
      <c r="A90" t="s">
        <v>2187</v>
      </c>
      <c r="B90" s="42">
        <v>47</v>
      </c>
      <c r="C90" s="43" t="s">
        <v>2109</v>
      </c>
      <c r="D90" s="46">
        <v>37372</v>
      </c>
      <c r="E90" s="40" t="s">
        <v>2110</v>
      </c>
      <c r="F90" s="40" t="s">
        <v>624</v>
      </c>
    </row>
    <row r="91" spans="1:6" ht="60.75" thickBot="1">
      <c r="A91" t="s">
        <v>2187</v>
      </c>
      <c r="B91" s="42">
        <v>46</v>
      </c>
      <c r="C91" s="43" t="s">
        <v>648</v>
      </c>
      <c r="D91" s="46">
        <v>37246</v>
      </c>
      <c r="E91" s="40" t="s">
        <v>2111</v>
      </c>
      <c r="F91" s="40" t="s">
        <v>621</v>
      </c>
    </row>
    <row r="92" spans="1:6" ht="75.75" thickBot="1">
      <c r="A92" t="s">
        <v>2187</v>
      </c>
      <c r="B92" s="42">
        <v>45</v>
      </c>
      <c r="C92" s="43" t="s">
        <v>2112</v>
      </c>
      <c r="D92" s="46">
        <v>37155</v>
      </c>
      <c r="E92" s="40" t="s">
        <v>2113</v>
      </c>
      <c r="F92" s="40" t="s">
        <v>401</v>
      </c>
    </row>
    <row r="93" spans="1:6" ht="45.75" thickBot="1">
      <c r="A93" t="s">
        <v>2187</v>
      </c>
      <c r="B93" s="42">
        <v>44</v>
      </c>
      <c r="C93" s="43" t="s">
        <v>2114</v>
      </c>
      <c r="D93" s="46">
        <v>37141</v>
      </c>
      <c r="E93" s="40" t="s">
        <v>2115</v>
      </c>
      <c r="F93" s="40" t="s">
        <v>624</v>
      </c>
    </row>
    <row r="94" spans="1:6" ht="29.25" thickBot="1">
      <c r="A94" t="s">
        <v>2187</v>
      </c>
      <c r="B94" s="42">
        <v>43</v>
      </c>
      <c r="C94" s="43" t="s">
        <v>2116</v>
      </c>
      <c r="D94" s="46">
        <v>37001</v>
      </c>
      <c r="E94" s="40" t="s">
        <v>2117</v>
      </c>
      <c r="F94" s="40" t="s">
        <v>401</v>
      </c>
    </row>
    <row r="95" spans="1:6" ht="29.25" thickBot="1">
      <c r="A95" t="s">
        <v>2187</v>
      </c>
      <c r="B95" s="42">
        <v>42</v>
      </c>
      <c r="C95" s="43" t="s">
        <v>224</v>
      </c>
      <c r="D95" s="46">
        <v>36994</v>
      </c>
      <c r="E95" s="40" t="s">
        <v>2118</v>
      </c>
      <c r="F95" s="40" t="s">
        <v>177</v>
      </c>
    </row>
    <row r="96" spans="1:6" ht="29.25" thickBot="1">
      <c r="A96" t="s">
        <v>2187</v>
      </c>
      <c r="B96" s="42">
        <v>41</v>
      </c>
      <c r="C96" s="43" t="s">
        <v>2119</v>
      </c>
      <c r="D96" s="46">
        <v>36840</v>
      </c>
      <c r="E96" s="40" t="s">
        <v>2120</v>
      </c>
      <c r="F96" s="40" t="s">
        <v>624</v>
      </c>
    </row>
    <row r="97" spans="1:6" ht="75.75" thickBot="1">
      <c r="A97" t="s">
        <v>2187</v>
      </c>
      <c r="B97" s="42">
        <v>40</v>
      </c>
      <c r="C97" s="43" t="s">
        <v>2121</v>
      </c>
      <c r="D97" s="46">
        <v>36812</v>
      </c>
      <c r="E97" s="40" t="s">
        <v>2122</v>
      </c>
      <c r="F97" s="40" t="s">
        <v>401</v>
      </c>
    </row>
    <row r="98" spans="1:6" ht="29.25" thickBot="1">
      <c r="A98" t="s">
        <v>2187</v>
      </c>
      <c r="B98" s="42">
        <v>39</v>
      </c>
      <c r="C98" s="43" t="s">
        <v>2123</v>
      </c>
      <c r="D98" s="46">
        <v>36805</v>
      </c>
      <c r="E98" s="40" t="s">
        <v>2124</v>
      </c>
      <c r="F98" s="40" t="s">
        <v>401</v>
      </c>
    </row>
    <row r="99" spans="1:6" ht="29.25" thickBot="1">
      <c r="A99" t="s">
        <v>2187</v>
      </c>
      <c r="B99" s="42">
        <v>38</v>
      </c>
      <c r="C99" s="43" t="s">
        <v>645</v>
      </c>
      <c r="D99" s="46">
        <v>36728</v>
      </c>
      <c r="E99" s="40" t="s">
        <v>2125</v>
      </c>
      <c r="F99" s="40" t="s">
        <v>621</v>
      </c>
    </row>
    <row r="100" spans="1:6" ht="30.75" thickBot="1">
      <c r="A100" t="s">
        <v>2187</v>
      </c>
      <c r="B100" s="42">
        <v>37</v>
      </c>
      <c r="C100" s="43" t="s">
        <v>644</v>
      </c>
      <c r="D100" s="46">
        <v>36693</v>
      </c>
      <c r="E100" s="40" t="s">
        <v>2126</v>
      </c>
      <c r="F100" s="40" t="s">
        <v>621</v>
      </c>
    </row>
    <row r="101" spans="1:6" ht="30.75" thickBot="1">
      <c r="A101" t="s">
        <v>2187</v>
      </c>
      <c r="B101" s="42">
        <v>36</v>
      </c>
      <c r="C101" s="43" t="s">
        <v>2127</v>
      </c>
      <c r="D101" s="46">
        <v>36630</v>
      </c>
      <c r="E101" s="40" t="s">
        <v>2128</v>
      </c>
      <c r="F101" s="40" t="s">
        <v>179</v>
      </c>
    </row>
    <row r="102" spans="1:6" ht="60.75" thickBot="1">
      <c r="A102" t="s">
        <v>2187</v>
      </c>
      <c r="B102" s="42">
        <v>35</v>
      </c>
      <c r="C102" s="43" t="s">
        <v>2129</v>
      </c>
      <c r="D102" s="46">
        <v>36427</v>
      </c>
      <c r="E102" s="40" t="s">
        <v>2130</v>
      </c>
      <c r="F102" s="40" t="s">
        <v>401</v>
      </c>
    </row>
    <row r="103" spans="1:6" ht="45.75" thickBot="1">
      <c r="A103" t="s">
        <v>2187</v>
      </c>
      <c r="B103" s="42">
        <v>34</v>
      </c>
      <c r="C103" s="43" t="s">
        <v>120</v>
      </c>
      <c r="D103" s="46">
        <v>36336</v>
      </c>
      <c r="E103" s="40" t="s">
        <v>2131</v>
      </c>
      <c r="F103" s="40" t="s">
        <v>177</v>
      </c>
    </row>
    <row r="104" spans="1:6" ht="29.25" thickBot="1">
      <c r="A104" t="s">
        <v>2187</v>
      </c>
      <c r="B104" s="42">
        <v>33</v>
      </c>
      <c r="C104" s="43" t="s">
        <v>2132</v>
      </c>
      <c r="D104" s="46">
        <v>36301</v>
      </c>
      <c r="E104" s="40" t="s">
        <v>2133</v>
      </c>
      <c r="F104" s="40" t="s">
        <v>401</v>
      </c>
    </row>
    <row r="105" spans="1:6" ht="30.75" thickBot="1">
      <c r="A105" t="s">
        <v>2187</v>
      </c>
      <c r="B105" s="42">
        <v>32</v>
      </c>
      <c r="C105" s="43" t="s">
        <v>151</v>
      </c>
      <c r="D105" s="46">
        <v>36259</v>
      </c>
      <c r="E105" s="40" t="s">
        <v>2134</v>
      </c>
      <c r="F105" s="40" t="s">
        <v>178</v>
      </c>
    </row>
    <row r="106" spans="1:6" ht="29.25" thickBot="1">
      <c r="A106" t="s">
        <v>2187</v>
      </c>
      <c r="B106" s="42">
        <v>31</v>
      </c>
      <c r="C106" s="43" t="s">
        <v>2135</v>
      </c>
      <c r="D106" s="46">
        <v>36147</v>
      </c>
      <c r="E106" s="40" t="s">
        <v>2136</v>
      </c>
      <c r="F106" s="40" t="s">
        <v>624</v>
      </c>
    </row>
    <row r="107" spans="1:6" ht="30.75" thickBot="1">
      <c r="A107" t="s">
        <v>2187</v>
      </c>
      <c r="B107" s="42">
        <v>30</v>
      </c>
      <c r="C107" s="43" t="s">
        <v>2137</v>
      </c>
      <c r="D107" s="46">
        <v>36112</v>
      </c>
      <c r="E107" s="40" t="s">
        <v>2138</v>
      </c>
      <c r="F107" s="40" t="s">
        <v>401</v>
      </c>
    </row>
    <row r="108" spans="1:6" ht="60.75" thickBot="1">
      <c r="A108" t="s">
        <v>2187</v>
      </c>
      <c r="B108" s="42">
        <v>29</v>
      </c>
      <c r="C108" s="43" t="s">
        <v>112</v>
      </c>
      <c r="D108" s="46">
        <v>36084</v>
      </c>
      <c r="E108" s="40" t="s">
        <v>2139</v>
      </c>
      <c r="F108" s="40" t="s">
        <v>177</v>
      </c>
    </row>
    <row r="109" spans="1:6" ht="29.25" thickBot="1">
      <c r="A109" t="s">
        <v>2187</v>
      </c>
      <c r="B109" s="42">
        <v>28</v>
      </c>
      <c r="C109" s="43" t="s">
        <v>2140</v>
      </c>
      <c r="D109" s="46">
        <v>36042</v>
      </c>
      <c r="E109" s="40" t="s">
        <v>2141</v>
      </c>
      <c r="F109" s="40" t="s">
        <v>401</v>
      </c>
    </row>
    <row r="110" spans="1:6" ht="30.75" thickBot="1">
      <c r="A110" t="s">
        <v>2187</v>
      </c>
      <c r="B110" s="42">
        <v>27</v>
      </c>
      <c r="C110" s="43" t="s">
        <v>119</v>
      </c>
      <c r="D110" s="46">
        <v>35986</v>
      </c>
      <c r="E110" s="40" t="s">
        <v>2142</v>
      </c>
      <c r="F110" s="40" t="s">
        <v>177</v>
      </c>
    </row>
    <row r="111" spans="1:6" ht="29.25" thickBot="1">
      <c r="A111" t="s">
        <v>2187</v>
      </c>
      <c r="B111" s="42">
        <v>26</v>
      </c>
      <c r="C111" s="43" t="s">
        <v>2143</v>
      </c>
      <c r="D111" s="46">
        <v>35958</v>
      </c>
      <c r="E111" s="40" t="s">
        <v>2144</v>
      </c>
      <c r="F111" s="40" t="s">
        <v>401</v>
      </c>
    </row>
    <row r="112" spans="1:6" ht="30.75" thickBot="1">
      <c r="A112" t="s">
        <v>2187</v>
      </c>
      <c r="B112" s="42">
        <v>25</v>
      </c>
      <c r="C112" s="43" t="s">
        <v>638</v>
      </c>
      <c r="D112" s="46">
        <v>35916</v>
      </c>
      <c r="E112" s="40" t="s">
        <v>2145</v>
      </c>
      <c r="F112" s="40" t="s">
        <v>621</v>
      </c>
    </row>
    <row r="113" spans="1:6" ht="30.75" thickBot="1">
      <c r="A113" t="s">
        <v>2187</v>
      </c>
      <c r="B113" s="42">
        <v>24</v>
      </c>
      <c r="C113" s="43" t="s">
        <v>2146</v>
      </c>
      <c r="D113" s="46">
        <v>35825</v>
      </c>
      <c r="E113" s="40" t="s">
        <v>2147</v>
      </c>
      <c r="F113" s="40" t="s">
        <v>401</v>
      </c>
    </row>
    <row r="114" spans="1:6" ht="45.75" thickBot="1">
      <c r="A114" t="s">
        <v>2187</v>
      </c>
      <c r="B114" s="42">
        <v>23</v>
      </c>
      <c r="C114" s="43" t="s">
        <v>117</v>
      </c>
      <c r="D114" s="46">
        <v>35713</v>
      </c>
      <c r="E114" s="40" t="s">
        <v>2148</v>
      </c>
      <c r="F114" s="40" t="s">
        <v>177</v>
      </c>
    </row>
    <row r="115" spans="1:6" ht="30.75" thickBot="1">
      <c r="A115" t="s">
        <v>2187</v>
      </c>
      <c r="B115" s="42">
        <v>22</v>
      </c>
      <c r="C115" s="43" t="s">
        <v>2149</v>
      </c>
      <c r="D115" s="46">
        <v>35699</v>
      </c>
      <c r="E115" s="40" t="s">
        <v>2150</v>
      </c>
      <c r="F115" s="40" t="s">
        <v>624</v>
      </c>
    </row>
    <row r="116" spans="1:6" ht="60.75" thickBot="1">
      <c r="A116" t="s">
        <v>2187</v>
      </c>
      <c r="B116" s="42">
        <v>21</v>
      </c>
      <c r="C116" s="43" t="s">
        <v>2151</v>
      </c>
      <c r="D116" s="46">
        <v>35622</v>
      </c>
      <c r="E116" s="40" t="s">
        <v>2152</v>
      </c>
      <c r="F116" s="40" t="s">
        <v>401</v>
      </c>
    </row>
    <row r="117" spans="1:6" ht="30.75" thickBot="1">
      <c r="A117" t="s">
        <v>2187</v>
      </c>
      <c r="B117" s="42">
        <v>20</v>
      </c>
      <c r="C117" s="43" t="s">
        <v>96</v>
      </c>
      <c r="D117" s="46">
        <v>35482</v>
      </c>
      <c r="E117" s="40" t="s">
        <v>2153</v>
      </c>
      <c r="F117" s="40" t="s">
        <v>176</v>
      </c>
    </row>
    <row r="118" spans="1:6" ht="30.75" thickBot="1">
      <c r="A118" t="s">
        <v>2187</v>
      </c>
      <c r="B118" s="42">
        <v>19</v>
      </c>
      <c r="C118" s="43" t="s">
        <v>2154</v>
      </c>
      <c r="D118" s="46">
        <v>35391</v>
      </c>
      <c r="E118" s="40" t="s">
        <v>2155</v>
      </c>
      <c r="F118" s="40" t="s">
        <v>401</v>
      </c>
    </row>
    <row r="119" spans="1:6" ht="29.25" thickBot="1">
      <c r="A119" t="s">
        <v>2187</v>
      </c>
      <c r="B119" s="42">
        <v>18</v>
      </c>
      <c r="C119" s="43" t="s">
        <v>2156</v>
      </c>
      <c r="D119" s="46">
        <v>35349</v>
      </c>
      <c r="E119" s="40" t="s">
        <v>2157</v>
      </c>
      <c r="F119" s="40" t="s">
        <v>401</v>
      </c>
    </row>
    <row r="120" spans="1:6" ht="29.25" thickBot="1">
      <c r="A120" t="s">
        <v>2187</v>
      </c>
      <c r="B120" s="42">
        <v>17</v>
      </c>
      <c r="C120" s="43" t="s">
        <v>2158</v>
      </c>
      <c r="D120" s="46">
        <v>35265</v>
      </c>
      <c r="E120" s="40" t="s">
        <v>2159</v>
      </c>
      <c r="F120" s="40" t="s">
        <v>624</v>
      </c>
    </row>
    <row r="121" spans="1:6" ht="45.75" thickBot="1">
      <c r="A121" t="s">
        <v>2187</v>
      </c>
      <c r="B121" s="42">
        <v>16</v>
      </c>
      <c r="C121" s="43" t="s">
        <v>103</v>
      </c>
      <c r="D121" s="46">
        <v>35167</v>
      </c>
      <c r="E121" s="40" t="s">
        <v>2160</v>
      </c>
      <c r="F121" s="40" t="s">
        <v>176</v>
      </c>
    </row>
    <row r="122" spans="1:6" ht="29.25" thickBot="1">
      <c r="A122" t="s">
        <v>2187</v>
      </c>
      <c r="B122" s="42">
        <v>15</v>
      </c>
      <c r="C122" s="43" t="s">
        <v>2161</v>
      </c>
      <c r="D122" s="46">
        <v>35041</v>
      </c>
      <c r="E122" s="40" t="s">
        <v>2162</v>
      </c>
      <c r="F122" s="40" t="s">
        <v>401</v>
      </c>
    </row>
    <row r="123" spans="1:6" ht="30.75" thickBot="1">
      <c r="A123" t="s">
        <v>2187</v>
      </c>
      <c r="B123" s="42">
        <v>14</v>
      </c>
      <c r="C123" s="43" t="s">
        <v>104</v>
      </c>
      <c r="D123" s="46">
        <v>34880</v>
      </c>
      <c r="E123" s="40" t="s">
        <v>2163</v>
      </c>
      <c r="F123" s="40" t="s">
        <v>176</v>
      </c>
    </row>
    <row r="124" spans="1:6" ht="29.25" thickBot="1">
      <c r="A124" t="s">
        <v>2187</v>
      </c>
      <c r="B124" s="42">
        <v>13</v>
      </c>
      <c r="C124" s="43" t="s">
        <v>2164</v>
      </c>
      <c r="D124" s="46">
        <v>34866</v>
      </c>
      <c r="E124" s="40" t="s">
        <v>2165</v>
      </c>
      <c r="F124" s="40" t="s">
        <v>401</v>
      </c>
    </row>
    <row r="125" spans="1:6" ht="30.75" thickBot="1">
      <c r="A125" t="s">
        <v>2187</v>
      </c>
      <c r="B125" s="42">
        <v>12</v>
      </c>
      <c r="C125" s="43" t="s">
        <v>2166</v>
      </c>
      <c r="D125" s="46">
        <v>34789</v>
      </c>
      <c r="E125" s="40" t="s">
        <v>2167</v>
      </c>
      <c r="F125" s="40" t="s">
        <v>621</v>
      </c>
    </row>
    <row r="126" spans="1:6" ht="29.25" thickBot="1">
      <c r="A126" t="s">
        <v>2187</v>
      </c>
      <c r="B126" s="42">
        <v>11</v>
      </c>
      <c r="C126" s="43" t="s">
        <v>2168</v>
      </c>
      <c r="D126" s="46">
        <v>34761</v>
      </c>
      <c r="E126" s="40" t="s">
        <v>2169</v>
      </c>
      <c r="F126" s="40" t="s">
        <v>179</v>
      </c>
    </row>
    <row r="127" spans="1:6" ht="30.75" thickBot="1">
      <c r="A127" t="s">
        <v>2187</v>
      </c>
      <c r="B127" s="42">
        <v>10</v>
      </c>
      <c r="C127" s="43" t="s">
        <v>2170</v>
      </c>
      <c r="D127" s="46">
        <v>34628</v>
      </c>
      <c r="E127" s="40" t="s">
        <v>2171</v>
      </c>
      <c r="F127" s="40" t="s">
        <v>624</v>
      </c>
    </row>
    <row r="128" spans="1:6" ht="29.25" thickBot="1">
      <c r="A128" t="s">
        <v>2187</v>
      </c>
      <c r="B128" s="42">
        <v>9</v>
      </c>
      <c r="C128" s="43" t="s">
        <v>2172</v>
      </c>
      <c r="D128" s="46">
        <v>34579</v>
      </c>
      <c r="E128" s="40" t="s">
        <v>2173</v>
      </c>
      <c r="F128" s="40" t="s">
        <v>401</v>
      </c>
    </row>
    <row r="129" spans="1:6" ht="29.25" thickBot="1">
      <c r="A129" t="s">
        <v>2187</v>
      </c>
      <c r="B129" s="42">
        <v>8</v>
      </c>
      <c r="C129" s="43" t="s">
        <v>2174</v>
      </c>
      <c r="D129" s="46">
        <v>34558</v>
      </c>
      <c r="E129" s="40" t="s">
        <v>2175</v>
      </c>
      <c r="F129" s="40" t="s">
        <v>401</v>
      </c>
    </row>
    <row r="130" spans="1:6" ht="30.75" thickBot="1">
      <c r="A130" t="s">
        <v>2187</v>
      </c>
      <c r="B130" s="42">
        <v>7</v>
      </c>
      <c r="C130" s="43" t="s">
        <v>2176</v>
      </c>
      <c r="D130" s="46">
        <v>34509</v>
      </c>
      <c r="E130" s="40" t="s">
        <v>2177</v>
      </c>
      <c r="F130" s="40" t="s">
        <v>401</v>
      </c>
    </row>
    <row r="131" spans="1:6" ht="29.25" thickBot="1">
      <c r="A131" t="s">
        <v>2187</v>
      </c>
      <c r="B131" s="42">
        <v>6</v>
      </c>
      <c r="C131" s="43" t="s">
        <v>146</v>
      </c>
      <c r="D131" s="46">
        <v>34418</v>
      </c>
      <c r="E131" s="40" t="s">
        <v>2178</v>
      </c>
      <c r="F131" s="40" t="s">
        <v>178</v>
      </c>
    </row>
    <row r="132" spans="1:6" ht="30.75" thickBot="1">
      <c r="A132" t="s">
        <v>2187</v>
      </c>
      <c r="B132" s="42">
        <v>5</v>
      </c>
      <c r="C132" s="43" t="s">
        <v>2179</v>
      </c>
      <c r="D132" s="46">
        <v>34390</v>
      </c>
      <c r="E132" s="40" t="s">
        <v>2180</v>
      </c>
      <c r="F132" s="40" t="s">
        <v>624</v>
      </c>
    </row>
    <row r="133" spans="1:6" ht="29.25" thickBot="1">
      <c r="A133" t="s">
        <v>2187</v>
      </c>
      <c r="B133" s="42">
        <v>4</v>
      </c>
      <c r="C133" s="43" t="s">
        <v>2181</v>
      </c>
      <c r="D133" s="46">
        <v>34362</v>
      </c>
      <c r="E133" s="40" t="s">
        <v>2182</v>
      </c>
      <c r="F133" s="40" t="s">
        <v>179</v>
      </c>
    </row>
    <row r="134" spans="1:6" ht="30.75" thickBot="1">
      <c r="A134" t="s">
        <v>2187</v>
      </c>
      <c r="B134" s="42">
        <v>3</v>
      </c>
      <c r="C134" s="43" t="s">
        <v>101</v>
      </c>
      <c r="D134" s="46">
        <v>34355</v>
      </c>
      <c r="E134" s="40" t="s">
        <v>1915</v>
      </c>
      <c r="F134" s="40" t="s">
        <v>176</v>
      </c>
    </row>
    <row r="135" spans="1:6" ht="60.75" thickBot="1">
      <c r="A135" t="s">
        <v>2187</v>
      </c>
      <c r="B135" s="42">
        <v>2</v>
      </c>
      <c r="C135" s="43" t="s">
        <v>2183</v>
      </c>
      <c r="D135" s="46">
        <v>34320</v>
      </c>
      <c r="E135" s="40" t="s">
        <v>2184</v>
      </c>
      <c r="F135" s="40" t="s">
        <v>624</v>
      </c>
    </row>
    <row r="136" spans="1:6" ht="30.75" thickBot="1">
      <c r="A136" t="s">
        <v>2187</v>
      </c>
      <c r="B136" s="42">
        <v>1</v>
      </c>
      <c r="C136" s="43" t="s">
        <v>2185</v>
      </c>
      <c r="D136" s="46">
        <v>34313</v>
      </c>
      <c r="E136" s="40" t="s">
        <v>2186</v>
      </c>
      <c r="F136" s="40" t="s">
        <v>401</v>
      </c>
    </row>
  </sheetData>
  <hyperlinks>
    <hyperlink ref="C2" r:id="rId1" display="http://www.boxofficeindia.com/movie.php?movieid=3629"/>
    <hyperlink ref="C3" r:id="rId2" display="http://www.boxofficeindia.com/movie.php?movieid=3443"/>
    <hyperlink ref="C4" r:id="rId3" display="http://www.boxofficeindia.com/movie.php?movieid=2482"/>
    <hyperlink ref="C5" r:id="rId4" display="http://www.boxofficeindia.com/movie.php?movieid=1956"/>
    <hyperlink ref="C6" r:id="rId5" display="http://www.boxofficeindia.com/movie.php?movieid=1197"/>
    <hyperlink ref="C7" r:id="rId6" display="http://www.boxofficeindia.com/movie.php?movieid=45"/>
    <hyperlink ref="C8" r:id="rId7" display="http://www.boxofficeindia.com/movie.php?movieid=136"/>
    <hyperlink ref="C9" r:id="rId8" display="http://www.boxofficeindia.com/movie.php?movieid=309"/>
    <hyperlink ref="C10" r:id="rId9" display="http://www.boxofficeindia.com/movie.php?movieid=263"/>
    <hyperlink ref="C11" r:id="rId10" display="http://www.boxofficeindia.com/movie.php?movieid=297"/>
    <hyperlink ref="C12" r:id="rId11" display="http://www.boxofficeindia.com/movie.php?movieid=369"/>
    <hyperlink ref="C13" r:id="rId12" display="http://www.boxofficeindia.com/movie.php?movieid=391"/>
    <hyperlink ref="C14" r:id="rId13" display="http://www.boxofficeindia.com/movie.php?movieid=664"/>
    <hyperlink ref="C15" r:id="rId14" display="http://www.boxofficeindia.com/movie.php?movieid=659"/>
    <hyperlink ref="C16" r:id="rId15" display="http://www.boxofficeindia.com/movie.php?movieid=724"/>
    <hyperlink ref="C17" r:id="rId16" display="http://www.boxofficeindia.com/movie.php?movieid=2372"/>
    <hyperlink ref="C18" r:id="rId17" display="http://www.boxofficeindia.com/movie.php?movieid=2389"/>
    <hyperlink ref="C19" r:id="rId18" display="http://www.boxofficeindia.com/movie.php?movieid=2411"/>
    <hyperlink ref="C20" r:id="rId19" display="http://www.boxofficeindia.com/movie.php?movieid=2557"/>
    <hyperlink ref="C21" r:id="rId20" display="http://www.boxofficeindia.com/movie.php?movieid=2627"/>
    <hyperlink ref="C22" r:id="rId21" display="http://www.boxofficeindia.com/movie.php?movieid=2737"/>
    <hyperlink ref="C23" r:id="rId22" display="http://www.boxofficeindia.com/movie.php?movieid=2916"/>
    <hyperlink ref="C24" r:id="rId23" display="http://www.boxofficeindia.com/movie.php?movieid=2958"/>
    <hyperlink ref="C25" r:id="rId24" display="http://www.boxofficeindia.com/movie.php?movieid=2952"/>
    <hyperlink ref="C26" r:id="rId25" display="http://www.boxofficeindia.com/movie.php?movieid=3005"/>
    <hyperlink ref="C27" r:id="rId26" display="http://www.boxofficeindia.com/movie.php?movieid=3035"/>
    <hyperlink ref="C28" r:id="rId27" display="http://www.boxofficeindia.com/movie.php?movieid=3359"/>
    <hyperlink ref="C29" r:id="rId28" display="http://www.boxofficeindia.com/movie.php?movieid=2104"/>
    <hyperlink ref="C30" r:id="rId29" display="http://www.boxofficeindia.com/movie.php?movieid=1287"/>
    <hyperlink ref="C31" r:id="rId30" display="http://www.boxofficeindia.com/movie.php?movieid=1166"/>
    <hyperlink ref="C32" r:id="rId31" display="http://www.boxofficeindia.com/movie.php?movieid=178"/>
    <hyperlink ref="C33" r:id="rId32" display="http://www.boxofficeindia.com/movie.php?movieid=33"/>
    <hyperlink ref="C34" r:id="rId33" display="http://www.boxofficeindia.com/movie.php?movieid=84"/>
    <hyperlink ref="C35" r:id="rId34" display="http://www.boxofficeindia.com/movie.php?movieid=115"/>
    <hyperlink ref="C36" r:id="rId35" display="http://www.boxofficeindia.com/movie.php?movieid=785"/>
    <hyperlink ref="C37" r:id="rId36" display="http://www.boxofficeindia.com/movie.php?movieid=338"/>
    <hyperlink ref="C38" r:id="rId37" display="http://www.boxofficeindia.com/movie.php?movieid=254"/>
    <hyperlink ref="C39" r:id="rId38" display="http://www.boxofficeindia.com/movie.php?movieid=1467"/>
    <hyperlink ref="C40" r:id="rId39" display="http://www.boxofficeindia.com/movie.php?movieid=349"/>
    <hyperlink ref="C41" r:id="rId40" display="http://www.boxofficeindia.com/movie.php?movieid=270"/>
    <hyperlink ref="C42" r:id="rId41" display="http://www.boxofficeindia.com/movie.php?movieid=416"/>
    <hyperlink ref="C43" r:id="rId42" display="http://www.boxofficeindia.com/movie.php?movieid=2201"/>
    <hyperlink ref="C44" r:id="rId43" display="http://www.boxofficeindia.com/movie.php?movieid=2068"/>
    <hyperlink ref="C45" r:id="rId44" display="http://www.boxofficeindia.com/movie.php?movieid=231"/>
    <hyperlink ref="C46" r:id="rId45" display="http://www.boxofficeindia.com/movie.php?movieid=591"/>
    <hyperlink ref="C47" r:id="rId46" display="http://www.boxofficeindia.com/movie.php?movieid=596"/>
    <hyperlink ref="C48" r:id="rId47" display="http://www.boxofficeindia.com/movie.php?movieid=667"/>
    <hyperlink ref="C49" r:id="rId48" display="http://www.boxofficeindia.com/movie.php?movieid=675"/>
    <hyperlink ref="C50" r:id="rId49" display="http://www.boxofficeindia.com/movie.php?movieid=757"/>
    <hyperlink ref="C51" r:id="rId50" display="http://www.boxofficeindia.com/movie.php?movieid=718"/>
    <hyperlink ref="C52" r:id="rId51" display="http://www.boxofficeindia.com/movie.php?movieid=2445"/>
    <hyperlink ref="C53" r:id="rId52" display="http://www.boxofficeindia.com/movie.php?movieid=2495"/>
    <hyperlink ref="C54" r:id="rId53" display="http://www.boxofficeindia.com/movie.php?movieid=2635"/>
    <hyperlink ref="C55" r:id="rId54" display="http://www.boxofficeindia.com/movie.php?movieid=2647"/>
    <hyperlink ref="C56" r:id="rId55" display="http://www.boxofficeindia.com/movie.php?movieid=2671"/>
    <hyperlink ref="C57" r:id="rId56" display="http://www.boxofficeindia.com/movie.php?movieid=2683"/>
    <hyperlink ref="C58" r:id="rId57" display="http://www.boxofficeindia.com/movie.php?movieid=2690"/>
    <hyperlink ref="C59" r:id="rId58" display="http://www.boxofficeindia.com/movie.php?movieid=2796"/>
    <hyperlink ref="C60" r:id="rId59" display="http://www.boxofficeindia.com/movie.php?movieid=2819"/>
    <hyperlink ref="C61" r:id="rId60" display="http://www.boxofficeindia.com/movie.php?movieid=2920"/>
    <hyperlink ref="C62" r:id="rId61" display="http://www.boxofficeindia.com/movie.php?movieid=2944"/>
    <hyperlink ref="C63" r:id="rId62" display="http://www.boxofficeindia.com/movie.php?movieid=3033"/>
    <hyperlink ref="C64" r:id="rId63" display="http://www.boxofficeindia.com/movie.php?movieid=11"/>
    <hyperlink ref="C65" r:id="rId64" display="http://www.boxofficeindia.com/movie.php?movieid=3142"/>
    <hyperlink ref="C66" r:id="rId65" display="http://www.boxofficeindia.com/movie.php?movieid=3318"/>
    <hyperlink ref="C67" r:id="rId66" display="http://www.boxofficeindia.com/movie.php?movieid=3487"/>
    <hyperlink ref="C68" r:id="rId67" display="http://www.boxofficeindia.com/movie.php?movieid=2410"/>
    <hyperlink ref="C69" r:id="rId68" display="http://www.boxofficeindia.com/movie.php?movieid=2400"/>
    <hyperlink ref="C70" r:id="rId69" display="http://www.boxofficeindia.com/movie.php?movieid=1233"/>
    <hyperlink ref="C71" r:id="rId70" display="http://www.boxofficeindia.com/movie.php?movieid=852"/>
    <hyperlink ref="C72" r:id="rId71" display="http://www.boxofficeindia.com/movie.php?movieid=797"/>
    <hyperlink ref="C73" r:id="rId72" display="http://www.boxofficeindia.com/movie.php?movieid=88"/>
    <hyperlink ref="C74" r:id="rId73" display="http://www.boxofficeindia.com/movie.php?movieid=156"/>
    <hyperlink ref="C75" r:id="rId74" display="http://www.boxofficeindia.com/movie.php?movieid=154"/>
    <hyperlink ref="C76" r:id="rId75" display="http://www.boxofficeindia.com/movie.php?movieid=996"/>
    <hyperlink ref="C77" r:id="rId76" display="http://www.boxofficeindia.com/movie.php?movieid=328"/>
    <hyperlink ref="C78" r:id="rId77" display="http://www.boxofficeindia.com/movie.php?movieid=258"/>
    <hyperlink ref="C79" r:id="rId78" display="http://www.boxofficeindia.com/movie.php?movieid=1485"/>
    <hyperlink ref="C80" r:id="rId79" display="http://www.boxofficeindia.com/movie.php?movieid=343"/>
    <hyperlink ref="C81" r:id="rId80" display="http://www.boxofficeindia.com/movie.php?movieid=284"/>
    <hyperlink ref="C82" r:id="rId81" display="http://www.boxofficeindia.com/movie.php?movieid=386"/>
    <hyperlink ref="C83" r:id="rId82" display="http://www.boxofficeindia.com/movie.php?movieid=438"/>
    <hyperlink ref="C84" r:id="rId83" display="http://www.boxofficeindia.com/movie.php?movieid=437"/>
    <hyperlink ref="C85" r:id="rId84" display="http://www.boxofficeindia.com/movie.php?movieid=563"/>
    <hyperlink ref="C86" r:id="rId85" display="http://www.boxofficeindia.com/movie.php?movieid=522"/>
    <hyperlink ref="C87" r:id="rId86" display="http://www.boxofficeindia.com/movie.php?movieid=1240"/>
    <hyperlink ref="C88" r:id="rId87" display="http://www.boxofficeindia.com/movie.php?movieid=637"/>
    <hyperlink ref="C89" r:id="rId88" display="http://www.boxofficeindia.com/movie.php?movieid=639"/>
    <hyperlink ref="C90" r:id="rId89" display="http://www.boxofficeindia.com/movie.php?movieid=630"/>
    <hyperlink ref="C91" r:id="rId90" display="http://www.boxofficeindia.com/movie.php?movieid=677"/>
    <hyperlink ref="C92" r:id="rId91" display="http://www.boxofficeindia.com/movie.php?movieid=673"/>
    <hyperlink ref="C93" r:id="rId92" display="http://www.boxofficeindia.com/movie.php?movieid=694"/>
    <hyperlink ref="C94" r:id="rId93" display="http://www.boxofficeindia.com/movie.php?movieid=670"/>
    <hyperlink ref="C95" r:id="rId94" display="http://www.boxofficeindia.com/movie.php?movieid=661"/>
    <hyperlink ref="C96" r:id="rId95" display="http://www.boxofficeindia.com/movie.php?movieid=732"/>
    <hyperlink ref="C97" r:id="rId96" display="http://www.boxofficeindia.com/movie.php?movieid=742"/>
    <hyperlink ref="C98" r:id="rId97" display="http://www.boxofficeindia.com/movie.php?movieid=756"/>
    <hyperlink ref="C99" r:id="rId98" display="http://www.boxofficeindia.com/movie.php?movieid=722"/>
    <hyperlink ref="C100" r:id="rId99" display="http://www.boxofficeindia.com/movie.php?movieid=743"/>
    <hyperlink ref="C101" r:id="rId100" display="http://www.boxofficeindia.com/movie.php?movieid=439"/>
    <hyperlink ref="C102" r:id="rId101" display="http://www.boxofficeindia.com/movie.php?movieid=2370"/>
    <hyperlink ref="C103" r:id="rId102" display="http://www.boxofficeindia.com/movie.php?movieid=2404"/>
    <hyperlink ref="C104" r:id="rId103" display="http://www.boxofficeindia.com/movie.php?movieid=2419"/>
    <hyperlink ref="C105" r:id="rId104" display="http://www.boxofficeindia.com/movie.php?movieid=2431"/>
    <hyperlink ref="C106" r:id="rId105" display="http://www.boxofficeindia.com/movie.php?movieid=2491"/>
    <hyperlink ref="C107" r:id="rId106" display="http://www.boxofficeindia.com/movie.php?movieid=2510"/>
    <hyperlink ref="C108" r:id="rId107" display="http://www.boxofficeindia.com/movie.php?movieid=2515"/>
    <hyperlink ref="C109" r:id="rId108" display="http://www.boxofficeindia.com/movie.php?movieid=2529"/>
    <hyperlink ref="C110" r:id="rId109" display="http://www.boxofficeindia.com/movie.php?movieid=2553"/>
    <hyperlink ref="C111" r:id="rId110" display="http://www.boxofficeindia.com/movie.php?movieid=2560"/>
    <hyperlink ref="C112" r:id="rId111" display="http://www.boxofficeindia.com/movie.php?movieid=2572"/>
    <hyperlink ref="C113" r:id="rId112" display="http://www.boxofficeindia.com/movie.php?movieid=2599"/>
    <hyperlink ref="C114" r:id="rId113" display="http://www.boxofficeindia.com/movie.php?movieid=2642"/>
    <hyperlink ref="C115" r:id="rId114" display="http://www.boxofficeindia.com/movie.php?movieid=2646"/>
    <hyperlink ref="C116" r:id="rId115" display="http://www.boxofficeindia.com/movie.php?movieid=2672"/>
    <hyperlink ref="C117" r:id="rId116" display="http://www.boxofficeindia.com/movie.php?movieid=2704"/>
    <hyperlink ref="C118" r:id="rId117" display="http://www.boxofficeindia.com/movie.php?movieid=2736"/>
    <hyperlink ref="C119" r:id="rId118" display="http://www.boxofficeindia.com/movie.php?movieid=2750"/>
    <hyperlink ref="C120" r:id="rId119" display="http://www.boxofficeindia.com/movie.php?movieid=2775"/>
    <hyperlink ref="C121" r:id="rId120" display="http://www.boxofficeindia.com/movie.php?movieid=2807"/>
    <hyperlink ref="C122" r:id="rId121" display="http://www.boxofficeindia.com/movie.php?movieid=2907"/>
    <hyperlink ref="C123" r:id="rId122" display="http://www.boxofficeindia.com/movie.php?movieid=2974"/>
    <hyperlink ref="C124" r:id="rId123" display="http://www.boxofficeindia.com/movie.php?movieid=2969"/>
    <hyperlink ref="C125" r:id="rId124" display="http://www.boxofficeindia.com/movie.php?movieid=3008"/>
    <hyperlink ref="C126" r:id="rId125" display="http://www.boxofficeindia.com/movie.php?movieid=3016"/>
    <hyperlink ref="C127" r:id="rId126" display="http://www.boxofficeindia.com/movie.php?movieid=3066"/>
    <hyperlink ref="C128" r:id="rId127" display="http://www.boxofficeindia.com/movie.php?movieid=3077"/>
    <hyperlink ref="C129" r:id="rId128" display="http://www.boxofficeindia.com/movie.php?movieid=3094"/>
    <hyperlink ref="C130" r:id="rId129" display="http://www.boxofficeindia.com/movie.php?movieid=3106"/>
    <hyperlink ref="C131" r:id="rId130" display="http://www.boxofficeindia.com/movie.php?movieid=3158"/>
    <hyperlink ref="C132" r:id="rId131" display="http://www.boxofficeindia.com/movie.php?movieid=3170"/>
    <hyperlink ref="C133" r:id="rId132" display="http://www.boxofficeindia.com/movie.php?movieid=3181"/>
    <hyperlink ref="C134" r:id="rId133" display="http://www.boxofficeindia.com/movie.php?movieid=3183"/>
    <hyperlink ref="C135" r:id="rId134" display="http://www.boxofficeindia.com/movie.php?movieid=3321"/>
    <hyperlink ref="C136" r:id="rId135" display="http://www.boxofficeindia.com/movie.php?movieid=3326"/>
  </hyperlinks>
  <pageMargins left="0.7" right="0.7" top="0.75" bottom="0.75" header="0.3" footer="0.3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256"/>
  <sheetViews>
    <sheetView zoomScale="89" zoomScaleNormal="89" workbookViewId="0">
      <pane xSplit="6" ySplit="6" topLeftCell="T7" activePane="bottomRight" state="frozen"/>
      <selection pane="topRight" activeCell="E1" sqref="E1"/>
      <selection pane="bottomLeft" activeCell="A12" sqref="A12"/>
      <selection pane="bottomRight" activeCell="D1" sqref="D1"/>
    </sheetView>
  </sheetViews>
  <sheetFormatPr defaultRowHeight="15"/>
  <cols>
    <col min="2" max="2" width="22.28515625" bestFit="1" customWidth="1"/>
    <col min="3" max="4" width="19.28515625" customWidth="1"/>
    <col min="5" max="5" width="15.7109375" bestFit="1" customWidth="1"/>
    <col min="6" max="6" width="18.85546875" bestFit="1" customWidth="1"/>
    <col min="7" max="7" width="15.7109375" bestFit="1" customWidth="1"/>
    <col min="8" max="14" width="15.28515625" bestFit="1" customWidth="1"/>
    <col min="15" max="15" width="11.28515625" bestFit="1" customWidth="1"/>
    <col min="16" max="17" width="12" bestFit="1" customWidth="1"/>
    <col min="18" max="18" width="11" bestFit="1" customWidth="1"/>
    <col min="19" max="19" width="15.28515625" bestFit="1" customWidth="1"/>
    <col min="20" max="20" width="11" bestFit="1" customWidth="1"/>
    <col min="21" max="21" width="12" bestFit="1" customWidth="1"/>
    <col min="22" max="24" width="11" bestFit="1" customWidth="1"/>
    <col min="25" max="25" width="12" bestFit="1" customWidth="1"/>
    <col min="26" max="26" width="15.28515625" bestFit="1" customWidth="1"/>
    <col min="27" max="27" width="11.28515625" bestFit="1" customWidth="1"/>
    <col min="28" max="28" width="11" bestFit="1" customWidth="1"/>
  </cols>
  <sheetData>
    <row r="1" spans="1:28">
      <c r="A1" t="s">
        <v>2262</v>
      </c>
      <c r="C1" t="s">
        <v>2253</v>
      </c>
      <c r="D1" t="s">
        <v>2263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</row>
    <row r="2" spans="1:28">
      <c r="A2">
        <v>1</v>
      </c>
      <c r="B2" t="s">
        <v>2251</v>
      </c>
      <c r="C2" t="s">
        <v>14</v>
      </c>
      <c r="D2">
        <v>1</v>
      </c>
      <c r="E2" s="50">
        <f>16300000</f>
        <v>16300000</v>
      </c>
      <c r="F2" s="50">
        <f>AVERAGE(49850000,724650000)</f>
        <v>387250000</v>
      </c>
      <c r="G2" s="50">
        <f>AVERAGE(203350000,9200000,52075000)</f>
        <v>88208333.333333328</v>
      </c>
      <c r="H2" s="50">
        <f>AVERAGE(56800000,77450000)</f>
        <v>67125000</v>
      </c>
      <c r="I2" s="50">
        <f>AVERAGE(148800000,52550000,26000000,52050000,349700000)</f>
        <v>125820000</v>
      </c>
      <c r="J2" s="50">
        <f>52375000</f>
        <v>52375000</v>
      </c>
      <c r="K2" s="50">
        <f>55950000</f>
        <v>55950000</v>
      </c>
      <c r="L2" s="50">
        <f>AVERAGE(133000000,1075000)</f>
        <v>67037500</v>
      </c>
      <c r="M2" s="50">
        <f>AVERAGE(77550000,158700000)</f>
        <v>118125000</v>
      </c>
      <c r="N2" s="50">
        <f>AVERAGE(135200000,416550000)</f>
        <v>275875000</v>
      </c>
      <c r="O2" s="50"/>
      <c r="P2" s="50"/>
      <c r="Q2" s="50"/>
      <c r="R2" s="50"/>
      <c r="S2" s="50">
        <f>140700000</f>
        <v>140700000</v>
      </c>
      <c r="T2" s="50"/>
      <c r="U2" s="50"/>
      <c r="V2" s="50"/>
      <c r="W2" s="50"/>
      <c r="X2" s="50"/>
      <c r="Y2" s="50"/>
      <c r="Z2" s="50">
        <f>AVERAGE(252700000,104250000)</f>
        <v>178475000</v>
      </c>
      <c r="AA2" s="50"/>
      <c r="AB2" s="50"/>
    </row>
    <row r="3" spans="1:28">
      <c r="A3">
        <v>2</v>
      </c>
      <c r="B3" t="s">
        <v>2251</v>
      </c>
      <c r="C3" t="s">
        <v>451</v>
      </c>
      <c r="D3">
        <v>1</v>
      </c>
      <c r="E3">
        <f>AVERAGE(20000000,4775000)</f>
        <v>12387500</v>
      </c>
      <c r="F3">
        <f>AVERAGE(82350000,35100000,12200000,45050000,24700000,32175000,21100000,8150000)</f>
        <v>32603125</v>
      </c>
      <c r="G3">
        <f>AVERAGE(60525000,48725000,26275000,125575000,71650000)</f>
        <v>66550000</v>
      </c>
      <c r="H3">
        <f>AVERAGE(138200000,15050000,7725000,39250000)</f>
        <v>50056250</v>
      </c>
      <c r="I3">
        <f>AVERAGE(170750000,23875000,5500000,135900000)</f>
        <v>84006250</v>
      </c>
      <c r="J3">
        <f>AVERAGE(55750000,53400000,40650000,127450000,63500000,191900000,52650000,14950000)</f>
        <v>75031250</v>
      </c>
      <c r="K3">
        <f>AVERAGE(102350000,43525000,150200000,62350000)</f>
        <v>89606250</v>
      </c>
      <c r="L3">
        <f>AVERAGE(113100000,75650000,107650000,49500000,70300000,1100000)</f>
        <v>69550000</v>
      </c>
      <c r="M3">
        <f>AVERAGE(188950000,105250000,7050000,79500000,61200000)</f>
        <v>88390000</v>
      </c>
      <c r="N3">
        <f>AVERAGE(10925000,31000000,17975000,10475000)</f>
        <v>17593750</v>
      </c>
      <c r="O3">
        <f>AVERAGE(117100000,16500000)</f>
        <v>66800000</v>
      </c>
      <c r="Q3">
        <f>AVERAGE(7450000,900000)</f>
        <v>4175000</v>
      </c>
      <c r="R3">
        <f>AVERAGE(4750000,403750000)</f>
        <v>204250000</v>
      </c>
      <c r="S3" s="51">
        <f>AVERAGE(226800000,1500000,600450000)</f>
        <v>276250000</v>
      </c>
      <c r="T3">
        <f>38750000</f>
        <v>38750000</v>
      </c>
      <c r="U3">
        <f>AVERAGE(12950000,206725000,169300000)</f>
        <v>129658333.33333333</v>
      </c>
      <c r="V3">
        <f>289775000</f>
        <v>289775000</v>
      </c>
      <c r="W3">
        <f>AVERAGE(13900000,31980000)</f>
        <v>22940000</v>
      </c>
      <c r="Y3">
        <f>3250000</f>
        <v>3250000</v>
      </c>
      <c r="AA3">
        <f>AVERAGE(299875000,223125000)</f>
        <v>261500000</v>
      </c>
    </row>
    <row r="4" spans="1:28">
      <c r="A4">
        <v>3</v>
      </c>
      <c r="B4" t="s">
        <v>2251</v>
      </c>
      <c r="C4" t="s">
        <v>429</v>
      </c>
      <c r="D4">
        <v>1</v>
      </c>
      <c r="E4">
        <f>AVERAGE(28485000,13875000)</f>
        <v>21180000</v>
      </c>
      <c r="F4">
        <f>AVERAGE(63325000,13900000,64525000,70900000)</f>
        <v>53162500</v>
      </c>
      <c r="G4">
        <f>AVERAGE(58975000,57525000,50800000,62500000)</f>
        <v>57450000</v>
      </c>
      <c r="H4">
        <f>AVERAGE(60250000,99125000,90900000)</f>
        <v>83425000</v>
      </c>
      <c r="I4">
        <f>AVERAGE(60500000,249325000)</f>
        <v>154912500</v>
      </c>
      <c r="J4">
        <f>AVERAGE(131000000,215050000,42175000)</f>
        <v>129408333.33333333</v>
      </c>
      <c r="K4">
        <f>AVERAGE(161900000,100650000,139650000,89450000,32950000,36450000)</f>
        <v>93508333.333333328</v>
      </c>
      <c r="L4">
        <f>AVERAGE(69500000,106850000)</f>
        <v>88175000</v>
      </c>
      <c r="M4">
        <f>AVERAGE(77550000,158700000,30425000)</f>
        <v>88891666.666666672</v>
      </c>
      <c r="N4">
        <f>AVERAGE(138250000,120500000,74450000,114400000)</f>
        <v>111900000</v>
      </c>
      <c r="O4">
        <f>AVERAGE(144850000,174600000,31450000,104750000,43500000,110000000,176400000)</f>
        <v>112221428.57142857</v>
      </c>
      <c r="P4">
        <f>AVERAGE(257900000,202800000,25400000)</f>
        <v>162033333.33333334</v>
      </c>
      <c r="Q4">
        <f>AVERAGE(65750000,41400000,9750000,71550000,190900000,28650000,156600000,66200000)</f>
        <v>78850000</v>
      </c>
      <c r="R4">
        <f>AVERAGE(293250000,232200000)</f>
        <v>262725000</v>
      </c>
      <c r="S4">
        <f>AVERAGE(185650000,73925000)</f>
        <v>129787500</v>
      </c>
      <c r="T4">
        <f>AVERAGE(127450000,203000000,209800000,20050000)</f>
        <v>140075000</v>
      </c>
      <c r="U4">
        <f>AVERAGE(414075000,256925000)</f>
        <v>335500000</v>
      </c>
      <c r="V4">
        <f>AVERAGE(290775000,923750000,582650000,130750000,1080600000,35675000)</f>
        <v>507366666.66666669</v>
      </c>
      <c r="W4">
        <f>AVERAGE(282125000,983800000,333425000)</f>
        <v>533116666.66666669</v>
      </c>
      <c r="X4">
        <f>AVERAGE(159150000,1000525000,886800000)</f>
        <v>682158333.33333337</v>
      </c>
      <c r="Y4">
        <f>AVERAGE(424700000,550850000)</f>
        <v>487775000</v>
      </c>
      <c r="Z4">
        <f>AVERAGE(1401500000,574400000)</f>
        <v>987950000</v>
      </c>
      <c r="AA4">
        <f>686650000</f>
        <v>686650000</v>
      </c>
      <c r="AB4">
        <f>848350000</f>
        <v>848350000</v>
      </c>
    </row>
    <row r="5" spans="1:28">
      <c r="A5">
        <v>4</v>
      </c>
      <c r="B5" t="s">
        <v>2251</v>
      </c>
      <c r="C5" t="s">
        <v>442</v>
      </c>
      <c r="D5">
        <v>1</v>
      </c>
      <c r="F5">
        <f>AVERAGE(71575000,52975000,69925000,32250000)</f>
        <v>56681250</v>
      </c>
      <c r="G5">
        <f>85750000</f>
        <v>85750000</v>
      </c>
      <c r="H5">
        <f>AVERAGE(56800000,69575000,31200000)</f>
        <v>52525000</v>
      </c>
      <c r="I5">
        <f>AVERAGE(140950000,113200000,135900000)</f>
        <v>130016666.66666667</v>
      </c>
      <c r="J5">
        <f>AVERAGE(20550000,80250000,40450000)</f>
        <v>47083333.333333336</v>
      </c>
      <c r="K5">
        <f>AVERAGE(170300000,255800000,214950000)</f>
        <v>213683333.33333334</v>
      </c>
      <c r="L5">
        <f>AVERAGE(44000000,133000000,147860000,11450000)</f>
        <v>84077500</v>
      </c>
      <c r="M5">
        <f>AVERAGE(158700000,107500000)</f>
        <v>133100000</v>
      </c>
      <c r="N5">
        <f>AVERAGE(61550000,59950000)</f>
        <v>60750000</v>
      </c>
      <c r="O5">
        <f>AVERAGE(68200000,25900000)</f>
        <v>47050000</v>
      </c>
      <c r="P5">
        <f>118150000</f>
        <v>118150000</v>
      </c>
      <c r="Q5">
        <f>AVERAGE(169700000,20775000,447200000,66400000)</f>
        <v>176018750</v>
      </c>
      <c r="R5">
        <f>141250000</f>
        <v>141250000</v>
      </c>
      <c r="S5">
        <f>AVERAGE(226800000,701500000)</f>
        <v>464150000</v>
      </c>
      <c r="T5">
        <f>AVERAGE(53050000,608300000,293500000,168900000)</f>
        <v>280937500</v>
      </c>
      <c r="V5">
        <f>284750000</f>
        <v>284750000</v>
      </c>
      <c r="X5">
        <f>159150000</f>
        <v>159150000</v>
      </c>
      <c r="Y5">
        <f>AVERAGE(934850000,535950000)</f>
        <v>735400000</v>
      </c>
      <c r="AA5">
        <f>AVERAGE(750525000,959250000)</f>
        <v>854887500</v>
      </c>
    </row>
    <row r="6" spans="1:28">
      <c r="A6">
        <v>5</v>
      </c>
      <c r="B6" t="s">
        <v>2251</v>
      </c>
      <c r="C6" t="s">
        <v>397</v>
      </c>
      <c r="D6">
        <v>1</v>
      </c>
      <c r="E6">
        <f>14525000</f>
        <v>14525000</v>
      </c>
      <c r="F6">
        <f>AVERAGE(46100000,57200000,24475000,120125000,78825000,30850000,7875000,70900000,8175000,31750000,30150000)</f>
        <v>46038636.363636367</v>
      </c>
      <c r="G6">
        <f>AVERAGE(17325000,42175000,12675000,93950000)</f>
        <v>41531250</v>
      </c>
      <c r="H6">
        <f>AVERAGE(61950000,143850000,66075000)</f>
        <v>90625000</v>
      </c>
      <c r="I6">
        <f>AVERAGE(51550000,37125000,33600000,32625000,93650000,54700000)</f>
        <v>50541666.666666664</v>
      </c>
      <c r="J6">
        <f>AVERAGE(51800000,28300000,48500000)</f>
        <v>42866666.666666664</v>
      </c>
      <c r="K6">
        <f>AVERAGE(55950000,88800000,27425000,59700000,106450000)</f>
        <v>67665000</v>
      </c>
      <c r="L6">
        <f>AVERAGE(123550000,140200000,575500000)</f>
        <v>279750000</v>
      </c>
      <c r="M6">
        <f>AVERAGE(177800000,170400000)</f>
        <v>174100000</v>
      </c>
      <c r="N6">
        <f>AVERAGE(89300000,174800000,160150000,107250000)</f>
        <v>132875000</v>
      </c>
      <c r="O6">
        <f>AVERAGE(78600000,159350000)</f>
        <v>118975000</v>
      </c>
      <c r="P6">
        <f>AVERAGE(257900000,11950000,92650000,2675000,291100000,5950000,155800000,115600000)</f>
        <v>116703125</v>
      </c>
      <c r="Q6">
        <f>AVERAGE(65750000,169700000,202500000,290000000,151700000,87700000)</f>
        <v>161225000</v>
      </c>
      <c r="R6">
        <f>AVERAGE(85850000,24200000,141250000,408100000,251250000,403750000)</f>
        <v>219066666.66666666</v>
      </c>
      <c r="S6">
        <f>AVERAGE(372900000,471200000,490950000,701500000)</f>
        <v>509137500</v>
      </c>
      <c r="T6">
        <f>AVERAGE(293500000,679050000)</f>
        <v>486275000</v>
      </c>
      <c r="U6">
        <f>AVERAGE(294550000,154075000,470900000,385450000,481475000)</f>
        <v>357290000</v>
      </c>
      <c r="V6">
        <f>AVERAGE(722475000,391325000,281250000,605725000)</f>
        <v>500193750</v>
      </c>
      <c r="W6">
        <f>AVERAGE(328100000,450325000,459200000)</f>
        <v>412541666.66666669</v>
      </c>
      <c r="X6">
        <f>AVERAGE(1117925000,1312150000,814350000,645450000)</f>
        <v>972468750</v>
      </c>
      <c r="Y6">
        <f>AVERAGE(654750000,584900000,498900000)</f>
        <v>579516666.66666663</v>
      </c>
      <c r="Z6">
        <f>AVERAGE(1124400000,642950000,183450000)</f>
        <v>650266666.66666663</v>
      </c>
      <c r="AA6">
        <f>AVERAGE(868550000,706550000,710750000)</f>
        <v>761950000</v>
      </c>
      <c r="AB6">
        <f>AVERAGE(1234650000,1080725000,1244500000)</f>
        <v>1186625000</v>
      </c>
    </row>
    <row r="7" spans="1:28">
      <c r="A7">
        <v>6</v>
      </c>
      <c r="B7" t="s">
        <v>2251</v>
      </c>
      <c r="C7" s="17" t="s">
        <v>724</v>
      </c>
      <c r="D7" s="17">
        <v>1</v>
      </c>
      <c r="F7">
        <f>AVERAGE(37625000,17550000,10525000,39300000,8125000,8450000)</f>
        <v>20262500</v>
      </c>
      <c r="G7">
        <f>AVERAGE(12650000,60625000,52075000)</f>
        <v>41783333.333333336</v>
      </c>
      <c r="H7">
        <f>AVERAGE(77450000,62800000)</f>
        <v>70125000</v>
      </c>
      <c r="I7">
        <f>7325000</f>
        <v>7325000</v>
      </c>
      <c r="K7">
        <f>15600000</f>
        <v>15600000</v>
      </c>
      <c r="L7">
        <f>AVERAGE(11450000,106850000)</f>
        <v>59150000</v>
      </c>
      <c r="M7">
        <f>50400000</f>
        <v>50400000</v>
      </c>
      <c r="N7" s="21">
        <f>54900000</f>
        <v>54900000</v>
      </c>
      <c r="P7">
        <f>216350000</f>
        <v>216350000</v>
      </c>
      <c r="Q7">
        <f>9250000</f>
        <v>9250000</v>
      </c>
      <c r="R7">
        <f>AVERAGE(518700000,2425000)</f>
        <v>260562500</v>
      </c>
      <c r="S7">
        <f>372900000</f>
        <v>372900000</v>
      </c>
      <c r="U7">
        <f>AVERAGE(216700000,122500000,306950000,56650000,665600000,925000)</f>
        <v>228220833.33333334</v>
      </c>
      <c r="V7">
        <f>AVERAGE(5150000,42275000)</f>
        <v>23712500</v>
      </c>
      <c r="W7">
        <f>AVERAGE(328100000,8985000)</f>
        <v>168542500</v>
      </c>
      <c r="X7">
        <f>AVERAGE(1199825000,1117925000,629400000)</f>
        <v>982383333.33333337</v>
      </c>
      <c r="Y7">
        <f>AVERAGE(421600000,227425000,184200000,462600000,568250000)</f>
        <v>372815000</v>
      </c>
      <c r="Z7">
        <f>AVERAGE(139400000,38900000)</f>
        <v>89150000</v>
      </c>
      <c r="AA7">
        <f>AVERAGE(125325000,5205000)</f>
        <v>65265000</v>
      </c>
      <c r="AB7">
        <f>693750000</f>
        <v>693750000</v>
      </c>
    </row>
    <row r="8" spans="1:28">
      <c r="A8">
        <v>7</v>
      </c>
      <c r="B8" t="s">
        <v>2251</v>
      </c>
      <c r="C8" s="17" t="s">
        <v>79</v>
      </c>
      <c r="D8" s="17">
        <v>1</v>
      </c>
      <c r="F8">
        <f>AVERAGE(63325000,39275000,120125000,48125000,30150000)</f>
        <v>60200000</v>
      </c>
      <c r="G8">
        <f>AVERAGE(38225000,37750000,26900000,40900000)</f>
        <v>35943750</v>
      </c>
      <c r="H8">
        <f>AVERAGE(26575000,20925000,90350000,48000000,66075000,66150000)</f>
        <v>53012500</v>
      </c>
      <c r="I8">
        <f>AVERAGE(394550000,43600000,35750000,84000000,26850000,61000000)</f>
        <v>107625000</v>
      </c>
      <c r="J8">
        <f>AVERAGE(63100000,23000000)</f>
        <v>43050000</v>
      </c>
      <c r="K8">
        <f>AVERAGE(45875000,17275000,10250000)</f>
        <v>24466666.666666668</v>
      </c>
      <c r="L8">
        <f>AVERAGE(123550000,170800000,80950000,140200000)</f>
        <v>128875000</v>
      </c>
      <c r="M8">
        <f>AVERAGE(50400000,37050000,33150000,19200000,38700000,9675000)</f>
        <v>31362500</v>
      </c>
      <c r="N8">
        <f>AVERAGE(160150000,107250000,30000000,86950000,11550000,204500000)</f>
        <v>100066666.66666667</v>
      </c>
      <c r="O8">
        <f>AVERAGE(28050000,6050000,174600000,69850000,176400000)</f>
        <v>90990000</v>
      </c>
      <c r="P8">
        <f>AVERAGE(58950000,362000000,47950000,92650000,53400000,21150000,202900000)</f>
        <v>119857142.85714285</v>
      </c>
      <c r="Q8">
        <f>AVERAGE(16300000,41400000,128450000,232900000,66400000,151700000)</f>
        <v>106191666.66666667</v>
      </c>
      <c r="R8">
        <f>AVERAGE(54800000,101950000,137450000,408100000,63850000,74250000,144000000)</f>
        <v>140628571.42857143</v>
      </c>
      <c r="S8">
        <f>AVERAGE(297250000,185650000)</f>
        <v>241450000</v>
      </c>
      <c r="T8">
        <f>AVERAGE(171200000,28075000,63450000,1625000)</f>
        <v>66087500</v>
      </c>
      <c r="U8">
        <f>AVERAGE(44425000,481475000)</f>
        <v>262950000</v>
      </c>
      <c r="V8">
        <f>AVERAGE(21050000,14225000,2800000,284750000)</f>
        <v>80706250</v>
      </c>
      <c r="W8">
        <f>AVERAGE(450325000,31980000)</f>
        <v>241152500</v>
      </c>
      <c r="X8">
        <f>1800000</f>
        <v>1800000</v>
      </c>
      <c r="Y8">
        <f>16675000</f>
        <v>16675000</v>
      </c>
      <c r="Z8">
        <f>AVERAGE(16825000,18550000)</f>
        <v>17687500</v>
      </c>
      <c r="AA8">
        <f>125000</f>
        <v>125000</v>
      </c>
    </row>
    <row r="9" spans="1:28" s="37" customFormat="1">
      <c r="A9" s="37">
        <v>8</v>
      </c>
      <c r="B9" s="37" t="s">
        <v>2251</v>
      </c>
      <c r="C9" s="37" t="s">
        <v>555</v>
      </c>
      <c r="D9" s="37">
        <v>1</v>
      </c>
      <c r="E9" s="37">
        <f>AVERAGE(30900000,23025000)</f>
        <v>26962500</v>
      </c>
      <c r="F9" s="37">
        <f>AVERAGE(8650000,36100000,30900000,21500000,23625000,24000000,31450000)</f>
        <v>25175000</v>
      </c>
      <c r="G9" s="37">
        <f>AVERAGE(30525000,24975000,52200000,31350000,46925000,18425000)</f>
        <v>34066666.666666664</v>
      </c>
      <c r="H9" s="37">
        <f>AVERAGE(60250000,43950000,30775000,24225000,25200000,20975000)</f>
        <v>34229166.666666664</v>
      </c>
      <c r="I9" s="37">
        <f>AVERAGE(27325000,25100000,13375000,26600000,19400000,23000000,49500000)</f>
        <v>26328571.428571429</v>
      </c>
      <c r="J9" s="37">
        <f>AVERAGE(31750000,15050000,25575000,35825000,18350000,100000,19400000,22875000,15300000,17650000,28400000,21350000,12500000,10200000,8900000)</f>
        <v>18881666.666666668</v>
      </c>
      <c r="K9" s="37">
        <f>AVERAGE(6850000,26150000,11500000,4300000,9750000,14925000,12500000,14025000,10050000,17775000,8475000,14150000,9450000,7550000)</f>
        <v>11960714.285714285</v>
      </c>
      <c r="L9" s="37">
        <f>AVERAGE(8925000,13775000,7800000,7850000,10150000,6025000,6600000,9800000)</f>
        <v>8865625</v>
      </c>
      <c r="M9" s="37">
        <f>AVERAGE(6950000,3550000,8650000,9850000,6350000,2625000,6450000,5800000)</f>
        <v>6278125</v>
      </c>
      <c r="N9" s="37">
        <f>AVERAGE(5150000,1925000,3275000,6200000)</f>
        <v>4137500</v>
      </c>
      <c r="O9" s="37">
        <f>3250000</f>
        <v>3250000</v>
      </c>
      <c r="Q9" s="37">
        <f>AVERAGE(75150000,2950000,7100000,159400000)</f>
        <v>61150000</v>
      </c>
      <c r="R9" s="52">
        <f>AVERAGE(13200000,1750000,50000,23100000)</f>
        <v>9525000</v>
      </c>
      <c r="S9" s="37">
        <f>454900000</f>
        <v>454900000</v>
      </c>
      <c r="T9" s="37">
        <f>AVERAGE(7275000,5950000,34900000)</f>
        <v>16041666.666666666</v>
      </c>
      <c r="U9" s="37">
        <f>AVERAGE(294550000,1975000,210325000,400000,14200000)</f>
        <v>104290000</v>
      </c>
      <c r="V9" s="37">
        <f>AVERAGE(381400000,1080600000)</f>
        <v>731000000</v>
      </c>
      <c r="X9" s="37">
        <f>AVERAGE(1675000,1117925000,814350000,645450000)</f>
        <v>644850000</v>
      </c>
      <c r="Y9" s="37">
        <f>AVERAGE(16675000,498900000)</f>
        <v>257787500</v>
      </c>
      <c r="Z9" s="37">
        <f>AVERAGE(38900000,2116300000)</f>
        <v>1077600000</v>
      </c>
      <c r="AA9" s="37">
        <f>35350000</f>
        <v>35350000</v>
      </c>
    </row>
    <row r="10" spans="1:28" s="37" customFormat="1">
      <c r="A10" s="37">
        <v>9</v>
      </c>
      <c r="B10" s="37" t="s">
        <v>2251</v>
      </c>
      <c r="C10" s="37" t="s">
        <v>58</v>
      </c>
      <c r="D10" s="37">
        <v>1</v>
      </c>
      <c r="E10" s="37">
        <f>107375000</f>
        <v>107375000</v>
      </c>
      <c r="F10" s="37">
        <f>AVERAGE(38750000,49850000)</f>
        <v>44300000</v>
      </c>
      <c r="G10" s="37">
        <f>AVERAGE(252850000,46700000,17775000,25450000,533125000,86075000,85750000)</f>
        <v>149675000</v>
      </c>
      <c r="H10" s="37">
        <f>AVERAGE(37800000,68700000,65850000)</f>
        <v>57450000</v>
      </c>
      <c r="I10" s="37">
        <f>AVERAGE(148800000,113300000,228300000,349700000)</f>
        <v>210025000</v>
      </c>
      <c r="J10" s="37">
        <f>AVERAGE(101700000,107650000,468650000)</f>
        <v>226000000</v>
      </c>
      <c r="K10" s="37">
        <f>148700000</f>
        <v>148700000</v>
      </c>
      <c r="L10" s="37">
        <f>AVERAGE(107450000,53200000,178300000,418800000)</f>
        <v>189437500</v>
      </c>
      <c r="M10" s="37">
        <f>AVERAGE(66350000,115400000,556500000)</f>
        <v>246083333.33333334</v>
      </c>
      <c r="N10" s="37">
        <f>AVERAGEA(135200000,416550000)</f>
        <v>275875000</v>
      </c>
      <c r="O10" s="37">
        <f>AVERAGE(194400000,385500000)</f>
        <v>289950000</v>
      </c>
      <c r="P10" s="37">
        <f>AVERAGE(5700000,362000000,418600000,163100000)</f>
        <v>237350000</v>
      </c>
      <c r="Q10" s="37">
        <f>128450000</f>
        <v>128450000</v>
      </c>
      <c r="R10" s="37">
        <f>AVERAGE(444050000,503450000)</f>
        <v>473750000</v>
      </c>
      <c r="S10" s="37">
        <f>AVERAGE(665400000,781650000)</f>
        <v>723525000</v>
      </c>
      <c r="T10" s="37">
        <f>846800000</f>
        <v>846800000</v>
      </c>
      <c r="U10" s="37">
        <f>229150000</f>
        <v>229150000</v>
      </c>
      <c r="V10" s="37">
        <f>728250000</f>
        <v>728250000</v>
      </c>
      <c r="W10" s="37">
        <f>AVERAGE(1139475000,1064400000)</f>
        <v>1101937500</v>
      </c>
      <c r="X10" s="37">
        <f>1015900000</f>
        <v>1015900000</v>
      </c>
      <c r="Y10" s="37">
        <f>2076900000</f>
        <v>2076900000</v>
      </c>
      <c r="Z10" s="37">
        <f>1784100000</f>
        <v>1784100000</v>
      </c>
      <c r="AA10" s="37">
        <f>1399750000</f>
        <v>1399750000</v>
      </c>
      <c r="AB10" s="37">
        <f>AVERAGE(840325000,664675000)</f>
        <v>752500000</v>
      </c>
    </row>
    <row r="11" spans="1:28" hidden="1">
      <c r="C11" s="17" t="s">
        <v>736</v>
      </c>
      <c r="D11">
        <v>0</v>
      </c>
    </row>
    <row r="12" spans="1:28" s="37" customFormat="1">
      <c r="A12" s="37">
        <v>10</v>
      </c>
      <c r="B12" s="37" t="s">
        <v>2251</v>
      </c>
      <c r="C12" s="37" t="s">
        <v>511</v>
      </c>
      <c r="D12" s="37">
        <v>1</v>
      </c>
      <c r="F12" s="37">
        <f>AVERAGE(40625000,10875000,64250000,30850000)</f>
        <v>36650000</v>
      </c>
      <c r="G12" s="37">
        <f>AVERAGE(60525000,48100000)</f>
        <v>54312500</v>
      </c>
      <c r="H12" s="37">
        <f>AVERAGE(30900000,3150000)</f>
        <v>17025000</v>
      </c>
      <c r="I12" s="37">
        <f>AVERAGE(52550000,81950000)</f>
        <v>67250000</v>
      </c>
      <c r="K12" s="37">
        <f>AVERAGE(114500000,75950000,15050000,150200000,114200000,85600000)</f>
        <v>92583333.333333328</v>
      </c>
      <c r="L12" s="37">
        <f>AVERAGE(57100000,36450000,116500000,65750000,229850000,111500000)</f>
        <v>102858333.33333333</v>
      </c>
      <c r="M12" s="37">
        <f>188950000</f>
        <v>188950000</v>
      </c>
      <c r="N12" s="37">
        <f>AVERAGE(47900000,120500000,53450000,30000000,204500000)</f>
        <v>91270000</v>
      </c>
      <c r="O12" s="37">
        <f>AVERAGE(117100000,231300000,176400000)</f>
        <v>174933333.33333334</v>
      </c>
      <c r="P12" s="37">
        <f>AVERAGE(64050000,58950000,132400000,53400000,118150000)</f>
        <v>85390000</v>
      </c>
      <c r="Q12" s="37">
        <f>AVERAGE(54700000,167875000,232900000,100700000,114850000,58400000)</f>
        <v>121570833.33333333</v>
      </c>
      <c r="R12" s="37">
        <f>AVERAGE(101700000,19350000,61700000,748800000)</f>
        <v>232887500</v>
      </c>
      <c r="S12" s="37">
        <f>AVERAGE(188750000,32900000,6700000,297250000,325125000)</f>
        <v>170145000</v>
      </c>
      <c r="T12" s="37">
        <f>AVERAGE(20050000,204950000,50275000)</f>
        <v>91758333.333333328</v>
      </c>
      <c r="U12" s="37">
        <f>AVERAGE(210325000,385450000,414075000,59125000)</f>
        <v>267243750</v>
      </c>
      <c r="V12" s="37">
        <f>AVERAGE(85750000,62475000,284750000)</f>
        <v>144325000</v>
      </c>
      <c r="W12" s="37">
        <f>AVERAGE(450550000,23300000,333425000)</f>
        <v>269091666.66666669</v>
      </c>
      <c r="X12" s="37">
        <f>AVERAGE(1199825000,118900000,886800000)</f>
        <v>735175000</v>
      </c>
      <c r="Y12" s="37">
        <f>AVERAGE(156550000,148650000,130700000)</f>
        <v>145300000</v>
      </c>
      <c r="Z12" s="37">
        <f>AVERAGE(164550000,3377250000)</f>
        <v>1770900000</v>
      </c>
    </row>
    <row r="13" spans="1:28" s="37" customFormat="1">
      <c r="A13" s="37">
        <v>11</v>
      </c>
      <c r="B13" s="37" t="s">
        <v>2251</v>
      </c>
      <c r="C13" s="37" t="s">
        <v>1588</v>
      </c>
      <c r="D13" s="37">
        <v>1</v>
      </c>
      <c r="E13" s="37">
        <f>AVERAGE(21935000,15187500,16300000)</f>
        <v>17807500</v>
      </c>
      <c r="F13" s="37">
        <f>AVERAGE(15412500,10550000,8450000)</f>
        <v>11470833.333333334</v>
      </c>
      <c r="G13" s="37">
        <f>AVERAGE(11250000,9200000,46700000,4175000,16700000)</f>
        <v>17605000</v>
      </c>
      <c r="H13" s="37">
        <f>AVERAGE(7025000,2900000,52550000,4325000,35750000,6450000,800000)</f>
        <v>15685714.285714285</v>
      </c>
      <c r="K13" s="37">
        <f>3500000</f>
        <v>3500000</v>
      </c>
      <c r="M13" s="37">
        <f>1000000</f>
        <v>1000000</v>
      </c>
      <c r="Q13" s="53">
        <f>475000</f>
        <v>475000</v>
      </c>
    </row>
    <row r="14" spans="1:28" s="37" customFormat="1">
      <c r="A14" s="37">
        <v>12</v>
      </c>
      <c r="B14" s="37" t="s">
        <v>2251</v>
      </c>
      <c r="C14" s="37" t="s">
        <v>468</v>
      </c>
      <c r="D14" s="37">
        <v>1</v>
      </c>
      <c r="F14" s="37">
        <f>AVERAGE(15750000,17450000)</f>
        <v>16600000</v>
      </c>
      <c r="G14" s="37">
        <f>AVERAGE(42175000,18450000,37375000,14850000,9200000,16975000,16700000,6700000)</f>
        <v>20303125</v>
      </c>
      <c r="H14" s="37">
        <f>AVERAGE(8725000,4075000,31975000,11950000,30075000)</f>
        <v>17360000</v>
      </c>
      <c r="I14" s="37">
        <f>AVERAGE(8500000,5225000,22525000,6450000,23000000)</f>
        <v>13140000</v>
      </c>
      <c r="J14" s="37">
        <f>AVERAGE(15000000,15000000,5225000,5900000)</f>
        <v>10281250</v>
      </c>
      <c r="K14" s="37">
        <f>AVERAGE(3725000,1800000,12900000)</f>
        <v>6141666.666666667</v>
      </c>
      <c r="L14" s="37">
        <f>AVERAGE(8300000,1000000,3075000,5400000,1400000,1300000,2525000)</f>
        <v>3285714.2857142859</v>
      </c>
      <c r="M14" s="37">
        <f>AVERAGE(2800000,1650000,2350000,4400000,1850000,1300000)</f>
        <v>2391666.6666666665</v>
      </c>
      <c r="O14" s="37">
        <f>2000000</f>
        <v>2000000</v>
      </c>
      <c r="P14" s="37">
        <f>16950000</f>
        <v>16950000</v>
      </c>
      <c r="S14" s="37">
        <f>AVERAGE(158325000,220650000,40500000)</f>
        <v>139825000</v>
      </c>
      <c r="W14" s="37">
        <f>AVERAGE(549375000,8985000)</f>
        <v>279180000</v>
      </c>
      <c r="Y14" s="37">
        <f>307700000</f>
        <v>307700000</v>
      </c>
      <c r="AA14" s="37">
        <f>24800000</f>
        <v>24800000</v>
      </c>
    </row>
    <row r="15" spans="1:28" hidden="1">
      <c r="C15" s="17" t="s">
        <v>426</v>
      </c>
      <c r="D15">
        <v>0</v>
      </c>
    </row>
    <row r="16" spans="1:28" s="54" customFormat="1">
      <c r="A16" s="54">
        <v>13</v>
      </c>
      <c r="B16" s="37" t="s">
        <v>2251</v>
      </c>
      <c r="C16" s="54" t="s">
        <v>435</v>
      </c>
      <c r="D16" s="54">
        <v>1</v>
      </c>
      <c r="F16" s="37"/>
      <c r="G16" s="54">
        <f>191850000</f>
        <v>191850000</v>
      </c>
      <c r="I16" s="54">
        <f>AVERAGE(182300000,72550000)</f>
        <v>127425000</v>
      </c>
      <c r="J16" s="54">
        <f>AVERAGE(68200000,213700000)</f>
        <v>140950000</v>
      </c>
      <c r="K16" s="54">
        <f>105050000</f>
        <v>105050000</v>
      </c>
      <c r="L16" s="54">
        <f>AVERAGE(153800000,50000000,106900000)</f>
        <v>103566666.66666667</v>
      </c>
      <c r="M16" s="54">
        <f>AVERAGE(103400000,170400000)</f>
        <v>136900000</v>
      </c>
      <c r="N16" s="54">
        <f>AVERAGE(61900000,76000000,165900000,76550000)</f>
        <v>95087500</v>
      </c>
      <c r="P16" s="54">
        <f>AVERAGE(49100000,29650000,115600000)</f>
        <v>64783333.333333336</v>
      </c>
      <c r="Q16" s="54">
        <f>AVERAGE(42350000,71550000,99100000,87700000)</f>
        <v>75175000</v>
      </c>
      <c r="R16" s="54">
        <f>10225000</f>
        <v>10225000</v>
      </c>
      <c r="S16" s="54">
        <f>AVERAGE(67750000,272700000,220650000,126900000,4230000)</f>
        <v>138446000</v>
      </c>
      <c r="T16" s="54">
        <f>19750000</f>
        <v>19750000</v>
      </c>
      <c r="U16" s="54">
        <f>AVERAGE(63050000,8025000)</f>
        <v>35537500</v>
      </c>
      <c r="V16" s="54">
        <f>22900000</f>
        <v>22900000</v>
      </c>
      <c r="W16" s="54">
        <f>AVERAGE(549375000,450325000)</f>
        <v>499850000</v>
      </c>
      <c r="X16" s="54">
        <f>299025000</f>
        <v>299025000</v>
      </c>
      <c r="Y16" s="54">
        <f>307700000</f>
        <v>307700000</v>
      </c>
    </row>
    <row r="17" spans="1:28" s="37" customFormat="1">
      <c r="A17" s="37">
        <v>14</v>
      </c>
      <c r="B17" s="37" t="s">
        <v>2251</v>
      </c>
      <c r="C17" s="37" t="s">
        <v>459</v>
      </c>
      <c r="D17" s="37">
        <v>1</v>
      </c>
      <c r="F17" s="37">
        <f>7237500</f>
        <v>7237500</v>
      </c>
      <c r="G17" s="37">
        <f>AVERAGE(10450000,18125000)</f>
        <v>14287500</v>
      </c>
      <c r="H17" s="37">
        <f>AVERAGE(1900000,143850000)</f>
        <v>72875000</v>
      </c>
      <c r="I17" s="37">
        <f>AVERAGE(31600000,13850000)</f>
        <v>22725000</v>
      </c>
      <c r="J17" s="37">
        <f>27900000</f>
        <v>27900000</v>
      </c>
      <c r="K17" s="37">
        <f>3500000</f>
        <v>3500000</v>
      </c>
      <c r="L17" s="37">
        <f>44000000</f>
        <v>44000000</v>
      </c>
      <c r="M17" s="37">
        <f>AVERAGE(34750000,3950000,3700000,158700000)</f>
        <v>50275000</v>
      </c>
      <c r="N17" s="37">
        <f>86850000</f>
        <v>86850000</v>
      </c>
      <c r="O17" s="37">
        <f>AVERAGE(144850000,471950000)</f>
        <v>308400000</v>
      </c>
      <c r="Q17" s="37">
        <f>36700000</f>
        <v>36700000</v>
      </c>
      <c r="R17" s="37">
        <f>721550000</f>
        <v>721550000</v>
      </c>
      <c r="S17" s="37">
        <f>AVERAGE(2450000,2850000)</f>
        <v>2650000</v>
      </c>
      <c r="U17" s="37">
        <f>5150000</f>
        <v>5150000</v>
      </c>
      <c r="Z17" s="37">
        <f>25450000</f>
        <v>25450000</v>
      </c>
    </row>
    <row r="18" spans="1:28" s="37" customFormat="1">
      <c r="A18" s="37">
        <v>15</v>
      </c>
      <c r="B18" s="37" t="s">
        <v>2251</v>
      </c>
      <c r="C18" s="37" t="s">
        <v>1735</v>
      </c>
      <c r="D18" s="37">
        <v>1</v>
      </c>
      <c r="G18" s="37">
        <f>32300000</f>
        <v>32300000</v>
      </c>
      <c r="H18" s="37">
        <f>31200000</f>
        <v>31200000</v>
      </c>
      <c r="J18" s="37">
        <f>AVERAGE(28300000,42175000)</f>
        <v>35237500</v>
      </c>
      <c r="N18" s="37">
        <f>17100000</f>
        <v>17100000</v>
      </c>
      <c r="O18" s="37">
        <f>176400000</f>
        <v>176400000</v>
      </c>
    </row>
    <row r="19" spans="1:28" s="37" customFormat="1">
      <c r="A19" s="37">
        <v>16</v>
      </c>
      <c r="B19" s="37" t="s">
        <v>2251</v>
      </c>
      <c r="C19" s="37" t="s">
        <v>73</v>
      </c>
      <c r="D19" s="37">
        <v>1</v>
      </c>
      <c r="F19" s="37">
        <f>52950000</f>
        <v>52950000</v>
      </c>
      <c r="G19" s="37">
        <f>AVERAGE(50900000,25450000,202200000,70675000)</f>
        <v>87306250</v>
      </c>
      <c r="H19" s="37">
        <f>431450000</f>
        <v>431450000</v>
      </c>
      <c r="I19" s="37">
        <f>249325000</f>
        <v>249325000</v>
      </c>
      <c r="J19" s="37">
        <f>133550000</f>
        <v>133550000</v>
      </c>
      <c r="K19" s="37">
        <f>AVERAGE(187650000,166450000,37955000)</f>
        <v>130685000</v>
      </c>
      <c r="L19" s="37">
        <f>151850000</f>
        <v>151850000</v>
      </c>
      <c r="M19" s="37">
        <f>AVERAGE(343050000,200200000)</f>
        <v>271625000</v>
      </c>
      <c r="Q19" s="37">
        <f>278600000</f>
        <v>278600000</v>
      </c>
      <c r="R19" s="37">
        <f>AVERAGE(530800000,518700000)</f>
        <v>524750000</v>
      </c>
      <c r="S19" s="37">
        <f>618325000</f>
        <v>618325000</v>
      </c>
      <c r="T19" s="37">
        <f>1141000000</f>
        <v>1141000000</v>
      </c>
      <c r="U19" s="37">
        <f>2013725000</f>
        <v>2013725000</v>
      </c>
      <c r="W19" s="37">
        <f>136725000</f>
        <v>136725000</v>
      </c>
      <c r="X19" s="37">
        <f>912350000</f>
        <v>912350000</v>
      </c>
      <c r="Y19" s="37">
        <f>2606300000</f>
        <v>2606300000</v>
      </c>
      <c r="Z19" s="37">
        <f>3377250000</f>
        <v>3377250000</v>
      </c>
      <c r="AB19" s="37">
        <f>3745300000</f>
        <v>3745300000</v>
      </c>
    </row>
    <row r="20" spans="1:28" s="37" customFormat="1">
      <c r="A20" s="37">
        <v>17</v>
      </c>
      <c r="B20" s="37" t="s">
        <v>2251</v>
      </c>
      <c r="C20" s="37" t="s">
        <v>78</v>
      </c>
      <c r="D20" s="37">
        <v>1</v>
      </c>
      <c r="E20" s="37">
        <f>30900000</f>
        <v>30900000</v>
      </c>
      <c r="F20" s="37">
        <f>AVERAGE(13100000,15412500,69925000,13700000)</f>
        <v>28034375</v>
      </c>
      <c r="G20" s="37">
        <f>AVERAGE(18600000,202200000,26700000,85750000)</f>
        <v>83312500</v>
      </c>
      <c r="H20" s="37">
        <f>AVERAGE(41125000,25325000,195200000,30075000)</f>
        <v>72931250</v>
      </c>
      <c r="I20" s="37">
        <f>AVERAGE(24500000,394550000,12900000,49500000)</f>
        <v>120362500</v>
      </c>
      <c r="J20" s="37">
        <f>AVERAGE(13300000,12550000,25425000,18350000,27250000,20550000,28400000,120950000)</f>
        <v>33346875</v>
      </c>
      <c r="K20" s="37">
        <f>AVERAGE(26025000,11500000,75950000,9750000,14925000,12400000)</f>
        <v>25091666.666666668</v>
      </c>
      <c r="L20" s="37">
        <f>AVERAGE(23250000,65750000,170800000,229850000,66950000)</f>
        <v>111320000</v>
      </c>
      <c r="M20" s="37">
        <f>AVERAGE(112650000,8500000,5975000,66350000,3950000,27300000,146450000,158700000)</f>
        <v>66234375</v>
      </c>
      <c r="N20" s="37">
        <f>AVERAGE(47900000,416550000,17100000,100000)</f>
        <v>120412500</v>
      </c>
      <c r="O20" s="37">
        <f>AVERAGE(28050000,117100000,650000,3950000,62300000,18450000)</f>
        <v>38416666.666666664</v>
      </c>
      <c r="P20" s="37">
        <f>AVERAGE(92650000,3750000,202900000)</f>
        <v>99766666.666666672</v>
      </c>
      <c r="Q20" s="37">
        <f>127050000</f>
        <v>127050000</v>
      </c>
      <c r="R20" s="37">
        <f>AVERAGE(225000,675000,66100000,1300000,450000,144000000,403750000)</f>
        <v>88071428.571428567</v>
      </c>
      <c r="S20" s="37">
        <f>AVERAGE(188750000,375000,178225000)</f>
        <v>122450000</v>
      </c>
      <c r="T20" s="37">
        <f>AVERAGE(1025000,400000,1625000,17425000)</f>
        <v>5118750</v>
      </c>
      <c r="U20" s="37">
        <f>AVERAGE(254950000,63050000,1675000,325000,17700000)</f>
        <v>67540000</v>
      </c>
      <c r="V20" s="37">
        <f>AVERAGE(381400000,3155000,1000000,775000,110000)</f>
        <v>77288000</v>
      </c>
      <c r="W20" s="37">
        <f>AVERAGE(200000,400000,550000,11950000,575000,420000)</f>
        <v>2349166.6666666665</v>
      </c>
      <c r="X20" s="37">
        <f>AVERAGE(1575000,1400000,3725000)</f>
        <v>2233333.3333333335</v>
      </c>
      <c r="Y20" s="37">
        <f>AVERAGE(227425000,2606300000)</f>
        <v>1416862500</v>
      </c>
      <c r="Z20" s="37">
        <f>AVERAGE(17875000,1650000,1784100000)</f>
        <v>601208333.33333337</v>
      </c>
      <c r="AA20" s="37">
        <f>AVERAGE(62200000,23950000,350000,706550000,300000,224750000)</f>
        <v>169683333.33333334</v>
      </c>
      <c r="AB20" s="37">
        <f>1080725000</f>
        <v>1080725000</v>
      </c>
    </row>
    <row r="21" spans="1:28" s="37" customFormat="1">
      <c r="A21" s="37">
        <v>18</v>
      </c>
      <c r="B21" s="37" t="s">
        <v>2251</v>
      </c>
      <c r="C21" s="37" t="s">
        <v>77</v>
      </c>
      <c r="D21" s="37">
        <v>1</v>
      </c>
      <c r="E21" s="37">
        <f>107375000</f>
        <v>107375000</v>
      </c>
      <c r="F21" s="37">
        <f>AVERAGE(57575000,30875000)</f>
        <v>44225000</v>
      </c>
      <c r="G21" s="37">
        <f>56450000</f>
        <v>56450000</v>
      </c>
      <c r="H21" s="37">
        <f>AVERAGE(48175000,41125000,161300000,152350000,91800000)</f>
        <v>98950000</v>
      </c>
      <c r="I21" s="37">
        <f>AVERAGE(183850000,394550000,61000000)</f>
        <v>213133333.33333334</v>
      </c>
      <c r="J21" s="37">
        <f>AVERAGE(105600000,93400000)</f>
        <v>99500000</v>
      </c>
      <c r="K21" s="37">
        <f>AVERAGE(68000000,105050000)</f>
        <v>86525000</v>
      </c>
      <c r="L21" s="37">
        <f>84050000</f>
        <v>84050000</v>
      </c>
      <c r="M21" s="37">
        <f>AVERAGE(112650000,768800000,12850000,242150000)</f>
        <v>284112500</v>
      </c>
      <c r="N21" s="37">
        <f>AVERAGE(133150000,76000000,107250000,86950000)</f>
        <v>100837500</v>
      </c>
      <c r="O21" s="37">
        <f>AVERAGE(262250000,71000000,69850000)</f>
        <v>134366666.66666666</v>
      </c>
      <c r="P21" s="37">
        <f>AVERAGE(47950000,14950000)</f>
        <v>31450000</v>
      </c>
      <c r="Q21" s="37">
        <f>82150000</f>
        <v>82150000</v>
      </c>
      <c r="R21" s="37">
        <f>AVERAGE(41550000,66100000)</f>
        <v>53825000</v>
      </c>
      <c r="S21" s="37">
        <f>AVERAGE(49400000,178225000,220650000,24675000)</f>
        <v>118237500</v>
      </c>
      <c r="U21" s="37">
        <f>28650000</f>
        <v>28650000</v>
      </c>
      <c r="V21" s="37">
        <f>AVERAGE(25725000,7600000)</f>
        <v>16662500</v>
      </c>
      <c r="W21" s="37">
        <f>549375000</f>
        <v>549375000</v>
      </c>
      <c r="Y21" s="37">
        <f>AVERAGE(307700000,211600000)</f>
        <v>259650000</v>
      </c>
      <c r="Z21" s="37">
        <f>45800000</f>
        <v>45800000</v>
      </c>
      <c r="AA21" s="37">
        <f>11995000</f>
        <v>11995000</v>
      </c>
      <c r="AB21" s="37">
        <f>268450000</f>
        <v>268450000</v>
      </c>
    </row>
    <row r="22" spans="1:28" hidden="1">
      <c r="C22" s="17" t="s">
        <v>477</v>
      </c>
      <c r="D22">
        <v>0</v>
      </c>
    </row>
    <row r="23" spans="1:28" hidden="1">
      <c r="C23" t="s">
        <v>538</v>
      </c>
      <c r="D23">
        <v>0</v>
      </c>
    </row>
    <row r="24" spans="1:28" hidden="1">
      <c r="C24" t="s">
        <v>460</v>
      </c>
      <c r="D24">
        <v>0</v>
      </c>
    </row>
    <row r="25" spans="1:28" hidden="1">
      <c r="C25" t="s">
        <v>564</v>
      </c>
      <c r="D25">
        <v>0</v>
      </c>
    </row>
    <row r="26" spans="1:28" s="37" customFormat="1">
      <c r="A26" s="37">
        <v>19</v>
      </c>
      <c r="B26" s="37" t="s">
        <v>2251</v>
      </c>
      <c r="C26" s="37" t="s">
        <v>393</v>
      </c>
      <c r="D26" s="37">
        <v>1</v>
      </c>
      <c r="E26" s="37">
        <f>AVERAGE(30875000,57200000,78825000,24000000,14325000)</f>
        <v>41045000</v>
      </c>
      <c r="F26" s="37">
        <f>AVERAGE(38225000,26575000,61950000,35800000)</f>
        <v>40637500</v>
      </c>
      <c r="G26" s="37">
        <f>38225000</f>
        <v>38225000</v>
      </c>
      <c r="H26" s="37">
        <f>AVERAGE(26575000,18375000,61950000,35800000)</f>
        <v>35675000</v>
      </c>
      <c r="I26" s="37">
        <f>AVERAGE(16200000,13850000)</f>
        <v>15025000</v>
      </c>
      <c r="J26" s="37">
        <f>AVERAGE(51800000,23000000)</f>
        <v>37400000</v>
      </c>
      <c r="K26" s="37">
        <f>AVERAGE(161900000,55950000,391750000)</f>
        <v>203200000</v>
      </c>
      <c r="L26" s="37">
        <f>121700000</f>
        <v>121700000</v>
      </c>
      <c r="M26" s="37">
        <f>AVERAGE(55650000,200200000,5,52,0,0)</f>
        <v>42641676.166666664</v>
      </c>
      <c r="N26" s="37">
        <f>81400000</f>
        <v>81400000</v>
      </c>
      <c r="O26" s="37">
        <f>AVERAGE(385500000,176400000)</f>
        <v>280950000</v>
      </c>
      <c r="P26" s="37">
        <f>AVERAGE(46400000,216350000)</f>
        <v>131375000</v>
      </c>
      <c r="Q26" s="37">
        <f>AVERAGE(167875000,261950000)</f>
        <v>214912500</v>
      </c>
      <c r="R26" s="37">
        <f>AVERAGE(39050000,232200000)</f>
        <v>135625000</v>
      </c>
      <c r="S26" s="37">
        <f>AVERAGE(188750000,32900000,384450000)</f>
        <v>202033333.33333334</v>
      </c>
      <c r="T26" s="37">
        <f>AVERAGE(608300000,293500000,216700000)</f>
        <v>372833333.33333331</v>
      </c>
      <c r="U26" s="37">
        <f>AVERAGE(450000,665600000,233450000)</f>
        <v>299833333.33333331</v>
      </c>
      <c r="W26" s="37">
        <f>418900000</f>
        <v>418900000</v>
      </c>
      <c r="X26" s="37">
        <f>AVERAGE(439550000,744800000)</f>
        <v>592175000</v>
      </c>
      <c r="Y26" s="37">
        <f>AVERAGE(934850000,242400000,327500000)</f>
        <v>501583333.33333331</v>
      </c>
      <c r="Z26" s="37">
        <f>AVERAGE(527350000,223125000)</f>
        <v>375237500</v>
      </c>
      <c r="AA26" s="37">
        <f>514450000</f>
        <v>514450000</v>
      </c>
    </row>
    <row r="27" spans="1:28" s="37" customFormat="1">
      <c r="A27" s="37">
        <v>20</v>
      </c>
      <c r="B27" s="37" t="s">
        <v>2251</v>
      </c>
      <c r="C27" s="37" t="s">
        <v>16</v>
      </c>
      <c r="D27" s="37">
        <v>1</v>
      </c>
      <c r="F27" s="37">
        <f>AVERAGE(724650000,20550000,52950000,7325000)</f>
        <v>201368750</v>
      </c>
      <c r="G27" s="37">
        <f>AVERAGE(252850000,49925000)</f>
        <v>151387500</v>
      </c>
      <c r="H27" s="37">
        <f>AVERAGE(3150000,68950000,161300000)</f>
        <v>77800000</v>
      </c>
      <c r="I27" s="37">
        <f>AVERAGE(131400000,56800000)</f>
        <v>94100000</v>
      </c>
      <c r="J27" s="37">
        <f>AVERAGE(180650000,117100000,120950000)</f>
        <v>139566666.66666666</v>
      </c>
      <c r="K27" s="37">
        <f>AVERAGE(91900000,255800000,247600000,106750000,391750000)</f>
        <v>218760000</v>
      </c>
      <c r="L27" s="37">
        <f>AVERAGE(188500000,116500000,152750000,66950000)</f>
        <v>131175000</v>
      </c>
      <c r="M27" s="37">
        <f>183450000</f>
        <v>183450000</v>
      </c>
      <c r="N27" s="37">
        <f>AVERAGE(105250000,135200000,54900000)</f>
        <v>98450000</v>
      </c>
      <c r="O27" s="37">
        <f>AVERAGE(145300000,206500000)</f>
        <v>175900000</v>
      </c>
      <c r="P27" s="37">
        <f>AVERAGE(143800000,291100000,24950000,68500000)</f>
        <v>132087500</v>
      </c>
      <c r="Q27" s="37">
        <f>AVERAGE(159400000,256850000,447200000,127050000)</f>
        <v>247625000</v>
      </c>
      <c r="R27" s="37">
        <f>AVERAGE(19075000,251250000,173150000)</f>
        <v>147825000</v>
      </c>
      <c r="S27" s="37">
        <f>AVERAGE(600450000,9080000,209200000)</f>
        <v>272910000</v>
      </c>
      <c r="T27" s="37">
        <f>AVERAGE(125100000,168900000)</f>
        <v>147000000</v>
      </c>
      <c r="U27" s="37">
        <f>AVERAGE(602400000,73990000,256925000)</f>
        <v>311105000</v>
      </c>
      <c r="V27" s="37">
        <f>AVERAGE(381400000,1412450000)</f>
        <v>896925000</v>
      </c>
      <c r="W27" s="37">
        <f>AVERAGE(1207225000,1447800000)</f>
        <v>1327512500</v>
      </c>
      <c r="X27" s="37">
        <f>AVERAGE(1861450000,1495200000)</f>
        <v>1678325000</v>
      </c>
      <c r="Z27" s="37">
        <f>AVERAGE(1093550000,2116300000)</f>
        <v>1604925000</v>
      </c>
      <c r="AA27" s="37">
        <f>AVERAGE(3154900000,1943050000)</f>
        <v>2548975000</v>
      </c>
      <c r="AB27" s="37">
        <f>3006725000</f>
        <v>3006725000</v>
      </c>
    </row>
    <row r="28" spans="1:28" s="37" customFormat="1">
      <c r="A28" s="37">
        <v>21</v>
      </c>
      <c r="B28" s="37" t="s">
        <v>2251</v>
      </c>
      <c r="C28" s="37" t="s">
        <v>545</v>
      </c>
      <c r="D28" s="37">
        <v>1</v>
      </c>
      <c r="I28" s="37">
        <f>114200000</f>
        <v>114200000</v>
      </c>
      <c r="K28" s="37">
        <f>255800000</f>
        <v>255800000</v>
      </c>
      <c r="L28" s="37">
        <f>53200000</f>
        <v>53200000</v>
      </c>
      <c r="M28" s="37">
        <f>20150000</f>
        <v>20150000</v>
      </c>
      <c r="Q28" s="37">
        <f>AVERAGE(35000000,16250000)</f>
        <v>25625000</v>
      </c>
      <c r="Y28" s="55">
        <f>131050000</f>
        <v>131050000</v>
      </c>
    </row>
    <row r="29" spans="1:28" s="37" customFormat="1">
      <c r="A29" s="37">
        <v>22</v>
      </c>
      <c r="B29" s="37" t="s">
        <v>2251</v>
      </c>
      <c r="C29" s="37" t="s">
        <v>415</v>
      </c>
      <c r="D29" s="37">
        <v>1</v>
      </c>
      <c r="F29" s="37">
        <f>93525000</f>
        <v>93525000</v>
      </c>
      <c r="G29" s="37">
        <f>60625000</f>
        <v>60625000</v>
      </c>
      <c r="H29" s="37">
        <f>AVERAGE(195200000,68950000)</f>
        <v>132075000</v>
      </c>
      <c r="I29" s="37">
        <f>AVERAGE(104850000,88075000)</f>
        <v>96462500</v>
      </c>
      <c r="J29" s="37">
        <f>AVERAGE(27250000,52375000)</f>
        <v>39812500</v>
      </c>
      <c r="K29" s="37">
        <f>AVERAGE(45875000,89650000)</f>
        <v>67762500</v>
      </c>
      <c r="L29" s="37">
        <f>AVERAGE(23250000,52850000)</f>
        <v>38050000</v>
      </c>
      <c r="N29" s="37">
        <f>AVERAGE(11300000,84750000)</f>
        <v>48025000</v>
      </c>
      <c r="O29" s="37">
        <f>AVERAGE(144850000,51450000,7650000)</f>
        <v>67983333.333333328</v>
      </c>
      <c r="P29" s="37">
        <f>86775000</f>
        <v>86775000</v>
      </c>
      <c r="Q29" s="37">
        <f>AVERAGE(156600000,182800000)</f>
        <v>169700000</v>
      </c>
      <c r="S29" s="37">
        <f>195850000</f>
        <v>195850000</v>
      </c>
      <c r="T29" s="37">
        <f>AVERAGE(48100000,2850000,77800000,701500000)</f>
        <v>207562500</v>
      </c>
      <c r="U29" s="37">
        <f>63050000</f>
        <v>63050000</v>
      </c>
      <c r="V29" s="37">
        <f>AVERAGE(21050000,109475000,923750000)</f>
        <v>351425000</v>
      </c>
      <c r="W29" s="37">
        <f>18675000</f>
        <v>18675000</v>
      </c>
      <c r="X29" s="37">
        <f>65825000</f>
        <v>65825000</v>
      </c>
      <c r="Y29" s="37">
        <f>154200000</f>
        <v>154200000</v>
      </c>
      <c r="AA29" s="37">
        <f>AVERAGE(69000000,959250000)</f>
        <v>514125000</v>
      </c>
    </row>
    <row r="30" spans="1:28" hidden="1">
      <c r="C30" s="17" t="s">
        <v>1746</v>
      </c>
      <c r="D30">
        <v>0</v>
      </c>
    </row>
    <row r="31" spans="1:28" s="37" customFormat="1">
      <c r="A31" s="37">
        <v>23</v>
      </c>
      <c r="B31" s="37" t="s">
        <v>2251</v>
      </c>
      <c r="C31" s="37" t="s">
        <v>497</v>
      </c>
      <c r="D31" s="37">
        <v>1</v>
      </c>
      <c r="F31" s="37">
        <f>57575000</f>
        <v>57575000</v>
      </c>
      <c r="H31" s="37">
        <f>86950000</f>
        <v>86950000</v>
      </c>
      <c r="J31" s="37">
        <f>AVERAGE(131000000,191900000)</f>
        <v>161450000</v>
      </c>
      <c r="K31" s="37">
        <f>AVERAGE(70850000,66700000,139650000,89650000)</f>
        <v>91712500</v>
      </c>
      <c r="L31" s="37">
        <f>418800000</f>
        <v>418800000</v>
      </c>
      <c r="M31" s="37">
        <f>AVERAGE(177800000,80000000,556500000)</f>
        <v>271433333.33333331</v>
      </c>
      <c r="N31" s="37">
        <f>AVERAGE(174800000,120500000,204500000)</f>
        <v>166600000</v>
      </c>
      <c r="O31" s="37">
        <f>AVERAGE(68200000,62300000,206500000)</f>
        <v>112333333.33333333</v>
      </c>
      <c r="P31" s="37">
        <f>AVERAGE(257900000,42500000,68300000,235550000,132400000,78800000,115600000)</f>
        <v>133007142.85714285</v>
      </c>
      <c r="Q31" s="37">
        <f>AVERAGE(231875000,202500000,362500000,248350000,100700000,16925000,69350000)</f>
        <v>176028571.42857143</v>
      </c>
      <c r="R31" s="37">
        <f>AVERAGE(85850000,444050000,173150000)</f>
        <v>234350000</v>
      </c>
      <c r="S31" s="37">
        <f>AVERAGE(188750000,75300000,297250000,173000000,73925000)</f>
        <v>161645000</v>
      </c>
      <c r="T31" s="37">
        <f>AVERAGE(50000,238900000,343100000,125100000,10550000)</f>
        <v>143540000</v>
      </c>
      <c r="U31" s="37">
        <f>AVERAGE(59125000,313375000)</f>
        <v>186250000</v>
      </c>
      <c r="V31" s="37">
        <f>AVERAGE(81225000,47650000)</f>
        <v>64437500</v>
      </c>
      <c r="W31" s="37">
        <f>AVERAGE(151725000,418900000)</f>
        <v>285312500</v>
      </c>
      <c r="X31" s="37">
        <f>118900000</f>
        <v>118900000</v>
      </c>
      <c r="Y31" s="37">
        <f>550850000</f>
        <v>550850000</v>
      </c>
      <c r="Z31" s="37">
        <f>339750000</f>
        <v>339750000</v>
      </c>
      <c r="AA31" s="37">
        <f>AVERAGE(217450000,783850000)</f>
        <v>500650000</v>
      </c>
      <c r="AB31" s="37">
        <f>AVERAGE(403000000,188500000,655250000)</f>
        <v>415583333.33333331</v>
      </c>
    </row>
    <row r="32" spans="1:28" hidden="1">
      <c r="C32" s="17" t="s">
        <v>514</v>
      </c>
      <c r="D32">
        <v>0</v>
      </c>
    </row>
    <row r="33" spans="1:28" hidden="1">
      <c r="C33" s="17" t="s">
        <v>760</v>
      </c>
      <c r="D33">
        <v>0</v>
      </c>
    </row>
    <row r="34" spans="1:28" hidden="1">
      <c r="C34" s="17" t="s">
        <v>546</v>
      </c>
      <c r="D34">
        <v>0</v>
      </c>
    </row>
    <row r="35" spans="1:28" s="37" customFormat="1">
      <c r="A35" s="37">
        <v>24</v>
      </c>
      <c r="B35" s="37" t="s">
        <v>2251</v>
      </c>
      <c r="C35" s="37" t="s">
        <v>76</v>
      </c>
      <c r="D35" s="37">
        <v>1</v>
      </c>
      <c r="G35" s="37">
        <f>AVERAGE(252850000,26275000)</f>
        <v>139562500</v>
      </c>
      <c r="H35" s="37">
        <f>AVERAGE(394550000,13375000,5525000)</f>
        <v>137816666.66666666</v>
      </c>
      <c r="I35" s="37">
        <f>AVERAGE(18750000,48500000,213700000)</f>
        <v>93650000</v>
      </c>
      <c r="J35" s="37">
        <f>148700000</f>
        <v>148700000</v>
      </c>
      <c r="M35" s="37">
        <f>177800000</f>
        <v>177800000</v>
      </c>
      <c r="O35" s="37">
        <f>AVERAGE(78600000,55250000)</f>
        <v>66925000</v>
      </c>
    </row>
    <row r="36" spans="1:28" s="37" customFormat="1">
      <c r="A36" s="37">
        <v>25</v>
      </c>
      <c r="B36" s="37" t="s">
        <v>2251</v>
      </c>
      <c r="C36" s="37" t="s">
        <v>550</v>
      </c>
      <c r="D36" s="37">
        <v>1</v>
      </c>
      <c r="H36" s="37">
        <f>77050000</f>
        <v>77050000</v>
      </c>
      <c r="I36" s="37">
        <f>28275000</f>
        <v>28275000</v>
      </c>
      <c r="J36" s="37">
        <f>AVERAGE(6600000,19400000)</f>
        <v>13000000</v>
      </c>
      <c r="K36" s="37">
        <f>AVERAGE(100650000,12575000)</f>
        <v>56612500</v>
      </c>
      <c r="L36" s="37">
        <f>23200000</f>
        <v>23200000</v>
      </c>
      <c r="M36" s="37">
        <f>3700000</f>
        <v>3700000</v>
      </c>
      <c r="N36" s="37">
        <f>107250000</f>
        <v>107250000</v>
      </c>
      <c r="O36" s="37">
        <f>AVERAGE(6650000,231300000)</f>
        <v>118975000</v>
      </c>
      <c r="P36" s="37">
        <f>202900000</f>
        <v>202900000</v>
      </c>
      <c r="Q36" s="37">
        <f>AVERAGE(11000000,256850000,14250000,261950000,66400000,58400000)</f>
        <v>111475000</v>
      </c>
      <c r="R36" s="37">
        <f>AVERAGE(293250000,61700000,748800000,116950000)</f>
        <v>305175000</v>
      </c>
      <c r="S36" s="37">
        <f>AVERAGE(325125000,138700000)</f>
        <v>231912500</v>
      </c>
      <c r="T36" s="37">
        <f>AVERAGE(203000000,195900000,28075000,511200000)</f>
        <v>234543750</v>
      </c>
      <c r="U36" s="37">
        <f>AVERAGE(7800000,7450000,76875000)</f>
        <v>30708333.333333332</v>
      </c>
      <c r="V36" s="37">
        <f>AVERAGE(221075000,48850000,1080600000)</f>
        <v>450175000</v>
      </c>
      <c r="W36" s="37">
        <f>AVERAGE(242250000,450550000)</f>
        <v>346400000</v>
      </c>
      <c r="X36" s="37">
        <f>69625000</f>
        <v>69625000</v>
      </c>
      <c r="Y36" s="37">
        <f>AVERAGE(156550000,303200000,10575000)</f>
        <v>156775000</v>
      </c>
      <c r="Z36" s="37">
        <f>AVERAGE(29650000,252700000)</f>
        <v>141175000</v>
      </c>
      <c r="AA36" s="37">
        <f>AVERAGE(90150000,63950000)</f>
        <v>77050000</v>
      </c>
      <c r="AB36" s="37">
        <f>8935000</f>
        <v>8935000</v>
      </c>
    </row>
    <row r="37" spans="1:28" s="37" customFormat="1">
      <c r="A37" s="37">
        <v>26</v>
      </c>
      <c r="B37" s="37" t="s">
        <v>2251</v>
      </c>
      <c r="C37" s="37" t="s">
        <v>405</v>
      </c>
      <c r="D37" s="37">
        <v>1</v>
      </c>
      <c r="G37" s="37">
        <f>AVERAGE(38775000,203350000,33500000)</f>
        <v>91875000</v>
      </c>
      <c r="H37" s="37">
        <f>23975000</f>
        <v>23975000</v>
      </c>
      <c r="I37" s="37">
        <f>AVERAGE(56800000,16325000,29175000,52050000)</f>
        <v>38587500</v>
      </c>
      <c r="J37" s="37">
        <f>54525000</f>
        <v>54525000</v>
      </c>
      <c r="L37" s="37">
        <f>54200000</f>
        <v>54200000</v>
      </c>
      <c r="M37" s="37">
        <f>AVERAGE(38000000,8400000,84750000)</f>
        <v>43716666.666666664</v>
      </c>
      <c r="N37" s="37">
        <f>AVERAGE(174600000,51450000,385500000,176400000)</f>
        <v>196987500</v>
      </c>
      <c r="P37" s="37">
        <f>AVERAGE(12625000,91650000)</f>
        <v>52137500</v>
      </c>
      <c r="Q37" s="37">
        <f>AVERAGE(11025000,950000)</f>
        <v>5987500</v>
      </c>
      <c r="R37" s="37">
        <f>220000</f>
        <v>220000</v>
      </c>
      <c r="U37" s="37">
        <f>AVERAGE(122500000,325000)</f>
        <v>61412500</v>
      </c>
      <c r="V37" s="37">
        <f>191525000</f>
        <v>191525000</v>
      </c>
      <c r="Z37" s="37">
        <f>1650000</f>
        <v>1650000</v>
      </c>
      <c r="AA37" s="37">
        <f>394825000</f>
        <v>394825000</v>
      </c>
    </row>
    <row r="38" spans="1:28" s="37" customFormat="1">
      <c r="A38" s="37">
        <v>27</v>
      </c>
      <c r="B38" s="37" t="s">
        <v>2251</v>
      </c>
      <c r="C38" s="37" t="s">
        <v>419</v>
      </c>
      <c r="D38" s="37">
        <v>1</v>
      </c>
      <c r="E38" s="37">
        <f>28485000</f>
        <v>28485000</v>
      </c>
      <c r="F38" s="37">
        <f>AVERAGE(13900000,31850000)</f>
        <v>22875000</v>
      </c>
      <c r="G38" s="37">
        <f>202200000</f>
        <v>202200000</v>
      </c>
      <c r="I38" s="37">
        <f>AVERAGE(140950000,29175000,81950000,54700000)</f>
        <v>76693750</v>
      </c>
      <c r="J38" s="37">
        <f>AVERAGE(143475000,12975000)</f>
        <v>78225000</v>
      </c>
      <c r="K38" s="37">
        <f>AVERAGE(39500000,91900000,62350000,52700000,105050000,85600000)</f>
        <v>72850000</v>
      </c>
      <c r="L38" s="37">
        <f>AVERAGE(80950000,107650000,69500000)</f>
        <v>86033333.333333328</v>
      </c>
      <c r="M38" s="37">
        <f>68250000</f>
        <v>68250000</v>
      </c>
      <c r="N38" s="37">
        <f>AVERAGE(61550000,114400000)</f>
        <v>87975000</v>
      </c>
      <c r="O38" s="37">
        <f>AVERAGE(144850000,34300000,9350000)</f>
        <v>62833333.333333336</v>
      </c>
      <c r="P38" s="37">
        <f>46400000</f>
        <v>46400000</v>
      </c>
      <c r="Q38" s="37">
        <f>AVERAGE(48250000,6825000)</f>
        <v>27537500</v>
      </c>
      <c r="R38" s="37">
        <f>AVERAGE(9400000,6125000)</f>
        <v>7762500</v>
      </c>
      <c r="S38" s="37">
        <f>11300000</f>
        <v>11300000</v>
      </c>
      <c r="T38" s="37">
        <f>AVERAGE(103350000,50275000)</f>
        <v>76812500</v>
      </c>
    </row>
    <row r="39" spans="1:28" s="37" customFormat="1">
      <c r="A39" s="37">
        <v>28</v>
      </c>
      <c r="B39" s="37" t="s">
        <v>2251</v>
      </c>
      <c r="C39" s="37" t="s">
        <v>794</v>
      </c>
      <c r="D39" s="37">
        <v>1</v>
      </c>
      <c r="L39" s="55">
        <f>AVERAGE(442750000,146700000,229850000)</f>
        <v>273100000</v>
      </c>
      <c r="M39" s="37">
        <f>AVERAGE(146450000,556500000)</f>
        <v>351475000</v>
      </c>
      <c r="N39" s="37">
        <f>AVERAGE(95850000,81400000,129450000)</f>
        <v>102233333.33333333</v>
      </c>
      <c r="O39" s="37">
        <f>AVERAGE(177950000,471950000)</f>
        <v>324950000</v>
      </c>
      <c r="P39" s="37">
        <f>235550000</f>
        <v>235550000</v>
      </c>
      <c r="R39" s="37">
        <f>AVERAGE(721550000,810050000)</f>
        <v>765800000</v>
      </c>
      <c r="T39" s="37">
        <f>560400000</f>
        <v>560400000</v>
      </c>
      <c r="V39" s="37">
        <f>AVERAGE(478450000,295650000)</f>
        <v>387050000</v>
      </c>
      <c r="W39" s="37">
        <f>899600000</f>
        <v>899600000</v>
      </c>
      <c r="X39" s="37">
        <f>1199825000</f>
        <v>1199825000</v>
      </c>
      <c r="Y39" s="37">
        <f>1758350000</f>
        <v>1758350000</v>
      </c>
      <c r="Z39" s="37">
        <f>1410650000</f>
        <v>1410650000</v>
      </c>
      <c r="AB39" s="37">
        <f>536650000</f>
        <v>536650000</v>
      </c>
    </row>
    <row r="40" spans="1:28" s="37" customFormat="1">
      <c r="A40" s="37">
        <v>29</v>
      </c>
      <c r="B40" s="37" t="s">
        <v>2251</v>
      </c>
      <c r="C40" s="37" t="s">
        <v>479</v>
      </c>
      <c r="D40" s="37">
        <v>1</v>
      </c>
      <c r="G40" s="37">
        <f>8875000</f>
        <v>8875000</v>
      </c>
      <c r="H40" s="37">
        <f>AVERAGE(140950000,30050000)</f>
        <v>85500000</v>
      </c>
      <c r="I40" s="37">
        <f>AVERAGE(10275000,81950000)</f>
        <v>46112500</v>
      </c>
      <c r="J40" s="37">
        <f>143475000</f>
        <v>143475000</v>
      </c>
      <c r="K40" s="37">
        <f>AVERAGE(39500000,50300000)</f>
        <v>44900000</v>
      </c>
      <c r="L40" s="37">
        <f>AVERAGE(146700000,9700000,23200000)</f>
        <v>59866666.666666664</v>
      </c>
      <c r="M40" s="37">
        <f>AVERAGE(34750000,80000000)</f>
        <v>57375000</v>
      </c>
      <c r="N40" s="37">
        <f>75650000</f>
        <v>75650000</v>
      </c>
      <c r="O40" s="37">
        <f>AVERAGE(34300000,176400000)</f>
        <v>105350000</v>
      </c>
      <c r="P40" s="37">
        <f>AVERAGE(12625000,9400000,418600000)</f>
        <v>146875000</v>
      </c>
      <c r="Q40" s="37">
        <f>AVERAGE(169700000,7450000)</f>
        <v>88575000</v>
      </c>
      <c r="S40" s="37">
        <f>AVERAGE(3260000,1675000,77800000)</f>
        <v>27578333.333333332</v>
      </c>
      <c r="T40" s="37">
        <f>38750000</f>
        <v>38750000</v>
      </c>
      <c r="U40" s="37">
        <f>AVERAGE(1430000,37975000,61210000)</f>
        <v>33538333.333333332</v>
      </c>
      <c r="V40" s="37">
        <f>AVERAGE(923750000,1410000)</f>
        <v>462580000</v>
      </c>
      <c r="W40" s="37">
        <f>AVERAGE(418900000,4300000)</f>
        <v>211600000</v>
      </c>
      <c r="X40" s="37">
        <f>AVERAGE(280200000,3525000,170325000)</f>
        <v>151350000</v>
      </c>
      <c r="Y40" s="37">
        <f>AVERAGE(654750000,535950000,550850000)</f>
        <v>580516666.66666663</v>
      </c>
      <c r="AA40" s="37">
        <f>355500000</f>
        <v>355500000</v>
      </c>
      <c r="AB40" s="37">
        <f>AVERAGE(27025000,36500000,19245000,23950000)</f>
        <v>26680000</v>
      </c>
    </row>
    <row r="41" spans="1:28" hidden="1">
      <c r="C41" s="17" t="s">
        <v>755</v>
      </c>
      <c r="D41">
        <v>0</v>
      </c>
    </row>
    <row r="42" spans="1:28" s="37" customFormat="1">
      <c r="A42" s="37">
        <v>30</v>
      </c>
      <c r="B42" s="37" t="s">
        <v>2251</v>
      </c>
      <c r="C42" s="37" t="s">
        <v>909</v>
      </c>
      <c r="D42" s="37">
        <v>1</v>
      </c>
      <c r="M42" s="37">
        <f>172750000</f>
        <v>172750000</v>
      </c>
      <c r="N42" s="37">
        <f>AVERAGE(42350000,65000000)</f>
        <v>53675000</v>
      </c>
      <c r="O42" s="37">
        <f>21025000</f>
        <v>21025000</v>
      </c>
      <c r="P42" s="37">
        <f>AVERAGE(257900000,71100000,5825000)</f>
        <v>111608333.33333333</v>
      </c>
      <c r="Q42" s="37">
        <f>AVERAGE(65750000,153400000)</f>
        <v>109575000</v>
      </c>
      <c r="R42" s="37">
        <f>293250000</f>
        <v>293250000</v>
      </c>
      <c r="S42" s="37">
        <f>AVERAGE(28950000,72500000,297250000,9085000,160550000)</f>
        <v>113667000</v>
      </c>
      <c r="T42" s="37">
        <f>AVERAGE(203000000,171200000,34900000,511200000)</f>
        <v>230075000</v>
      </c>
      <c r="U42" s="37">
        <f>206725000</f>
        <v>206725000</v>
      </c>
      <c r="V42" s="37">
        <f>1080600000</f>
        <v>1080600000</v>
      </c>
      <c r="W42" s="37">
        <f>AVERAGE(43125000,15475000,14100000,797775000)</f>
        <v>217618750</v>
      </c>
      <c r="X42" s="37">
        <f>AVERAGE(48600000,420350000)</f>
        <v>234475000</v>
      </c>
      <c r="Y42" s="37">
        <f>AVERAGE(535950000,54525000)</f>
        <v>295237500</v>
      </c>
      <c r="AB42" s="37">
        <f>AVERAGE(231950000,177150000)</f>
        <v>204550000</v>
      </c>
    </row>
    <row r="43" spans="1:28" s="37" customFormat="1">
      <c r="A43" s="37">
        <v>31</v>
      </c>
      <c r="B43" s="37" t="s">
        <v>2251</v>
      </c>
      <c r="C43" s="37" t="s">
        <v>790</v>
      </c>
      <c r="D43" s="37">
        <v>1</v>
      </c>
      <c r="K43" s="55">
        <f>18800000</f>
        <v>18800000</v>
      </c>
      <c r="M43" s="37">
        <f>AVERAGE(158700000,53550000)</f>
        <v>106125000</v>
      </c>
      <c r="O43" s="37">
        <f>AVERAGE(500000,17150000)</f>
        <v>8825000</v>
      </c>
      <c r="Q43" s="37">
        <f>114850000</f>
        <v>114850000</v>
      </c>
      <c r="R43" s="37">
        <f>AVERAGE(530800000,293250000)</f>
        <v>412025000</v>
      </c>
      <c r="S43" s="37">
        <f>AVERAGE(158325000,11825000,160550000)</f>
        <v>110233333.33333333</v>
      </c>
      <c r="T43" s="37">
        <f>AVERAGE(121050000,14075000)</f>
        <v>67562500</v>
      </c>
      <c r="U43" s="37">
        <f>2013725000</f>
        <v>2013725000</v>
      </c>
      <c r="V43" s="37">
        <f>AVERAGE(33700000,7290000)</f>
        <v>20495000</v>
      </c>
      <c r="X43" s="37">
        <f>AVERAGE(305250000,1500000)</f>
        <v>153375000</v>
      </c>
      <c r="Y43" s="37">
        <f>63400000</f>
        <v>63400000</v>
      </c>
      <c r="Z43" s="37">
        <f>AVERAGE(17875000,25450000)</f>
        <v>21662500</v>
      </c>
      <c r="AA43" s="37">
        <f>435750000</f>
        <v>435750000</v>
      </c>
      <c r="AB43" s="37">
        <f>AVERAGE(153500000,1785000,97050000)</f>
        <v>84111666.666666672</v>
      </c>
    </row>
    <row r="44" spans="1:28" s="37" customFormat="1">
      <c r="A44" s="37">
        <v>32</v>
      </c>
      <c r="B44" s="37" t="s">
        <v>2251</v>
      </c>
      <c r="C44" s="37" t="s">
        <v>898</v>
      </c>
      <c r="D44" s="37">
        <v>1</v>
      </c>
      <c r="J44" s="37">
        <f>39650000</f>
        <v>39650000</v>
      </c>
      <c r="L44" s="37">
        <f>80950000</f>
        <v>80950000</v>
      </c>
      <c r="M44" s="37">
        <f>AVERAGE(68250000,55650000,28900000)</f>
        <v>50933333.333333336</v>
      </c>
      <c r="N44" s="37">
        <f>AVERAGE(17325000,16450000,61550000)</f>
        <v>31775000</v>
      </c>
      <c r="O44" s="37">
        <f>AVERAGE(90300000,144850000,97900000)</f>
        <v>111016666.66666667</v>
      </c>
      <c r="P44" s="37">
        <f>AVERAGE(68300000,97100000)</f>
        <v>82700000</v>
      </c>
      <c r="Q44" s="37">
        <f>AVERAGE(447200000,114850000,47350000)</f>
        <v>203133333.33333334</v>
      </c>
      <c r="R44" s="37">
        <f>AVERAGE(117950000,9600000)</f>
        <v>63775000</v>
      </c>
      <c r="S44" s="37">
        <f>AVERAGE(41700000,29050000,29050000)</f>
        <v>33266666.666666668</v>
      </c>
      <c r="U44" s="37">
        <f>AVERAGE(27925000,206725000,37975000,414075000)</f>
        <v>171675000</v>
      </c>
      <c r="V44" s="37">
        <f>30850000</f>
        <v>30850000</v>
      </c>
    </row>
    <row r="45" spans="1:28" hidden="1">
      <c r="C45" s="17" t="s">
        <v>817</v>
      </c>
      <c r="D45">
        <v>0</v>
      </c>
    </row>
    <row r="46" spans="1:28" s="37" customFormat="1">
      <c r="A46" s="37">
        <v>33</v>
      </c>
      <c r="B46" s="37" t="s">
        <v>2251</v>
      </c>
      <c r="C46" s="37" t="s">
        <v>383</v>
      </c>
      <c r="D46" s="37">
        <v>1</v>
      </c>
      <c r="H46" s="37">
        <f>31425000</f>
        <v>31425000</v>
      </c>
      <c r="J46" s="37">
        <f>AVERAGE(133550000,468650000,25550000)</f>
        <v>209250000</v>
      </c>
      <c r="K46" s="37">
        <f>106750000</f>
        <v>106750000</v>
      </c>
      <c r="L46" s="37">
        <f>AVERAGE(153800000,53200000,113100000,106900000,152750000,66950000)</f>
        <v>107783333.33333333</v>
      </c>
      <c r="M46" s="37">
        <f>AVERAGE(183450000,27300000,107500000)</f>
        <v>106083333.33333333</v>
      </c>
      <c r="N46" s="37">
        <f>AVERAGE(10925000,129450000,152550000,10475000)</f>
        <v>75850000</v>
      </c>
      <c r="O46" s="37">
        <f>AVERAGE(194400000,31450000,25900000,176400000)</f>
        <v>107037500</v>
      </c>
      <c r="P46" s="37">
        <f>AVERAGE(142450000,216350000,418600000)</f>
        <v>259133333.33333334</v>
      </c>
      <c r="Q46" s="37">
        <f>AVERAGE(231875000,362500000,128450000,278600000)</f>
        <v>250356250</v>
      </c>
      <c r="R46" s="37">
        <f>AVERAGE(444050000,173150000)</f>
        <v>308600000</v>
      </c>
      <c r="S46" s="37">
        <f>AVERAGE(384450000,175050000,209200000)</f>
        <v>256233333.33333334</v>
      </c>
      <c r="T46" s="37">
        <f>216700000</f>
        <v>216700000</v>
      </c>
      <c r="U46" s="37">
        <f>233450000</f>
        <v>233450000</v>
      </c>
      <c r="W46" s="37">
        <f>291250000</f>
        <v>291250000</v>
      </c>
      <c r="X46" s="37">
        <f>AVERAGE(60700000,912350000)</f>
        <v>486525000</v>
      </c>
      <c r="Z46" s="37">
        <f>358300000</f>
        <v>358300000</v>
      </c>
    </row>
    <row r="47" spans="1:28" s="37" customFormat="1">
      <c r="A47" s="37">
        <v>34</v>
      </c>
      <c r="B47" s="37" t="s">
        <v>2251</v>
      </c>
      <c r="C47" s="37" t="s">
        <v>416</v>
      </c>
      <c r="D47" s="37">
        <v>1</v>
      </c>
      <c r="E47" s="37">
        <f>13875000</f>
        <v>13875000</v>
      </c>
      <c r="F47" s="37">
        <f>AVERAGE(13100000,69925000,7325000)</f>
        <v>30116666.666666668</v>
      </c>
      <c r="G47" s="37">
        <f>AVERAGE(2200000,32300000,25450000,26700000,70675000)</f>
        <v>31465000</v>
      </c>
      <c r="H47" s="37">
        <f>AVERAGE(41125000,3150000,195200000,68950000)</f>
        <v>77106250</v>
      </c>
      <c r="I47" s="37">
        <f>AVERAGE(3875000,17300000,182300000)</f>
        <v>67825000</v>
      </c>
      <c r="J47" s="37">
        <f>AVERAGE(27250000,40650000,107650000,63500000)</f>
        <v>59762500</v>
      </c>
      <c r="K47" s="37">
        <f>AVERAGE(161900000,26025000,70850000,15600000,75950000,166450000,139650000)</f>
        <v>93775000</v>
      </c>
      <c r="L47" s="37">
        <f>AVERAGE(57100000,36450000,3800000,84050000)</f>
        <v>45350000</v>
      </c>
      <c r="M47" s="37">
        <f>AVERAGE(8500000,54200000,158700000,4900000)</f>
        <v>56575000</v>
      </c>
      <c r="N47" s="37">
        <f>AVERAGE(138250000,107250000,48350000)</f>
        <v>97950000</v>
      </c>
      <c r="O47" s="37">
        <f>AVERAGE(8950000,25900000,28075000)</f>
        <v>20975000</v>
      </c>
      <c r="P47" s="37">
        <f>AVERAGE(4625000,28600000)</f>
        <v>16612500</v>
      </c>
      <c r="Q47" s="37">
        <f>AVERAGE(10450000,35000000,14700000,950000)</f>
        <v>15275000</v>
      </c>
      <c r="R47" s="37">
        <f>16500000</f>
        <v>16500000</v>
      </c>
      <c r="S47" s="37">
        <f>875000</f>
        <v>875000</v>
      </c>
      <c r="T47" s="37">
        <f>AVERAGE(85000,4000000,20050000)</f>
        <v>8045000</v>
      </c>
      <c r="V47" s="37">
        <f>3155000</f>
        <v>3155000</v>
      </c>
      <c r="W47" s="37">
        <f>4900000</f>
        <v>4900000</v>
      </c>
      <c r="X47" s="37">
        <f>45750000</f>
        <v>45750000</v>
      </c>
      <c r="AA47" s="37">
        <f>300000</f>
        <v>300000</v>
      </c>
    </row>
    <row r="48" spans="1:28" s="37" customFormat="1">
      <c r="A48" s="37">
        <v>35</v>
      </c>
      <c r="B48" s="37" t="s">
        <v>2251</v>
      </c>
      <c r="C48" s="37" t="s">
        <v>795</v>
      </c>
      <c r="D48" s="37">
        <v>1</v>
      </c>
      <c r="L48" s="37">
        <f>418800000</f>
        <v>418800000</v>
      </c>
      <c r="N48" s="37">
        <f>AVERAGE(83400000,129450000)</f>
        <v>106425000</v>
      </c>
      <c r="O48" s="55">
        <f>26550000</f>
        <v>26550000</v>
      </c>
      <c r="P48" s="37">
        <f>AVERAGE(16750000,316000000)</f>
        <v>166375000</v>
      </c>
      <c r="Q48" s="37">
        <f>60600000</f>
        <v>60600000</v>
      </c>
      <c r="R48" s="37">
        <f>810050000</f>
        <v>810050000</v>
      </c>
      <c r="V48" s="37">
        <f>58950000</f>
        <v>58950000</v>
      </c>
      <c r="Y48" s="37">
        <f>2606300000</f>
        <v>2606300000</v>
      </c>
    </row>
    <row r="49" spans="1:28" s="37" customFormat="1">
      <c r="A49" s="37">
        <v>36</v>
      </c>
      <c r="B49" s="37" t="s">
        <v>2251</v>
      </c>
      <c r="C49" s="37" t="s">
        <v>818</v>
      </c>
      <c r="D49" s="37">
        <v>1</v>
      </c>
      <c r="M49" s="37">
        <f>170400000</f>
        <v>170400000</v>
      </c>
      <c r="N49" s="37">
        <f>AVERAGE(214600000,76550000,44850000)</f>
        <v>112000000</v>
      </c>
      <c r="O49" s="37">
        <f>AVERAGE(81400000,41450000,110000000)</f>
        <v>77616666.666666672</v>
      </c>
      <c r="P49" s="37">
        <f>AVERAGE(15450000,42500000,58950000,53400000,30700000)</f>
        <v>40200000</v>
      </c>
      <c r="Q49" s="37">
        <f>AVERAGE(4225000,99100000,447200000,156600000,66200000)</f>
        <v>154665000</v>
      </c>
      <c r="R49" s="37">
        <f>AVERAGE(141250000,408100000,103200000,232200000,2075000,810050000)</f>
        <v>282812500</v>
      </c>
      <c r="S49" s="37">
        <f>AVERAGE(32900000,138700000)</f>
        <v>85800000</v>
      </c>
      <c r="T49" s="37">
        <f>AVERAGE(608300000,361900000)</f>
        <v>485100000</v>
      </c>
      <c r="U49" s="37">
        <f>AVERAGE(61600000,414075000)</f>
        <v>237837500</v>
      </c>
      <c r="V49" s="37">
        <f>AVERAGE(1510000,85750000,130750000)</f>
        <v>72670000</v>
      </c>
      <c r="W49" s="37">
        <f>318425000</f>
        <v>318425000</v>
      </c>
      <c r="X49" s="37">
        <f>AVERAGE(299025000,96525000,674050000)</f>
        <v>356533333.33333331</v>
      </c>
      <c r="Y49" s="37">
        <f>83450000</f>
        <v>83450000</v>
      </c>
      <c r="Z49" s="37">
        <f>AVERAGE(527350000,145050000)</f>
        <v>336200000</v>
      </c>
      <c r="AA49" s="37">
        <f>187100000</f>
        <v>187100000</v>
      </c>
    </row>
    <row r="50" spans="1:28" s="37" customFormat="1">
      <c r="A50" s="37">
        <v>37</v>
      </c>
      <c r="B50" s="37" t="s">
        <v>2251</v>
      </c>
      <c r="C50" s="37" t="s">
        <v>928</v>
      </c>
      <c r="D50" s="37">
        <v>1</v>
      </c>
      <c r="O50" s="37">
        <f>AVERAGE(89250000,47700000)</f>
        <v>68475000</v>
      </c>
      <c r="P50" s="37">
        <f>AVERAGE(202800000,29650000,31600000)</f>
        <v>88016666.666666672</v>
      </c>
      <c r="Q50" s="37">
        <f>AVERAGE(153400000,30675000,182800000)</f>
        <v>122291666.66666667</v>
      </c>
      <c r="R50" s="37">
        <f>AVERAGE(54800000,268850000,64250000,144000000)</f>
        <v>132975000</v>
      </c>
      <c r="S50" s="37">
        <f>AVERAGE(185650000,471200000,325125000)</f>
        <v>327325000</v>
      </c>
      <c r="T50" s="37">
        <f>84850000</f>
        <v>84850000</v>
      </c>
      <c r="U50" s="37">
        <f>AVERAGE(56650000,169300000,59125000)</f>
        <v>95025000</v>
      </c>
      <c r="V50" s="37">
        <f>AVERAGE(81225000,38675000,722475000)</f>
        <v>280791666.66666669</v>
      </c>
      <c r="W50" s="37">
        <f>AVERAGE(242250000,450550000)</f>
        <v>346400000</v>
      </c>
      <c r="X50" s="37">
        <f>AVERAGE(194500000,1117925000,420350000)</f>
        <v>577591666.66666663</v>
      </c>
      <c r="Y50" s="37">
        <f>916550000</f>
        <v>916550000</v>
      </c>
      <c r="Z50" s="37">
        <f>AVERAGE(527350000,975150000)</f>
        <v>751250000</v>
      </c>
      <c r="AA50" s="37">
        <f>53360000</f>
        <v>53360000</v>
      </c>
      <c r="AB50" s="37">
        <f>AVERAGE(1080725000,143050000,80250000)</f>
        <v>434675000</v>
      </c>
    </row>
    <row r="51" spans="1:28" s="37" customFormat="1">
      <c r="A51" s="37">
        <v>38</v>
      </c>
      <c r="B51" s="37" t="s">
        <v>2251</v>
      </c>
      <c r="C51" s="37" t="s">
        <v>569</v>
      </c>
      <c r="D51" s="37">
        <v>1</v>
      </c>
      <c r="I51" s="37">
        <f>AVERAGE(39600000,394550000,52050000,26850000)</f>
        <v>128262500</v>
      </c>
      <c r="J51" s="37">
        <f>AVERAGE(23550000,12975000)</f>
        <v>18262500</v>
      </c>
      <c r="K51" s="37">
        <f>AVERAGE(110200000,26025000,214950000,7250000)</f>
        <v>89606250</v>
      </c>
      <c r="M51" s="37">
        <f>200200000</f>
        <v>200200000</v>
      </c>
      <c r="N51" s="37">
        <f>AVERAGE(165900000,114400000)</f>
        <v>140150000</v>
      </c>
      <c r="O51" s="37">
        <f>AVERAGE(5900000,126050000,176400000)</f>
        <v>102783333.33333333</v>
      </c>
      <c r="P51" s="37">
        <f>AVERAGE(132400000,202900000)</f>
        <v>167650000</v>
      </c>
      <c r="R51" s="37">
        <f>AVERAGE(101950000,230500000,63850000)</f>
        <v>132100000</v>
      </c>
      <c r="S51" s="37">
        <f>AVERAGE(226800000,126900000,34175000,140700000)</f>
        <v>132143750</v>
      </c>
      <c r="T51" s="37">
        <f>AVERAGE(608300000,227050000)</f>
        <v>417675000</v>
      </c>
      <c r="U51" s="37">
        <f>76875000</f>
        <v>76875000</v>
      </c>
      <c r="V51" s="37">
        <f>AVERAGE(130750000,284750000,605725000)</f>
        <v>340408333.33333331</v>
      </c>
      <c r="X51" s="37">
        <f>37150000</f>
        <v>37150000</v>
      </c>
      <c r="AB51" s="37">
        <f>681050000</f>
        <v>681050000</v>
      </c>
    </row>
    <row r="52" spans="1:28" s="37" customFormat="1">
      <c r="A52" s="37">
        <v>39</v>
      </c>
      <c r="B52" s="37" t="s">
        <v>2251</v>
      </c>
      <c r="C52" s="37" t="s">
        <v>1213</v>
      </c>
      <c r="D52" s="37">
        <v>1</v>
      </c>
      <c r="R52" s="37">
        <f>503450000</f>
        <v>503450000</v>
      </c>
      <c r="S52" s="37">
        <f>116200000</f>
        <v>116200000</v>
      </c>
      <c r="T52" s="37">
        <f>252975000</f>
        <v>252975000</v>
      </c>
      <c r="U52" s="37">
        <f>122500000</f>
        <v>122500000</v>
      </c>
      <c r="V52" s="37">
        <f>180075000</f>
        <v>180075000</v>
      </c>
      <c r="W52" s="37">
        <f>AVERAGE(74075000,899600000,1064400000)</f>
        <v>679358333.33333337</v>
      </c>
      <c r="X52" s="37">
        <f>912350000</f>
        <v>912350000</v>
      </c>
      <c r="Y52" s="37">
        <f>348650000</f>
        <v>348650000</v>
      </c>
      <c r="AA52" s="37">
        <f>AVERAGE(750525000,53360000)</f>
        <v>401942500</v>
      </c>
      <c r="AB52" s="37">
        <f>AVERAGE(306200000,104100000)</f>
        <v>205150000</v>
      </c>
    </row>
    <row r="53" spans="1:28" s="37" customFormat="1">
      <c r="A53" s="37">
        <v>40</v>
      </c>
      <c r="B53" s="37" t="s">
        <v>2251</v>
      </c>
      <c r="C53" s="37" t="s">
        <v>802</v>
      </c>
      <c r="D53" s="37">
        <v>1</v>
      </c>
      <c r="L53" s="37">
        <f>AVERAGE(170800000,94150000,81650000)</f>
        <v>115533333.33333333</v>
      </c>
      <c r="M53" s="37">
        <f>27300000</f>
        <v>27300000</v>
      </c>
      <c r="N53" s="37">
        <f>AVERAGE(89300000,6325000,61550000)</f>
        <v>52391666.666666664</v>
      </c>
      <c r="O53" s="37">
        <f>AVERAGE(177950000,24800000,64550000,110000000,176400000)</f>
        <v>110740000</v>
      </c>
      <c r="P53" s="37">
        <f>AVERAGE(47450000,142450000,316000000,24950000,31600000)</f>
        <v>112490000</v>
      </c>
      <c r="Q53" s="37">
        <f>AVERAGE(362500000,248350000,232900000,182800000)</f>
        <v>256637500</v>
      </c>
      <c r="R53" s="37">
        <f>AVERAGE(444050000,74250000,810050000)</f>
        <v>442783333.33333331</v>
      </c>
      <c r="S53" s="37">
        <f>AVERAGE(454900000,272700000,175050000)</f>
        <v>300883333.33333331</v>
      </c>
      <c r="T53" s="37">
        <f>AVERAGE(343100000,89700000,443800000)</f>
        <v>292200000</v>
      </c>
      <c r="U53" s="37">
        <f>AVERAGE(306950000,313375000)</f>
        <v>310162500</v>
      </c>
      <c r="V53" s="37">
        <f>AVERAGE(289775000,46625000)</f>
        <v>168200000</v>
      </c>
      <c r="W53" s="37">
        <f>AVERAGE(74075000,318425000)</f>
        <v>196250000</v>
      </c>
      <c r="X53" s="37">
        <f>AVERAGE(299025000,1000525000)</f>
        <v>649775000</v>
      </c>
      <c r="Y53" s="37">
        <f>2606300000</f>
        <v>2606300000</v>
      </c>
      <c r="Z53" s="37">
        <f>1784100000</f>
        <v>1784100000</v>
      </c>
      <c r="AA53" s="37">
        <f>125325000</f>
        <v>125325000</v>
      </c>
      <c r="AB53" s="37">
        <f>1080725000</f>
        <v>1080725000</v>
      </c>
    </row>
    <row r="54" spans="1:28" s="37" customFormat="1">
      <c r="A54" s="37">
        <v>41</v>
      </c>
      <c r="B54" s="37" t="s">
        <v>2251</v>
      </c>
      <c r="C54" s="37" t="s">
        <v>394</v>
      </c>
      <c r="D54" s="37">
        <v>1</v>
      </c>
      <c r="F54" s="37">
        <f>AVERAGE(17550000,64525000)</f>
        <v>41037500</v>
      </c>
      <c r="G54" s="37">
        <f>AVERAGE(38775000,12650000,62500000)</f>
        <v>37975000</v>
      </c>
      <c r="H54" s="37">
        <f>AVERAGE(48175000,138200000,61950000,161300000,40675000)</f>
        <v>90060000</v>
      </c>
      <c r="I54" s="37">
        <f>AVERAGE(113200000,394550000,114200000)</f>
        <v>207316666.66666666</v>
      </c>
      <c r="J54" s="37">
        <f>25425000</f>
        <v>25425000</v>
      </c>
      <c r="K54" s="37">
        <f>AVERAGE(45875000,255800000,89650000,391750000,36450000)</f>
        <v>163905000</v>
      </c>
      <c r="L54" s="37">
        <f>AVERAGE(123550000,52850000,49500000,14575000,9700000,23200000)</f>
        <v>45562500</v>
      </c>
      <c r="M54" s="37">
        <f>AVERAGE(7050000,40925000,61200000)</f>
        <v>36391666.666666664</v>
      </c>
      <c r="N54" s="37">
        <f>AVERAGE(133150000,19100000,3200000)</f>
        <v>51816666.666666664</v>
      </c>
      <c r="O54" s="37">
        <f>AVERAGE(6050000,37550000,71000000)</f>
        <v>38200000</v>
      </c>
      <c r="P54" s="37">
        <f>AVERAGE(20000000,5800000)</f>
        <v>12900000</v>
      </c>
      <c r="Q54" s="37">
        <f>AVERAGE(11500000,350000)</f>
        <v>5925000</v>
      </c>
      <c r="R54" s="37">
        <f>518700000</f>
        <v>518700000</v>
      </c>
      <c r="S54" s="37">
        <f>AVERAGE(6700000,173000000)</f>
        <v>89850000</v>
      </c>
      <c r="V54" s="37">
        <f>AVERAGE(33700000,7600000)</f>
        <v>20650000</v>
      </c>
      <c r="Y54" s="37">
        <f>38145000</f>
        <v>38145000</v>
      </c>
      <c r="Z54" s="37">
        <f>AVERAGE(491900000,491900000)</f>
        <v>491900000</v>
      </c>
      <c r="AA54" s="37">
        <f>686650000</f>
        <v>686650000</v>
      </c>
      <c r="AB54" s="37">
        <f>168575000</f>
        <v>168575000</v>
      </c>
    </row>
    <row r="55" spans="1:28" s="37" customFormat="1">
      <c r="A55" s="37">
        <v>42</v>
      </c>
      <c r="B55" s="37" t="s">
        <v>2251</v>
      </c>
      <c r="C55" s="37" t="s">
        <v>823</v>
      </c>
      <c r="D55" s="37">
        <v>1</v>
      </c>
      <c r="O55" s="37">
        <f>77400000</f>
        <v>77400000</v>
      </c>
      <c r="P55" s="37">
        <f>AVERAGE(97100000,54350000)</f>
        <v>75725000</v>
      </c>
      <c r="Q55" s="37">
        <f>AVERAGE(151700000,58400000,66200000)</f>
        <v>92100000</v>
      </c>
      <c r="R55" s="37">
        <f>AVERAGE(230500000,137450000,315625000)</f>
        <v>227858333.33333334</v>
      </c>
      <c r="S55" s="37">
        <f>AVERAGE(178225000,310600000)</f>
        <v>244412500</v>
      </c>
      <c r="T55" s="37">
        <f>227650000</f>
        <v>227650000</v>
      </c>
      <c r="U55" s="37">
        <f>AVERAGE(415200000,233450000)</f>
        <v>324325000</v>
      </c>
      <c r="V55" s="37">
        <f>AVERAGE(93400000,109475000,328725000,65750000)</f>
        <v>149337500</v>
      </c>
      <c r="W55" s="37">
        <f>315625000</f>
        <v>315625000</v>
      </c>
      <c r="X55" s="37">
        <f>274850000</f>
        <v>274850000</v>
      </c>
      <c r="Y55" s="37">
        <f>AVERAGE(384250000,659900000)</f>
        <v>522075000</v>
      </c>
      <c r="Z55" s="37">
        <f>491900000</f>
        <v>491900000</v>
      </c>
      <c r="AA55" s="55">
        <f>394825000</f>
        <v>394825000</v>
      </c>
      <c r="AB55" s="37">
        <f>581475000</f>
        <v>581475000</v>
      </c>
    </row>
    <row r="56" spans="1:28" s="37" customFormat="1">
      <c r="A56" s="37">
        <v>43</v>
      </c>
      <c r="B56" s="37" t="s">
        <v>2251</v>
      </c>
      <c r="C56" s="37" t="s">
        <v>931</v>
      </c>
      <c r="D56" s="37">
        <v>1</v>
      </c>
      <c r="O56" s="37">
        <f>41450000</f>
        <v>41450000</v>
      </c>
      <c r="P56" s="37">
        <f>AVERAGE(150100000,34650000)</f>
        <v>92375000</v>
      </c>
      <c r="Q56" s="37">
        <f>AVERAGE(73425000,63750000,66400000)</f>
        <v>67858333.333333328</v>
      </c>
      <c r="R56" s="37">
        <f>AVERAGE(47200000,85800000,126700000,46450000,23100000)</f>
        <v>65850000</v>
      </c>
      <c r="S56" s="37">
        <f>AVERAGE(72500000,51075000,77550000)</f>
        <v>67041666.666666664</v>
      </c>
      <c r="T56" s="37">
        <f>301000000</f>
        <v>301000000</v>
      </c>
      <c r="U56" s="37">
        <f>AVERAGE(254950000,90775000)</f>
        <v>172862500</v>
      </c>
      <c r="V56" s="37">
        <f>AVERAGE(582650000,104450000)</f>
        <v>343550000</v>
      </c>
      <c r="W56" s="37">
        <f>AVERAGE(282125000,479800000,797775000)</f>
        <v>519900000</v>
      </c>
      <c r="X56" s="37">
        <f>AVERAGE(429800000,235950000,674050000,33350000)</f>
        <v>343287500</v>
      </c>
      <c r="Y56" s="37">
        <f>AVERAGE(268100000,281675000)</f>
        <v>274887500</v>
      </c>
      <c r="Z56" s="37">
        <f>AVERAGE(235950000,164550000)</f>
        <v>200250000</v>
      </c>
      <c r="AA56" s="37">
        <f>AVERAGE(193475000,329900000)</f>
        <v>261687500</v>
      </c>
      <c r="AB56" s="37">
        <f>AVERAGE(307300000,248150000)</f>
        <v>277725000</v>
      </c>
    </row>
    <row r="57" spans="1:28" s="37" customFormat="1">
      <c r="A57" s="37">
        <v>44</v>
      </c>
      <c r="B57" s="37" t="s">
        <v>2251</v>
      </c>
      <c r="C57" s="37" t="s">
        <v>1051</v>
      </c>
      <c r="D57" s="37">
        <v>1</v>
      </c>
      <c r="O57" s="37">
        <f>174600000</f>
        <v>174600000</v>
      </c>
      <c r="P57" s="37">
        <f>AVERAGE(91650000,53400000)</f>
        <v>72525000</v>
      </c>
      <c r="Q57" s="37">
        <f>AVERAGE(27750000,153400000,3775000,290000000)</f>
        <v>118731250</v>
      </c>
      <c r="R57" s="37">
        <f>AVERAGE(54800000,41550000,137450000,850000)</f>
        <v>58662500</v>
      </c>
      <c r="S57" s="37">
        <f>AVERAGE(32900000,7065000,18075000,297250000,77800000)</f>
        <v>86618000</v>
      </c>
      <c r="T57" s="37">
        <f>AVERAGE(20225000,51875000,84850000,679050000,14250000,20175000)</f>
        <v>145070833.33333334</v>
      </c>
      <c r="U57" s="37">
        <f>AVERAGE(55450000,481475000)</f>
        <v>268462500</v>
      </c>
      <c r="V57" s="37">
        <f>AVERAGE(6875000,281250000,29000000)</f>
        <v>105708333.33333333</v>
      </c>
      <c r="W57" s="37">
        <f>AVERAGE(2520000,4475000)</f>
        <v>3497500</v>
      </c>
      <c r="X57" s="37">
        <f>AVERAGE(30245000,2300000,24175000,33350000)</f>
        <v>22517500</v>
      </c>
      <c r="Z57" s="37">
        <f>AVERAGE(14355000,164550000)</f>
        <v>89452500</v>
      </c>
      <c r="AB57" s="37">
        <f>AVERAGE(9035000,1885000)</f>
        <v>5460000</v>
      </c>
    </row>
    <row r="58" spans="1:28" s="37" customFormat="1">
      <c r="A58" s="37">
        <v>45</v>
      </c>
      <c r="B58" s="37" t="s">
        <v>2251</v>
      </c>
      <c r="C58" s="37" t="s">
        <v>1097</v>
      </c>
      <c r="D58" s="37">
        <v>1</v>
      </c>
      <c r="N58" s="37">
        <f>63950000</f>
        <v>63950000</v>
      </c>
      <c r="O58" s="37">
        <f>51450000</f>
        <v>51450000</v>
      </c>
      <c r="P58" s="37">
        <f>AVERAGE(23950000,39900000,47950000)</f>
        <v>37266666.666666664</v>
      </c>
      <c r="Q58" s="37">
        <f>256850000</f>
        <v>256850000</v>
      </c>
      <c r="R58" s="37">
        <f>AVERAGE(54800000,9600000)</f>
        <v>32200000</v>
      </c>
      <c r="S58" s="37">
        <f>226800000</f>
        <v>226800000</v>
      </c>
      <c r="T58" s="37">
        <f>AVERAGE(556225000,125100000,121050000,126250000)</f>
        <v>232156250</v>
      </c>
      <c r="U58" s="37">
        <f>AVERAGE(15950000,17700000,169300000,73990000)</f>
        <v>69235000</v>
      </c>
      <c r="V58" s="37">
        <f>381400000</f>
        <v>381400000</v>
      </c>
    </row>
    <row r="59" spans="1:28" s="37" customFormat="1">
      <c r="A59" s="37">
        <v>46</v>
      </c>
      <c r="B59" s="37" t="s">
        <v>2251</v>
      </c>
      <c r="C59" s="37" t="s">
        <v>772</v>
      </c>
      <c r="D59" s="37">
        <v>1</v>
      </c>
      <c r="H59" s="37">
        <f>30050000</f>
        <v>30050000</v>
      </c>
      <c r="J59" s="37">
        <f>105600000</f>
        <v>105600000</v>
      </c>
      <c r="K59" s="37">
        <f>AVERAGE(255800000,139650000)</f>
        <v>197725000</v>
      </c>
      <c r="L59" s="37">
        <f>52150000</f>
        <v>52150000</v>
      </c>
      <c r="M59" s="37">
        <f>AVERAGE(27300000,79500000)</f>
        <v>53400000</v>
      </c>
      <c r="N59" s="37">
        <f>AVERAGE(19100000,105250000,174800000)</f>
        <v>99716666.666666672</v>
      </c>
      <c r="O59" s="37">
        <f>18450000</f>
        <v>18450000</v>
      </c>
      <c r="P59" s="37">
        <f>AVERAGE(4625000,362000000,69450000)</f>
        <v>145358333.33333334</v>
      </c>
      <c r="Q59" s="37">
        <f>AVERAGE(169700000,28650000,256850000)</f>
        <v>151733333.33333334</v>
      </c>
      <c r="R59" s="37">
        <f>AVERAGE(13200000,19150000)</f>
        <v>16175000</v>
      </c>
      <c r="S59" s="37">
        <f>73925000</f>
        <v>73925000</v>
      </c>
      <c r="U59" s="37">
        <f>AVERAGE(1710000,169300000)</f>
        <v>85505000</v>
      </c>
      <c r="V59" s="37">
        <f>AVERAGE(30850000,284750000)</f>
        <v>157800000</v>
      </c>
    </row>
    <row r="60" spans="1:28" hidden="1">
      <c r="C60" s="17" t="s">
        <v>1050</v>
      </c>
      <c r="D60">
        <v>0</v>
      </c>
    </row>
    <row r="61" spans="1:28" hidden="1">
      <c r="C61" s="17" t="s">
        <v>1805</v>
      </c>
      <c r="D61">
        <v>0</v>
      </c>
    </row>
    <row r="62" spans="1:28" s="37" customFormat="1">
      <c r="A62" s="37">
        <v>47</v>
      </c>
      <c r="B62" s="37" t="s">
        <v>2251</v>
      </c>
      <c r="C62" s="37" t="s">
        <v>396</v>
      </c>
      <c r="D62" s="37">
        <v>1</v>
      </c>
      <c r="E62" s="37">
        <f>28485000</f>
        <v>28485000</v>
      </c>
      <c r="F62" s="37">
        <f>AVERAGE(38750000,120125000)</f>
        <v>79437500</v>
      </c>
      <c r="G62" s="37">
        <f>AVERAGE(58975000,8875000,40900000)</f>
        <v>36250000</v>
      </c>
      <c r="H62" s="37">
        <f>AVERAGE(48175000,56800000,68700000)</f>
        <v>57891666.666666664</v>
      </c>
      <c r="I62" s="37">
        <f>AVERAGE(51550000,33600000,5500000)</f>
        <v>30216666.666666668</v>
      </c>
      <c r="J62" s="37">
        <f>AVERAGE(200000,14675000,18050000,900000,127750000,18225000)</f>
        <v>29966666.666666668</v>
      </c>
      <c r="K62" s="37">
        <f>AVERAGE(187650000,550000)</f>
        <v>94100000</v>
      </c>
      <c r="L62" s="37">
        <f>AVERAGE(53200000,1075000)</f>
        <v>27137500</v>
      </c>
      <c r="M62" s="37">
        <f>AVERAGE(3700000,12850000,4900000)</f>
        <v>7150000</v>
      </c>
      <c r="N62" s="37">
        <f>AVERAGE(3950000,1300000)</f>
        <v>2625000</v>
      </c>
      <c r="O62" s="37">
        <f>3950000</f>
        <v>3950000</v>
      </c>
      <c r="P62" s="37">
        <f>AVERAGE(20000000,362000000,31250000)</f>
        <v>137750000</v>
      </c>
      <c r="Q62" s="37">
        <f>38550000</f>
        <v>38550000</v>
      </c>
      <c r="R62" s="37">
        <f>AVERAGE(39050000,9400000,721550000,232200000)</f>
        <v>250550000</v>
      </c>
      <c r="S62" s="37">
        <f>AVERAGE(7600000,77800000)</f>
        <v>42700000</v>
      </c>
      <c r="T62" s="37">
        <f>AVERAGE(51875000,556225000,117250000,20175000)</f>
        <v>186381250</v>
      </c>
      <c r="U62" s="37">
        <f>AVERAGE(6250000,11525000)</f>
        <v>8887500</v>
      </c>
      <c r="V62" s="37">
        <f>AVERAGE(2225000,221075000,923750000,14225000,292875000,7290000)</f>
        <v>243573333.33333334</v>
      </c>
      <c r="W62" s="37">
        <f>AVERAGE(192600000,899600000,19950000,420000,797775000)</f>
        <v>382069000</v>
      </c>
      <c r="X62" s="37">
        <f>AVERAGE(25600000,30245000)</f>
        <v>27922500</v>
      </c>
      <c r="Y62" s="37">
        <f>AVERAGE(1845000,16055000,43750000)</f>
        <v>20550000</v>
      </c>
      <c r="Z62" s="37">
        <f>AVERAGE(252700000,282300000)</f>
        <v>267500000</v>
      </c>
      <c r="AA62" s="37">
        <f>AVERAGE(62200000,959250000,7445000)</f>
        <v>342965000</v>
      </c>
      <c r="AB62" s="37">
        <f>AVERAGE(61800000,300000,26560000)</f>
        <v>29553333.333333332</v>
      </c>
    </row>
    <row r="63" spans="1:28" hidden="1">
      <c r="C63" s="17" t="s">
        <v>453</v>
      </c>
      <c r="D63">
        <v>0</v>
      </c>
    </row>
    <row r="64" spans="1:28" hidden="1">
      <c r="C64" s="17" t="s">
        <v>1653</v>
      </c>
      <c r="D64">
        <v>0</v>
      </c>
    </row>
    <row r="65" spans="1:28" hidden="1">
      <c r="C65" s="17" t="s">
        <v>411</v>
      </c>
      <c r="D65">
        <v>0</v>
      </c>
    </row>
    <row r="66" spans="1:28" hidden="1">
      <c r="C66" s="17" t="s">
        <v>1825</v>
      </c>
      <c r="D66">
        <v>0</v>
      </c>
    </row>
    <row r="67" spans="1:28" hidden="1">
      <c r="C67" s="17" t="s">
        <v>827</v>
      </c>
      <c r="D67">
        <v>0</v>
      </c>
    </row>
    <row r="68" spans="1:28" s="37" customFormat="1">
      <c r="A68" s="37">
        <v>48</v>
      </c>
      <c r="B68" s="37" t="s">
        <v>2251</v>
      </c>
      <c r="C68" s="37" t="s">
        <v>1074</v>
      </c>
      <c r="D68" s="37">
        <v>1</v>
      </c>
      <c r="G68" s="37">
        <f>150000</f>
        <v>150000</v>
      </c>
      <c r="M68" s="37">
        <f>200200000</f>
        <v>200200000</v>
      </c>
      <c r="N68" s="37">
        <f>3200000</f>
        <v>3200000</v>
      </c>
      <c r="O68" s="37">
        <f>3500000</f>
        <v>3500000</v>
      </c>
      <c r="P68" s="37">
        <f>28600000</f>
        <v>28600000</v>
      </c>
      <c r="Q68" s="37">
        <f>AVERAGE(82200000,4225000)</f>
        <v>43212500</v>
      </c>
      <c r="R68" s="37">
        <f>AVERAGE(13450000,103200000,12375000)</f>
        <v>43008333.333333336</v>
      </c>
      <c r="S68" s="37">
        <f>AVERAGE(89800000,1200000,20825000)</f>
        <v>37275000</v>
      </c>
      <c r="T68" s="37">
        <f>AVERAGE(195900000,1925000,556225000,1125000,14250000)</f>
        <v>153885000</v>
      </c>
      <c r="U68" s="37">
        <f>AVERAGE(785000,19725000)</f>
        <v>10255000</v>
      </c>
      <c r="V68" s="37">
        <f>AVERAGE(6875000,81225000,500000,29000000)</f>
        <v>29400000</v>
      </c>
      <c r="W68" s="37">
        <f>AVERAGE(19950000,2495000,4475000)</f>
        <v>8973333.333333334</v>
      </c>
      <c r="X68" s="37">
        <f>AVERAGE(2300000,510000)</f>
        <v>1405000</v>
      </c>
      <c r="Z68" s="37">
        <f>AVERAGE(8125000,47600000)</f>
        <v>27862500</v>
      </c>
      <c r="AA68" s="37">
        <f>AVERAGE(686650000,2865000)</f>
        <v>344757500</v>
      </c>
      <c r="AB68" s="37">
        <f>AVERAGE(693750000,26560000)</f>
        <v>360155000</v>
      </c>
    </row>
    <row r="69" spans="1:28" s="37" customFormat="1">
      <c r="A69" s="37">
        <v>49</v>
      </c>
      <c r="B69" s="37" t="s">
        <v>2251</v>
      </c>
      <c r="C69" s="37" t="s">
        <v>959</v>
      </c>
      <c r="D69" s="37">
        <v>1</v>
      </c>
      <c r="F69" s="37">
        <f>AVERAGE(24700000,39300000)</f>
        <v>32000000</v>
      </c>
      <c r="G69" s="37">
        <f>AVERAGE(11250000,57525000)</f>
        <v>34387500</v>
      </c>
      <c r="H69" s="37">
        <f>18225000</f>
        <v>18225000</v>
      </c>
      <c r="I69" s="37">
        <f>AVERAGE(39600000,26850000)</f>
        <v>33225000</v>
      </c>
      <c r="M69" s="37">
        <f>51000000</f>
        <v>51000000</v>
      </c>
      <c r="N69" s="37">
        <f>AVERAGE(61900000,7400000)</f>
        <v>34650000</v>
      </c>
      <c r="S69" s="37">
        <f>28300000</f>
        <v>28300000</v>
      </c>
      <c r="U69" s="37">
        <f>AVERAGE(107800000,602400000,375000)</f>
        <v>236858333.33333334</v>
      </c>
      <c r="V69" s="37">
        <f>AVERAGE(14225000,1412450000)</f>
        <v>713337500</v>
      </c>
      <c r="W69" s="37">
        <f>8985000</f>
        <v>8985000</v>
      </c>
      <c r="X69" s="37">
        <f>AVERAGE(299025000,1495200000)</f>
        <v>897112500</v>
      </c>
      <c r="Y69" s="37">
        <f>268500000</f>
        <v>268500000</v>
      </c>
      <c r="Z69" s="37">
        <f>16825000</f>
        <v>16825000</v>
      </c>
      <c r="AA69" s="37">
        <f>1399750000</f>
        <v>1399750000</v>
      </c>
    </row>
    <row r="70" spans="1:28" s="37" customFormat="1">
      <c r="A70" s="37">
        <v>50</v>
      </c>
      <c r="B70" s="37" t="s">
        <v>2251</v>
      </c>
      <c r="C70" s="37" t="s">
        <v>1477</v>
      </c>
      <c r="D70" s="37">
        <v>1</v>
      </c>
      <c r="F70" s="37">
        <f>21500000</f>
        <v>21500000</v>
      </c>
      <c r="G70" s="37">
        <f>18450000</f>
        <v>18450000</v>
      </c>
      <c r="H70" s="37">
        <f>431450000</f>
        <v>431450000</v>
      </c>
      <c r="I70" s="37">
        <f>AVERAGE(10275000,84000000)</f>
        <v>47137500</v>
      </c>
      <c r="J70" s="37">
        <f>AVERAGE(56200000,28300000,42175000)</f>
        <v>42225000</v>
      </c>
      <c r="Q70" s="37">
        <f>72075000</f>
        <v>72075000</v>
      </c>
      <c r="R70" s="37">
        <f>AVERAGE(84800000,160550000)</f>
        <v>122675000</v>
      </c>
      <c r="T70" s="37">
        <f>22950000</f>
        <v>22950000</v>
      </c>
      <c r="U70" s="37">
        <f>AVERAGE(62975000,27925000,107800000)</f>
        <v>66233333.333333336</v>
      </c>
      <c r="V70" s="37">
        <f>1080600000</f>
        <v>1080600000</v>
      </c>
      <c r="X70" s="37">
        <f>85450000</f>
        <v>85450000</v>
      </c>
      <c r="Y70" s="37">
        <f>242400000</f>
        <v>242400000</v>
      </c>
      <c r="AA70" s="37">
        <f>AVERAGE(12775000,14675000)</f>
        <v>13725000</v>
      </c>
    </row>
    <row r="71" spans="1:28" s="37" customFormat="1">
      <c r="A71" s="37">
        <v>51</v>
      </c>
      <c r="B71" s="37" t="s">
        <v>2251</v>
      </c>
      <c r="C71" s="37" t="s">
        <v>1265</v>
      </c>
      <c r="D71" s="37">
        <v>1</v>
      </c>
      <c r="Q71" s="37">
        <f>34300000</f>
        <v>34300000</v>
      </c>
      <c r="R71" s="37">
        <f>16550000</f>
        <v>16550000</v>
      </c>
      <c r="S71" s="37">
        <f>AVERAGE(116200000,18075000,4200000)</f>
        <v>46158333.333333336</v>
      </c>
      <c r="T71" s="37">
        <f>67175000</f>
        <v>67175000</v>
      </c>
      <c r="U71" s="37">
        <f>153025000</f>
        <v>153025000</v>
      </c>
      <c r="V71" s="37">
        <f>AVERAGE(13150000,157825000)</f>
        <v>85487500</v>
      </c>
      <c r="W71" s="37">
        <f>899600000</f>
        <v>899600000</v>
      </c>
      <c r="X71" s="37">
        <f>AVERAGE(235950000,170325000)</f>
        <v>203137500</v>
      </c>
      <c r="Y71" s="37">
        <f>616300000</f>
        <v>616300000</v>
      </c>
      <c r="Z71" s="37">
        <f>28030000</f>
        <v>28030000</v>
      </c>
      <c r="AB71" s="37">
        <f>281900000</f>
        <v>281900000</v>
      </c>
    </row>
    <row r="72" spans="1:28" hidden="1">
      <c r="C72" s="17" t="s">
        <v>1096</v>
      </c>
      <c r="D72">
        <v>0</v>
      </c>
    </row>
    <row r="73" spans="1:28" s="37" customFormat="1">
      <c r="A73" s="37">
        <v>52</v>
      </c>
      <c r="B73" s="37" t="s">
        <v>2251</v>
      </c>
      <c r="C73" s="37" t="s">
        <v>921</v>
      </c>
      <c r="D73" s="37">
        <v>1</v>
      </c>
      <c r="T73" s="37">
        <f>AVERAGE(556225000,204950000)</f>
        <v>380587500</v>
      </c>
      <c r="U73" s="37">
        <f>210325000</f>
        <v>210325000</v>
      </c>
      <c r="V73" s="37">
        <f>AVERAGE(434675000,168625000)</f>
        <v>301650000</v>
      </c>
      <c r="W73" s="37">
        <f>AVERAGE(548375000,574050000)</f>
        <v>561212500</v>
      </c>
      <c r="X73" s="37">
        <f>401000000</f>
        <v>401000000</v>
      </c>
      <c r="Y73" s="37">
        <f>AVERAGE(388900000,584900000,140175000)</f>
        <v>371325000</v>
      </c>
      <c r="AA73" s="37">
        <f>237550000</f>
        <v>237550000</v>
      </c>
    </row>
    <row r="74" spans="1:28" hidden="1">
      <c r="C74" t="s">
        <v>1058</v>
      </c>
      <c r="D74">
        <v>0</v>
      </c>
    </row>
    <row r="75" spans="1:28" s="37" customFormat="1">
      <c r="A75" s="37">
        <v>53</v>
      </c>
      <c r="B75" s="37" t="s">
        <v>2251</v>
      </c>
      <c r="C75" s="37" t="s">
        <v>912</v>
      </c>
      <c r="D75" s="37">
        <v>1</v>
      </c>
      <c r="S75" s="37">
        <f>209200000</f>
        <v>209200000</v>
      </c>
      <c r="T75" s="37">
        <f>361900000</f>
        <v>361900000</v>
      </c>
      <c r="U75" s="37">
        <f>AVERAGE(279450000,628475000,201875000)</f>
        <v>369933333.33333331</v>
      </c>
      <c r="V75" s="37">
        <f>AVERAGE(923750000,400500000)</f>
        <v>662125000</v>
      </c>
      <c r="W75" s="37">
        <f>686150000</f>
        <v>686150000</v>
      </c>
      <c r="X75" s="37">
        <f>1055700000</f>
        <v>1055700000</v>
      </c>
      <c r="Y75" s="37">
        <f>AVERAGE(1779900000,568250000)</f>
        <v>1174075000</v>
      </c>
      <c r="AA75" s="37">
        <f>AVERAGE(358700000,228025000,685550000)</f>
        <v>424091666.66666669</v>
      </c>
      <c r="AB75" s="37">
        <f>1064800000</f>
        <v>1064800000</v>
      </c>
    </row>
    <row r="76" spans="1:28" hidden="1">
      <c r="C76" s="17" t="s">
        <v>1665</v>
      </c>
      <c r="D76">
        <v>0</v>
      </c>
    </row>
    <row r="77" spans="1:28" s="37" customFormat="1">
      <c r="A77" s="37">
        <v>54</v>
      </c>
      <c r="B77" s="37" t="s">
        <v>2251</v>
      </c>
      <c r="C77" s="37" t="s">
        <v>808</v>
      </c>
      <c r="D77" s="37">
        <v>1</v>
      </c>
      <c r="O77" s="37">
        <f>500000</f>
        <v>500000</v>
      </c>
      <c r="Q77" s="37">
        <f>AVERAGE(1075000,38550000)</f>
        <v>19812500</v>
      </c>
      <c r="R77" s="37">
        <f>AVERAGE(27025000,144000000)</f>
        <v>85512500</v>
      </c>
      <c r="S77" s="37">
        <f>AVERAGE(9085000,26775000,781650000)</f>
        <v>272503333.33333331</v>
      </c>
      <c r="T77" s="37">
        <f>AVERAGE(19575000,98075000,511200000)</f>
        <v>209616666.66666666</v>
      </c>
      <c r="U77" s="37">
        <f>AVERAGE(55450000,30350000)</f>
        <v>42900000</v>
      </c>
      <c r="V77" s="37">
        <f>AVERAGE(130000,12150000,22900000,1080600000,9075000)</f>
        <v>224971000</v>
      </c>
      <c r="W77" s="37">
        <f>AVERAGE(24700000,14100000)</f>
        <v>19400000</v>
      </c>
      <c r="X77" s="37">
        <f>AVERAGE(5425000,1117925000,202275000,65825000)</f>
        <v>347862500</v>
      </c>
      <c r="Z77" s="37">
        <f>642950000</f>
        <v>642950000</v>
      </c>
      <c r="AB77" s="37">
        <f>AVERAGE(143050000,1380000)</f>
        <v>72215000</v>
      </c>
    </row>
    <row r="78" spans="1:28" hidden="1">
      <c r="C78" s="17" t="s">
        <v>1473</v>
      </c>
      <c r="D78">
        <v>0</v>
      </c>
    </row>
    <row r="79" spans="1:28">
      <c r="A79">
        <v>55</v>
      </c>
      <c r="C79" t="s">
        <v>918</v>
      </c>
      <c r="D79">
        <v>1</v>
      </c>
    </row>
    <row r="80" spans="1:28">
      <c r="A80">
        <v>56</v>
      </c>
      <c r="C80" s="17" t="s">
        <v>1113</v>
      </c>
      <c r="D80">
        <v>1</v>
      </c>
    </row>
    <row r="81" spans="1:4" hidden="1">
      <c r="C81" s="17" t="s">
        <v>1670</v>
      </c>
      <c r="D81">
        <v>0</v>
      </c>
    </row>
    <row r="82" spans="1:4" hidden="1">
      <c r="C82" s="17" t="s">
        <v>1671</v>
      </c>
      <c r="D82">
        <v>0</v>
      </c>
    </row>
    <row r="83" spans="1:4" hidden="1">
      <c r="C83" s="17" t="s">
        <v>1365</v>
      </c>
      <c r="D83">
        <v>0</v>
      </c>
    </row>
    <row r="84" spans="1:4">
      <c r="A84">
        <v>57</v>
      </c>
      <c r="C84" s="17" t="s">
        <v>1299</v>
      </c>
      <c r="D84">
        <v>1</v>
      </c>
    </row>
    <row r="85" spans="1:4">
      <c r="A85">
        <v>58</v>
      </c>
      <c r="C85" s="17" t="s">
        <v>1032</v>
      </c>
      <c r="D85">
        <v>1</v>
      </c>
    </row>
    <row r="86" spans="1:4" hidden="1">
      <c r="C86" s="17" t="s">
        <v>1132</v>
      </c>
      <c r="D86">
        <v>0</v>
      </c>
    </row>
    <row r="87" spans="1:4">
      <c r="A87">
        <v>59</v>
      </c>
      <c r="C87" s="17" t="s">
        <v>1244</v>
      </c>
      <c r="D87">
        <v>1</v>
      </c>
    </row>
    <row r="88" spans="1:4">
      <c r="A88">
        <v>60</v>
      </c>
      <c r="C88" s="17" t="s">
        <v>789</v>
      </c>
      <c r="D88">
        <v>1</v>
      </c>
    </row>
    <row r="89" spans="1:4" hidden="1">
      <c r="C89" s="17" t="s">
        <v>1369</v>
      </c>
      <c r="D89">
        <v>0</v>
      </c>
    </row>
    <row r="90" spans="1:4">
      <c r="A90">
        <v>61</v>
      </c>
      <c r="C90" s="17" t="s">
        <v>1028</v>
      </c>
      <c r="D90">
        <v>1</v>
      </c>
    </row>
    <row r="91" spans="1:4" hidden="1">
      <c r="C91" s="17" t="s">
        <v>814</v>
      </c>
      <c r="D91">
        <v>0</v>
      </c>
    </row>
    <row r="92" spans="1:4" hidden="1">
      <c r="C92" s="17" t="s">
        <v>1237</v>
      </c>
      <c r="D92">
        <v>0</v>
      </c>
    </row>
    <row r="93" spans="1:4">
      <c r="A93">
        <v>62</v>
      </c>
      <c r="C93" s="17" t="s">
        <v>810</v>
      </c>
      <c r="D93">
        <v>1</v>
      </c>
    </row>
    <row r="94" spans="1:4">
      <c r="A94">
        <v>63</v>
      </c>
      <c r="C94" s="17" t="s">
        <v>1333</v>
      </c>
      <c r="D94">
        <v>1</v>
      </c>
    </row>
    <row r="95" spans="1:4">
      <c r="A95">
        <v>64</v>
      </c>
      <c r="C95" s="17" t="s">
        <v>1360</v>
      </c>
      <c r="D95">
        <v>1</v>
      </c>
    </row>
    <row r="96" spans="1:4">
      <c r="A96">
        <v>65</v>
      </c>
      <c r="C96" s="17" t="s">
        <v>1225</v>
      </c>
      <c r="D96">
        <v>1</v>
      </c>
    </row>
    <row r="97" spans="1:4">
      <c r="A97">
        <v>66</v>
      </c>
      <c r="C97" s="22" t="s">
        <v>1327</v>
      </c>
      <c r="D97">
        <v>1</v>
      </c>
    </row>
    <row r="98" spans="1:4">
      <c r="A98">
        <v>67</v>
      </c>
      <c r="C98" s="17" t="s">
        <v>474</v>
      </c>
      <c r="D98">
        <v>1</v>
      </c>
    </row>
    <row r="99" spans="1:4" hidden="1">
      <c r="C99" s="17" t="s">
        <v>1690</v>
      </c>
      <c r="D99">
        <v>0</v>
      </c>
    </row>
    <row r="100" spans="1:4">
      <c r="A100">
        <v>68</v>
      </c>
      <c r="C100" s="17" t="s">
        <v>69</v>
      </c>
      <c r="D100">
        <v>1</v>
      </c>
    </row>
    <row r="101" spans="1:4">
      <c r="A101">
        <v>69</v>
      </c>
      <c r="C101" s="17" t="s">
        <v>1494</v>
      </c>
      <c r="D101">
        <v>1</v>
      </c>
    </row>
    <row r="102" spans="1:4">
      <c r="A102">
        <v>70</v>
      </c>
      <c r="C102" s="17" t="s">
        <v>788</v>
      </c>
      <c r="D102">
        <v>1</v>
      </c>
    </row>
    <row r="103" spans="1:4">
      <c r="A103">
        <v>71</v>
      </c>
      <c r="C103" s="17" t="s">
        <v>1176</v>
      </c>
      <c r="D103">
        <v>1</v>
      </c>
    </row>
    <row r="104" spans="1:4">
      <c r="A104">
        <v>72</v>
      </c>
      <c r="C104" s="17" t="s">
        <v>1035</v>
      </c>
      <c r="D104">
        <v>1</v>
      </c>
    </row>
    <row r="105" spans="1:4">
      <c r="A105">
        <v>73</v>
      </c>
      <c r="C105" s="17" t="s">
        <v>1301</v>
      </c>
      <c r="D105">
        <v>1</v>
      </c>
    </row>
    <row r="106" spans="1:4">
      <c r="A106">
        <v>74</v>
      </c>
      <c r="C106" s="17" t="s">
        <v>1312</v>
      </c>
      <c r="D106">
        <v>1</v>
      </c>
    </row>
    <row r="107" spans="1:4">
      <c r="A107">
        <v>75</v>
      </c>
      <c r="C107" s="17" t="s">
        <v>1218</v>
      </c>
      <c r="D107">
        <v>1</v>
      </c>
    </row>
    <row r="108" spans="1:4">
      <c r="A108">
        <v>76</v>
      </c>
      <c r="C108" s="17" t="s">
        <v>1425</v>
      </c>
      <c r="D108">
        <v>1</v>
      </c>
    </row>
    <row r="109" spans="1:4">
      <c r="A109">
        <v>77</v>
      </c>
      <c r="C109" s="17" t="s">
        <v>1694</v>
      </c>
      <c r="D109">
        <v>1</v>
      </c>
    </row>
    <row r="110" spans="1:4">
      <c r="A110">
        <v>78</v>
      </c>
      <c r="C110" s="17" t="s">
        <v>1531</v>
      </c>
      <c r="D110">
        <v>1</v>
      </c>
    </row>
    <row r="111" spans="1:4">
      <c r="A111">
        <v>79</v>
      </c>
      <c r="C111" s="17" t="s">
        <v>1033</v>
      </c>
      <c r="D111">
        <v>1</v>
      </c>
    </row>
    <row r="112" spans="1:4">
      <c r="A112">
        <v>80</v>
      </c>
      <c r="C112" s="17" t="s">
        <v>1220</v>
      </c>
      <c r="D112">
        <v>1</v>
      </c>
    </row>
    <row r="113" spans="1:4">
      <c r="A113">
        <v>81</v>
      </c>
      <c r="C113" s="17" t="s">
        <v>1279</v>
      </c>
      <c r="D113">
        <v>1</v>
      </c>
    </row>
    <row r="114" spans="1:4">
      <c r="A114">
        <v>82</v>
      </c>
      <c r="C114" s="17" t="s">
        <v>803</v>
      </c>
      <c r="D114">
        <v>1</v>
      </c>
    </row>
    <row r="115" spans="1:4" hidden="1">
      <c r="C115" s="17" t="s">
        <v>1407</v>
      </c>
      <c r="D115">
        <v>0</v>
      </c>
    </row>
    <row r="116" spans="1:4" hidden="1">
      <c r="C116" s="17" t="s">
        <v>1701</v>
      </c>
      <c r="D116">
        <v>0</v>
      </c>
    </row>
    <row r="117" spans="1:4" hidden="1">
      <c r="C117" s="17" t="s">
        <v>1706</v>
      </c>
      <c r="D117">
        <v>0</v>
      </c>
    </row>
    <row r="118" spans="1:4">
      <c r="A118">
        <v>83</v>
      </c>
      <c r="C118" s="17" t="s">
        <v>1214</v>
      </c>
      <c r="D118">
        <v>1</v>
      </c>
    </row>
    <row r="119" spans="1:4">
      <c r="A119">
        <v>84</v>
      </c>
      <c r="C119" s="17" t="s">
        <v>1158</v>
      </c>
      <c r="D119">
        <v>1</v>
      </c>
    </row>
    <row r="120" spans="1:4" hidden="1">
      <c r="C120" s="17" t="s">
        <v>1554</v>
      </c>
      <c r="D120">
        <v>0</v>
      </c>
    </row>
    <row r="121" spans="1:4">
      <c r="A121">
        <v>85</v>
      </c>
      <c r="C121" s="17" t="s">
        <v>1355</v>
      </c>
      <c r="D121">
        <v>1</v>
      </c>
    </row>
    <row r="122" spans="1:4" hidden="1">
      <c r="C122" s="17" t="s">
        <v>1713</v>
      </c>
      <c r="D122">
        <v>0</v>
      </c>
    </row>
    <row r="123" spans="1:4">
      <c r="A123">
        <v>86</v>
      </c>
      <c r="C123" s="17" t="s">
        <v>1256</v>
      </c>
      <c r="D123">
        <v>1</v>
      </c>
    </row>
    <row r="124" spans="1:4">
      <c r="A124">
        <v>87</v>
      </c>
      <c r="C124" s="17" t="s">
        <v>1154</v>
      </c>
      <c r="D124">
        <v>1</v>
      </c>
    </row>
    <row r="125" spans="1:4" hidden="1">
      <c r="C125" t="s">
        <v>60</v>
      </c>
      <c r="D125">
        <v>0</v>
      </c>
    </row>
    <row r="126" spans="1:4">
      <c r="A126">
        <v>88</v>
      </c>
      <c r="C126" t="s">
        <v>59</v>
      </c>
      <c r="D126">
        <v>1</v>
      </c>
    </row>
    <row r="127" spans="1:4">
      <c r="A127">
        <v>89</v>
      </c>
      <c r="C127" s="17" t="s">
        <v>410</v>
      </c>
      <c r="D127">
        <v>1</v>
      </c>
    </row>
    <row r="128" spans="1:4" hidden="1">
      <c r="C128" s="17" t="s">
        <v>728</v>
      </c>
      <c r="D128">
        <v>0</v>
      </c>
    </row>
    <row r="129" spans="1:4" hidden="1">
      <c r="C129" s="17" t="s">
        <v>524</v>
      </c>
      <c r="D129">
        <v>0</v>
      </c>
    </row>
    <row r="130" spans="1:4">
      <c r="A130">
        <v>90</v>
      </c>
      <c r="C130" s="17" t="s">
        <v>488</v>
      </c>
      <c r="D130">
        <v>1</v>
      </c>
    </row>
    <row r="131" spans="1:4">
      <c r="A131">
        <v>91</v>
      </c>
      <c r="C131" s="17" t="s">
        <v>725</v>
      </c>
      <c r="D131">
        <v>1</v>
      </c>
    </row>
    <row r="132" spans="1:4" hidden="1">
      <c r="C132" s="17" t="s">
        <v>737</v>
      </c>
      <c r="D132">
        <v>0</v>
      </c>
    </row>
    <row r="133" spans="1:4" hidden="1">
      <c r="C133" s="17" t="s">
        <v>534</v>
      </c>
      <c r="D133">
        <v>0</v>
      </c>
    </row>
    <row r="134" spans="1:4" hidden="1">
      <c r="C134" s="17" t="s">
        <v>1593</v>
      </c>
      <c r="D134">
        <v>0</v>
      </c>
    </row>
    <row r="135" spans="1:4">
      <c r="A135">
        <v>92</v>
      </c>
      <c r="C135" s="17" t="s">
        <v>559</v>
      </c>
      <c r="D135">
        <v>1</v>
      </c>
    </row>
    <row r="136" spans="1:4">
      <c r="A136">
        <v>93</v>
      </c>
      <c r="C136" s="17" t="s">
        <v>398</v>
      </c>
      <c r="D136">
        <v>1</v>
      </c>
    </row>
    <row r="137" spans="1:4">
      <c r="A137">
        <v>94</v>
      </c>
      <c r="C137" t="s">
        <v>436</v>
      </c>
      <c r="D137">
        <v>1</v>
      </c>
    </row>
    <row r="138" spans="1:4">
      <c r="A138">
        <v>95</v>
      </c>
      <c r="C138" t="s">
        <v>542</v>
      </c>
      <c r="D138">
        <v>1</v>
      </c>
    </row>
    <row r="139" spans="1:4" hidden="1">
      <c r="C139" s="17" t="s">
        <v>1599</v>
      </c>
      <c r="D139">
        <v>0</v>
      </c>
    </row>
    <row r="140" spans="1:4" hidden="1">
      <c r="C140" s="17" t="s">
        <v>776</v>
      </c>
      <c r="D140">
        <v>0</v>
      </c>
    </row>
    <row r="141" spans="1:4">
      <c r="A141">
        <v>96</v>
      </c>
      <c r="C141" s="17" t="s">
        <v>461</v>
      </c>
      <c r="D141">
        <v>1</v>
      </c>
    </row>
    <row r="142" spans="1:4" hidden="1">
      <c r="C142" s="17" t="s">
        <v>478</v>
      </c>
      <c r="D142">
        <v>0</v>
      </c>
    </row>
    <row r="143" spans="1:4" hidden="1">
      <c r="C143" t="s">
        <v>565</v>
      </c>
      <c r="D143">
        <v>0</v>
      </c>
    </row>
    <row r="144" spans="1:4" hidden="1">
      <c r="C144" s="17" t="s">
        <v>1603</v>
      </c>
      <c r="D144">
        <v>0</v>
      </c>
    </row>
    <row r="145" spans="1:4" hidden="1">
      <c r="C145" s="17" t="s">
        <v>425</v>
      </c>
      <c r="D145">
        <v>0</v>
      </c>
    </row>
    <row r="146" spans="1:4">
      <c r="A146">
        <v>97</v>
      </c>
      <c r="C146" s="17" t="s">
        <v>500</v>
      </c>
      <c r="D146">
        <v>1</v>
      </c>
    </row>
    <row r="147" spans="1:4" hidden="1">
      <c r="C147" s="17" t="s">
        <v>1609</v>
      </c>
      <c r="D147">
        <v>0</v>
      </c>
    </row>
    <row r="148" spans="1:4" hidden="1">
      <c r="C148" s="17" t="s">
        <v>1747</v>
      </c>
      <c r="D148">
        <v>0</v>
      </c>
    </row>
    <row r="149" spans="1:4" hidden="1">
      <c r="C149" s="17" t="s">
        <v>745</v>
      </c>
      <c r="D149">
        <v>0</v>
      </c>
    </row>
    <row r="150" spans="1:4" hidden="1">
      <c r="C150" s="17" t="s">
        <v>761</v>
      </c>
      <c r="D150">
        <v>0</v>
      </c>
    </row>
    <row r="151" spans="1:4">
      <c r="A151">
        <v>98</v>
      </c>
      <c r="C151" s="17" t="s">
        <v>507</v>
      </c>
      <c r="D151">
        <v>1</v>
      </c>
    </row>
    <row r="152" spans="1:4" hidden="1">
      <c r="C152" s="17" t="s">
        <v>1762</v>
      </c>
      <c r="D152">
        <v>0</v>
      </c>
    </row>
    <row r="153" spans="1:4" hidden="1">
      <c r="C153" s="17" t="s">
        <v>551</v>
      </c>
      <c r="D153">
        <v>0</v>
      </c>
    </row>
    <row r="154" spans="1:4" hidden="1">
      <c r="C154" s="17" t="s">
        <v>1617</v>
      </c>
      <c r="D154">
        <v>0</v>
      </c>
    </row>
    <row r="155" spans="1:4">
      <c r="A155">
        <v>99</v>
      </c>
      <c r="C155" s="17" t="s">
        <v>449</v>
      </c>
      <c r="D155">
        <v>1</v>
      </c>
    </row>
    <row r="156" spans="1:4">
      <c r="A156">
        <v>100</v>
      </c>
      <c r="C156" s="17" t="s">
        <v>784</v>
      </c>
      <c r="D156">
        <v>1</v>
      </c>
    </row>
    <row r="157" spans="1:4">
      <c r="A157">
        <v>101</v>
      </c>
      <c r="C157" t="s">
        <v>492</v>
      </c>
      <c r="D157">
        <v>1</v>
      </c>
    </row>
    <row r="158" spans="1:4" hidden="1">
      <c r="C158" s="17" t="s">
        <v>1623</v>
      </c>
      <c r="D158">
        <v>0</v>
      </c>
    </row>
    <row r="159" spans="1:4" hidden="1">
      <c r="C159" s="17" t="s">
        <v>465</v>
      </c>
      <c r="D159">
        <v>0</v>
      </c>
    </row>
    <row r="160" spans="1:4">
      <c r="A160">
        <v>102</v>
      </c>
      <c r="C160" s="17" t="s">
        <v>792</v>
      </c>
      <c r="D160">
        <v>1</v>
      </c>
    </row>
    <row r="161" spans="1:4">
      <c r="A161">
        <v>103</v>
      </c>
      <c r="C161" s="17" t="s">
        <v>944</v>
      </c>
      <c r="D161">
        <v>1</v>
      </c>
    </row>
    <row r="162" spans="1:4">
      <c r="A162">
        <v>104</v>
      </c>
      <c r="C162" s="17" t="s">
        <v>518</v>
      </c>
      <c r="D162">
        <v>1</v>
      </c>
    </row>
    <row r="163" spans="1:4" hidden="1">
      <c r="C163" s="17" t="s">
        <v>1145</v>
      </c>
      <c r="D163">
        <v>0</v>
      </c>
    </row>
    <row r="164" spans="1:4" hidden="1">
      <c r="C164" t="s">
        <v>1064</v>
      </c>
      <c r="D164">
        <v>0</v>
      </c>
    </row>
    <row r="165" spans="1:4">
      <c r="A165">
        <v>105</v>
      </c>
      <c r="C165" s="17" t="s">
        <v>1784</v>
      </c>
      <c r="D165">
        <v>1</v>
      </c>
    </row>
    <row r="166" spans="1:4">
      <c r="A166">
        <v>106</v>
      </c>
      <c r="C166" t="s">
        <v>1021</v>
      </c>
      <c r="D166">
        <v>1</v>
      </c>
    </row>
    <row r="167" spans="1:4">
      <c r="A167">
        <v>107</v>
      </c>
      <c r="C167" t="s">
        <v>830</v>
      </c>
      <c r="D167">
        <v>1</v>
      </c>
    </row>
    <row r="168" spans="1:4">
      <c r="A168">
        <v>108</v>
      </c>
      <c r="C168" s="17" t="s">
        <v>1104</v>
      </c>
      <c r="D168">
        <v>1</v>
      </c>
    </row>
    <row r="169" spans="1:4">
      <c r="A169">
        <v>109</v>
      </c>
      <c r="C169" s="17" t="s">
        <v>922</v>
      </c>
      <c r="D169">
        <v>1</v>
      </c>
    </row>
    <row r="170" spans="1:4" hidden="1">
      <c r="C170" s="17" t="s">
        <v>1791</v>
      </c>
      <c r="D170">
        <v>0</v>
      </c>
    </row>
    <row r="171" spans="1:4">
      <c r="A171">
        <v>110</v>
      </c>
      <c r="C171" s="17" t="s">
        <v>824</v>
      </c>
      <c r="D171">
        <v>1</v>
      </c>
    </row>
    <row r="172" spans="1:4" hidden="1">
      <c r="C172" s="17" t="s">
        <v>938</v>
      </c>
      <c r="D172">
        <v>0</v>
      </c>
    </row>
    <row r="173" spans="1:4" hidden="1">
      <c r="C173" s="17" t="s">
        <v>966</v>
      </c>
      <c r="D173">
        <v>0</v>
      </c>
    </row>
    <row r="174" spans="1:4" hidden="1">
      <c r="C174" s="17" t="s">
        <v>1142</v>
      </c>
      <c r="D174">
        <v>0</v>
      </c>
    </row>
    <row r="175" spans="1:4" hidden="1">
      <c r="C175" s="17" t="s">
        <v>1117</v>
      </c>
      <c r="D175">
        <v>0</v>
      </c>
    </row>
    <row r="176" spans="1:4" hidden="1">
      <c r="C176" s="17" t="s">
        <v>1639</v>
      </c>
      <c r="D176">
        <v>0</v>
      </c>
    </row>
    <row r="177" spans="1:4" hidden="1">
      <c r="C177" s="17" t="s">
        <v>1094</v>
      </c>
      <c r="D177">
        <v>0</v>
      </c>
    </row>
    <row r="178" spans="1:4" hidden="1">
      <c r="C178" s="17" t="s">
        <v>1806</v>
      </c>
      <c r="D178">
        <v>0</v>
      </c>
    </row>
    <row r="179" spans="1:4">
      <c r="A179">
        <v>111</v>
      </c>
      <c r="C179" s="17" t="s">
        <v>939</v>
      </c>
      <c r="D179">
        <v>1</v>
      </c>
    </row>
    <row r="180" spans="1:4">
      <c r="A180">
        <v>112</v>
      </c>
      <c r="C180" s="17" t="s">
        <v>1082</v>
      </c>
      <c r="D180">
        <v>1</v>
      </c>
    </row>
    <row r="181" spans="1:4" hidden="1">
      <c r="C181" s="17" t="s">
        <v>1167</v>
      </c>
      <c r="D181">
        <v>0</v>
      </c>
    </row>
    <row r="182" spans="1:4" hidden="1">
      <c r="C182" s="17" t="s">
        <v>1818</v>
      </c>
      <c r="D182">
        <v>0</v>
      </c>
    </row>
    <row r="183" spans="1:4">
      <c r="A183">
        <v>113</v>
      </c>
      <c r="C183" t="s">
        <v>952</v>
      </c>
      <c r="D183">
        <v>1</v>
      </c>
    </row>
    <row r="184" spans="1:4" hidden="1">
      <c r="C184" s="17" t="s">
        <v>1654</v>
      </c>
      <c r="D184">
        <v>0</v>
      </c>
    </row>
    <row r="185" spans="1:4">
      <c r="A185">
        <v>114</v>
      </c>
      <c r="C185" s="17" t="s">
        <v>811</v>
      </c>
      <c r="D185">
        <v>1</v>
      </c>
    </row>
    <row r="186" spans="1:4">
      <c r="A186">
        <v>115</v>
      </c>
      <c r="C186" s="17" t="s">
        <v>1102</v>
      </c>
      <c r="D186">
        <v>1</v>
      </c>
    </row>
    <row r="187" spans="1:4">
      <c r="A187">
        <v>116</v>
      </c>
      <c r="C187" s="17" t="s">
        <v>806</v>
      </c>
      <c r="D187">
        <v>1</v>
      </c>
    </row>
    <row r="188" spans="1:4">
      <c r="A188">
        <v>117</v>
      </c>
      <c r="C188" s="17" t="s">
        <v>835</v>
      </c>
      <c r="D188">
        <v>1</v>
      </c>
    </row>
    <row r="189" spans="1:4" hidden="1">
      <c r="C189" s="17" t="s">
        <v>902</v>
      </c>
      <c r="D189">
        <v>0</v>
      </c>
    </row>
    <row r="190" spans="1:4">
      <c r="A190">
        <v>118</v>
      </c>
      <c r="C190" s="17" t="s">
        <v>831</v>
      </c>
      <c r="D190">
        <v>1</v>
      </c>
    </row>
    <row r="191" spans="1:4">
      <c r="A191">
        <v>119</v>
      </c>
      <c r="C191" s="17" t="s">
        <v>958</v>
      </c>
      <c r="D191">
        <v>1</v>
      </c>
    </row>
    <row r="192" spans="1:4" hidden="1">
      <c r="C192" s="17" t="s">
        <v>1835</v>
      </c>
      <c r="D192">
        <v>0</v>
      </c>
    </row>
    <row r="193" spans="1:4">
      <c r="A193">
        <v>120</v>
      </c>
      <c r="C193" s="17" t="s">
        <v>1108</v>
      </c>
      <c r="D193">
        <v>1</v>
      </c>
    </row>
    <row r="194" spans="1:4">
      <c r="A194">
        <v>121</v>
      </c>
      <c r="C194" s="17" t="s">
        <v>1464</v>
      </c>
      <c r="D194">
        <v>1</v>
      </c>
    </row>
    <row r="195" spans="1:4">
      <c r="A195">
        <v>122</v>
      </c>
      <c r="C195" s="17" t="s">
        <v>797</v>
      </c>
      <c r="D195">
        <v>1</v>
      </c>
    </row>
    <row r="196" spans="1:4">
      <c r="A196">
        <v>123</v>
      </c>
      <c r="C196" s="17" t="s">
        <v>813</v>
      </c>
      <c r="D196">
        <v>1</v>
      </c>
    </row>
    <row r="197" spans="1:4">
      <c r="A197">
        <v>124</v>
      </c>
      <c r="C197" s="17" t="s">
        <v>932</v>
      </c>
      <c r="D197">
        <v>1</v>
      </c>
    </row>
    <row r="198" spans="1:4" hidden="1">
      <c r="C198" t="s">
        <v>1059</v>
      </c>
      <c r="D198">
        <v>0</v>
      </c>
    </row>
    <row r="199" spans="1:4" hidden="1">
      <c r="C199" s="17" t="s">
        <v>1666</v>
      </c>
      <c r="D199">
        <v>0</v>
      </c>
    </row>
    <row r="200" spans="1:4" hidden="1">
      <c r="C200" s="17" t="s">
        <v>1474</v>
      </c>
      <c r="D200">
        <v>0</v>
      </c>
    </row>
    <row r="201" spans="1:4">
      <c r="A201">
        <v>125</v>
      </c>
      <c r="C201" s="17" t="s">
        <v>1131</v>
      </c>
      <c r="D201">
        <v>1</v>
      </c>
    </row>
    <row r="202" spans="1:4" hidden="1">
      <c r="C202" s="17" t="s">
        <v>1178</v>
      </c>
      <c r="D202">
        <v>0</v>
      </c>
    </row>
    <row r="203" spans="1:4" hidden="1">
      <c r="C203" s="17" t="s">
        <v>1672</v>
      </c>
      <c r="D203">
        <v>0</v>
      </c>
    </row>
    <row r="204" spans="1:4" hidden="1">
      <c r="C204" s="17" t="s">
        <v>1476</v>
      </c>
      <c r="D204">
        <v>0</v>
      </c>
    </row>
    <row r="205" spans="1:4">
      <c r="A205">
        <v>126</v>
      </c>
      <c r="C205" s="17" t="s">
        <v>1177</v>
      </c>
      <c r="D205">
        <v>1</v>
      </c>
    </row>
    <row r="206" spans="1:4">
      <c r="A206">
        <v>127</v>
      </c>
      <c r="C206" s="17" t="s">
        <v>1165</v>
      </c>
      <c r="D206">
        <v>1</v>
      </c>
    </row>
    <row r="207" spans="1:4" hidden="1">
      <c r="C207" s="17" t="s">
        <v>1366</v>
      </c>
      <c r="D207">
        <v>0</v>
      </c>
    </row>
    <row r="208" spans="1:4">
      <c r="A208">
        <v>128</v>
      </c>
      <c r="C208" s="17" t="s">
        <v>1170</v>
      </c>
      <c r="D208">
        <v>1</v>
      </c>
    </row>
    <row r="209" spans="1:4" hidden="1">
      <c r="C209" s="17" t="s">
        <v>1489</v>
      </c>
      <c r="D209">
        <v>0</v>
      </c>
    </row>
    <row r="210" spans="1:4" hidden="1">
      <c r="C210" s="17" t="s">
        <v>1499</v>
      </c>
      <c r="D210">
        <v>0</v>
      </c>
    </row>
    <row r="211" spans="1:4" hidden="1">
      <c r="C211" s="17" t="s">
        <v>1198</v>
      </c>
      <c r="D211">
        <v>0</v>
      </c>
    </row>
    <row r="212" spans="1:4" hidden="1">
      <c r="C212" s="17" t="s">
        <v>1319</v>
      </c>
      <c r="D212">
        <v>0</v>
      </c>
    </row>
    <row r="213" spans="1:4" hidden="1">
      <c r="C213" s="17" t="s">
        <v>1370</v>
      </c>
      <c r="D213">
        <v>0</v>
      </c>
    </row>
    <row r="214" spans="1:4">
      <c r="A214">
        <v>129</v>
      </c>
      <c r="C214" s="17" t="s">
        <v>1393</v>
      </c>
      <c r="D214">
        <v>1</v>
      </c>
    </row>
    <row r="215" spans="1:4">
      <c r="A215">
        <v>130</v>
      </c>
      <c r="C215" s="17" t="s">
        <v>1183</v>
      </c>
      <c r="D215">
        <v>1</v>
      </c>
    </row>
    <row r="216" spans="1:4">
      <c r="A216">
        <v>131</v>
      </c>
      <c r="C216" s="17" t="s">
        <v>1484</v>
      </c>
      <c r="D216">
        <v>1</v>
      </c>
    </row>
    <row r="217" spans="1:4">
      <c r="A217">
        <v>132</v>
      </c>
      <c r="C217" s="17" t="s">
        <v>1510</v>
      </c>
      <c r="D217">
        <v>1</v>
      </c>
    </row>
    <row r="218" spans="1:4">
      <c r="A218">
        <v>133</v>
      </c>
      <c r="C218" s="17" t="s">
        <v>1334</v>
      </c>
      <c r="D218">
        <v>1</v>
      </c>
    </row>
    <row r="219" spans="1:4">
      <c r="A219">
        <v>134</v>
      </c>
      <c r="C219" s="17" t="s">
        <v>1348</v>
      </c>
      <c r="D219">
        <v>1</v>
      </c>
    </row>
    <row r="220" spans="1:4" hidden="1">
      <c r="C220" s="17" t="s">
        <v>1420</v>
      </c>
      <c r="D220">
        <v>0</v>
      </c>
    </row>
    <row r="221" spans="1:4">
      <c r="A221">
        <v>135</v>
      </c>
      <c r="C221" s="17" t="s">
        <v>1691</v>
      </c>
      <c r="D221">
        <v>1</v>
      </c>
    </row>
    <row r="222" spans="1:4">
      <c r="A222">
        <v>136</v>
      </c>
      <c r="C222" s="17" t="s">
        <v>1519</v>
      </c>
      <c r="D222">
        <v>1</v>
      </c>
    </row>
    <row r="223" spans="1:4">
      <c r="A223">
        <v>137</v>
      </c>
      <c r="C223" s="17" t="s">
        <v>1187</v>
      </c>
      <c r="D223">
        <v>1</v>
      </c>
    </row>
    <row r="224" spans="1:4">
      <c r="A224">
        <v>138</v>
      </c>
      <c r="C224" s="17" t="s">
        <v>1036</v>
      </c>
      <c r="D224">
        <v>1</v>
      </c>
    </row>
    <row r="225" spans="1:4">
      <c r="A225">
        <v>139</v>
      </c>
      <c r="C225" s="17" t="s">
        <v>1351</v>
      </c>
      <c r="D225">
        <v>1</v>
      </c>
    </row>
    <row r="226" spans="1:4" hidden="1">
      <c r="C226" s="17" t="s">
        <v>1426</v>
      </c>
      <c r="D226">
        <v>0</v>
      </c>
    </row>
    <row r="227" spans="1:4">
      <c r="A227">
        <v>140</v>
      </c>
      <c r="C227" s="17" t="s">
        <v>1698</v>
      </c>
      <c r="D227">
        <v>1</v>
      </c>
    </row>
    <row r="228" spans="1:4">
      <c r="A228">
        <v>141</v>
      </c>
      <c r="C228" s="17" t="s">
        <v>1532</v>
      </c>
      <c r="D228">
        <v>1</v>
      </c>
    </row>
    <row r="229" spans="1:4">
      <c r="A229">
        <v>142</v>
      </c>
      <c r="C229" s="17" t="s">
        <v>1208</v>
      </c>
      <c r="D229">
        <v>1</v>
      </c>
    </row>
    <row r="230" spans="1:4">
      <c r="A230">
        <v>143</v>
      </c>
      <c r="C230" s="17" t="s">
        <v>1284</v>
      </c>
      <c r="D230">
        <v>1</v>
      </c>
    </row>
    <row r="231" spans="1:4">
      <c r="A231">
        <v>144</v>
      </c>
      <c r="C231" s="17" t="s">
        <v>1307</v>
      </c>
      <c r="D231">
        <v>1</v>
      </c>
    </row>
    <row r="232" spans="1:4" hidden="1">
      <c r="C232" s="17" t="s">
        <v>1328</v>
      </c>
      <c r="D232">
        <v>0</v>
      </c>
    </row>
    <row r="233" spans="1:4" hidden="1">
      <c r="C233" s="17" t="s">
        <v>1398</v>
      </c>
      <c r="D233">
        <v>0</v>
      </c>
    </row>
    <row r="234" spans="1:4">
      <c r="A234">
        <v>145</v>
      </c>
      <c r="C234" s="17" t="s">
        <v>1203</v>
      </c>
      <c r="D234">
        <v>1</v>
      </c>
    </row>
    <row r="235" spans="1:4">
      <c r="A235">
        <v>146</v>
      </c>
      <c r="C235" s="17" t="s">
        <v>1408</v>
      </c>
      <c r="D235">
        <v>1</v>
      </c>
    </row>
    <row r="236" spans="1:4" hidden="1">
      <c r="C236" s="17" t="s">
        <v>1432</v>
      </c>
      <c r="D236">
        <v>0</v>
      </c>
    </row>
    <row r="237" spans="1:4" hidden="1">
      <c r="C237" s="17" t="s">
        <v>1702</v>
      </c>
      <c r="D237">
        <v>0</v>
      </c>
    </row>
    <row r="238" spans="1:4" hidden="1">
      <c r="C238" s="17" t="s">
        <v>1707</v>
      </c>
      <c r="D238">
        <v>0</v>
      </c>
    </row>
    <row r="239" spans="1:4">
      <c r="A239">
        <v>147</v>
      </c>
      <c r="C239" s="17" t="s">
        <v>1295</v>
      </c>
      <c r="D239">
        <v>1</v>
      </c>
    </row>
    <row r="240" spans="1:4">
      <c r="A240">
        <v>148</v>
      </c>
      <c r="C240" s="17" t="s">
        <v>1555</v>
      </c>
      <c r="D240">
        <v>1</v>
      </c>
    </row>
    <row r="241" spans="1:4" hidden="1">
      <c r="C241" s="12" t="s">
        <v>1238</v>
      </c>
      <c r="D241">
        <v>0</v>
      </c>
    </row>
    <row r="242" spans="1:4">
      <c r="A242">
        <v>149</v>
      </c>
      <c r="C242" s="17" t="s">
        <v>1341</v>
      </c>
      <c r="D242">
        <v>1</v>
      </c>
    </row>
    <row r="243" spans="1:4">
      <c r="A243">
        <v>150</v>
      </c>
      <c r="C243" s="17" t="s">
        <v>469</v>
      </c>
      <c r="D243">
        <v>1</v>
      </c>
    </row>
    <row r="244" spans="1:4">
      <c r="A244">
        <v>151</v>
      </c>
      <c r="C244" s="17" t="s">
        <v>1381</v>
      </c>
      <c r="D244">
        <v>1</v>
      </c>
    </row>
    <row r="245" spans="1:4" hidden="1">
      <c r="C245" s="17" t="s">
        <v>1714</v>
      </c>
      <c r="D245" s="17">
        <v>0</v>
      </c>
    </row>
    <row r="246" spans="1:4">
      <c r="A246">
        <v>152</v>
      </c>
      <c r="C246" s="17" t="s">
        <v>1563</v>
      </c>
      <c r="D246" s="17">
        <v>1</v>
      </c>
    </row>
    <row r="247" spans="1:4" hidden="1">
      <c r="C247" s="17" t="s">
        <v>462</v>
      </c>
      <c r="D247" s="17">
        <v>0</v>
      </c>
    </row>
    <row r="248" spans="1:4">
      <c r="A248">
        <v>153</v>
      </c>
      <c r="C248" s="17" t="s">
        <v>1290</v>
      </c>
      <c r="D248" s="17">
        <v>1</v>
      </c>
    </row>
    <row r="249" spans="1:4" hidden="1">
      <c r="C249" s="17" t="s">
        <v>1722</v>
      </c>
      <c r="D249" s="17">
        <v>0</v>
      </c>
    </row>
    <row r="250" spans="1:4">
      <c r="A250">
        <v>154</v>
      </c>
      <c r="C250" s="17" t="s">
        <v>1268</v>
      </c>
      <c r="D250" s="17">
        <v>1</v>
      </c>
    </row>
    <row r="251" spans="1:4" hidden="1"/>
    <row r="252" spans="1:4" hidden="1"/>
    <row r="253" spans="1:4" hidden="1"/>
    <row r="254" spans="1:4" hidden="1"/>
    <row r="255" spans="1:4" hidden="1"/>
    <row r="256" spans="1:4" hidden="1"/>
  </sheetData>
  <autoFilter ref="D1:D256">
    <filterColumn colId="0">
      <filters>
        <filter val="1"/>
      </filters>
    </filterColumn>
  </autoFilter>
  <hyperlinks>
    <hyperlink ref="C15" r:id="rId1" display="http://www.boxofficeindia.com/actor.php?actorid=175&amp;role=24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M1" sqref="M1"/>
    </sheetView>
  </sheetViews>
  <sheetFormatPr defaultRowHeight="15"/>
  <cols>
    <col min="2" max="2" width="26.28515625" customWidth="1"/>
    <col min="3" max="3" width="17.28515625" customWidth="1"/>
  </cols>
  <sheetData>
    <row r="1" spans="1:13" ht="28.5">
      <c r="A1" s="41" t="s">
        <v>1916</v>
      </c>
      <c r="B1" s="41" t="s">
        <v>1934</v>
      </c>
      <c r="C1" s="41" t="s">
        <v>1918</v>
      </c>
      <c r="D1" s="41" t="s">
        <v>1919</v>
      </c>
      <c r="E1" s="41" t="s">
        <v>1920</v>
      </c>
      <c r="F1" s="41" t="s">
        <v>1921</v>
      </c>
      <c r="G1" s="41" t="s">
        <v>1922</v>
      </c>
      <c r="H1" s="41" t="s">
        <v>1923</v>
      </c>
      <c r="I1" s="41" t="s">
        <v>1924</v>
      </c>
      <c r="J1" s="41" t="s">
        <v>1925</v>
      </c>
    </row>
    <row r="2" spans="1:13" ht="15.75" thickBot="1">
      <c r="A2" s="42">
        <v>1</v>
      </c>
      <c r="B2" s="43" t="s">
        <v>397</v>
      </c>
      <c r="C2" s="40">
        <v>102</v>
      </c>
      <c r="D2" s="40">
        <v>0</v>
      </c>
      <c r="E2" s="40">
        <v>2</v>
      </c>
      <c r="F2" s="40">
        <v>8</v>
      </c>
      <c r="G2" s="40">
        <v>15</v>
      </c>
      <c r="H2" s="40">
        <v>6</v>
      </c>
      <c r="I2" s="40">
        <v>14</v>
      </c>
      <c r="J2" s="44">
        <v>45</v>
      </c>
      <c r="K2">
        <f>SUM(D2:H2)</f>
        <v>31</v>
      </c>
      <c r="L2">
        <f>K2/C2*100</f>
        <v>30.392156862745097</v>
      </c>
      <c r="M2">
        <f>J2/C2*100</f>
        <v>44.117647058823529</v>
      </c>
    </row>
    <row r="3" spans="1:13" ht="15.75" thickBot="1">
      <c r="A3" s="42">
        <v>2</v>
      </c>
      <c r="B3" s="43" t="s">
        <v>58</v>
      </c>
      <c r="C3" s="40">
        <v>54</v>
      </c>
      <c r="D3" s="40">
        <v>2</v>
      </c>
      <c r="E3" s="40">
        <v>8</v>
      </c>
      <c r="F3" s="40">
        <v>4</v>
      </c>
      <c r="G3" s="40">
        <v>11</v>
      </c>
      <c r="H3" s="40">
        <v>5</v>
      </c>
      <c r="I3" s="40">
        <v>6</v>
      </c>
      <c r="J3" s="44">
        <v>36</v>
      </c>
      <c r="K3">
        <f t="shared" ref="K3:K38" si="0">SUM(D3:H3)</f>
        <v>30</v>
      </c>
      <c r="L3">
        <f t="shared" ref="L3:L38" si="1">K3/C3*100</f>
        <v>55.555555555555557</v>
      </c>
      <c r="M3">
        <f t="shared" ref="M3:M38" si="2">J3/C3*100</f>
        <v>66.666666666666657</v>
      </c>
    </row>
    <row r="4" spans="1:13" ht="15.75" thickBot="1">
      <c r="A4" s="42">
        <v>3</v>
      </c>
      <c r="B4" s="43" t="s">
        <v>429</v>
      </c>
      <c r="C4" s="40">
        <v>84</v>
      </c>
      <c r="D4" s="40">
        <v>0</v>
      </c>
      <c r="E4" s="40">
        <v>1</v>
      </c>
      <c r="F4" s="40">
        <v>6</v>
      </c>
      <c r="G4" s="40">
        <v>12</v>
      </c>
      <c r="H4" s="40">
        <v>4</v>
      </c>
      <c r="I4" s="40">
        <v>10</v>
      </c>
      <c r="J4" s="44">
        <v>33</v>
      </c>
      <c r="K4">
        <f t="shared" si="0"/>
        <v>23</v>
      </c>
      <c r="L4">
        <f t="shared" si="1"/>
        <v>27.380952380952383</v>
      </c>
      <c r="M4">
        <f t="shared" si="2"/>
        <v>39.285714285714285</v>
      </c>
    </row>
    <row r="5" spans="1:13" ht="15.75" thickBot="1">
      <c r="A5" s="42">
        <v>4</v>
      </c>
      <c r="B5" s="43" t="s">
        <v>16</v>
      </c>
      <c r="C5" s="40">
        <v>61</v>
      </c>
      <c r="D5" s="40">
        <v>2</v>
      </c>
      <c r="E5" s="40">
        <v>9</v>
      </c>
      <c r="F5" s="40">
        <v>5</v>
      </c>
      <c r="G5" s="40">
        <v>8</v>
      </c>
      <c r="H5" s="40">
        <v>5</v>
      </c>
      <c r="I5" s="40">
        <v>2</v>
      </c>
      <c r="J5" s="44">
        <v>31</v>
      </c>
      <c r="K5">
        <f t="shared" si="0"/>
        <v>29</v>
      </c>
      <c r="L5">
        <f t="shared" si="1"/>
        <v>47.540983606557376</v>
      </c>
      <c r="M5">
        <f t="shared" si="2"/>
        <v>50.819672131147541</v>
      </c>
    </row>
    <row r="6" spans="1:13" ht="15.75" thickBot="1">
      <c r="A6" s="42">
        <v>5</v>
      </c>
      <c r="B6" s="43" t="s">
        <v>79</v>
      </c>
      <c r="C6" s="40">
        <v>91</v>
      </c>
      <c r="D6" s="40">
        <v>1</v>
      </c>
      <c r="E6" s="40">
        <v>1</v>
      </c>
      <c r="F6" s="40">
        <v>2</v>
      </c>
      <c r="G6" s="40">
        <v>2</v>
      </c>
      <c r="H6" s="40">
        <v>5</v>
      </c>
      <c r="I6" s="40">
        <v>13</v>
      </c>
      <c r="J6" s="44">
        <v>24</v>
      </c>
      <c r="K6">
        <f t="shared" si="0"/>
        <v>11</v>
      </c>
      <c r="L6">
        <f t="shared" si="1"/>
        <v>12.087912087912088</v>
      </c>
      <c r="M6">
        <f t="shared" si="2"/>
        <v>26.373626373626376</v>
      </c>
    </row>
    <row r="7" spans="1:13" ht="15.75" thickBot="1">
      <c r="A7" s="42">
        <v>6</v>
      </c>
      <c r="B7" s="43" t="s">
        <v>497</v>
      </c>
      <c r="C7" s="40">
        <v>60</v>
      </c>
      <c r="D7" s="40">
        <v>0</v>
      </c>
      <c r="E7" s="40">
        <v>2</v>
      </c>
      <c r="F7" s="40">
        <v>1</v>
      </c>
      <c r="G7" s="40">
        <v>4</v>
      </c>
      <c r="H7" s="40">
        <v>6</v>
      </c>
      <c r="I7" s="40">
        <v>7</v>
      </c>
      <c r="J7" s="44">
        <v>20</v>
      </c>
      <c r="K7">
        <f t="shared" si="0"/>
        <v>13</v>
      </c>
      <c r="L7">
        <f t="shared" si="1"/>
        <v>21.666666666666668</v>
      </c>
      <c r="M7">
        <f t="shared" si="2"/>
        <v>33.333333333333329</v>
      </c>
    </row>
    <row r="8" spans="1:13" ht="15.75" thickBot="1">
      <c r="A8" s="42">
        <v>7</v>
      </c>
      <c r="B8" s="43" t="s">
        <v>511</v>
      </c>
      <c r="C8" s="40">
        <v>73</v>
      </c>
      <c r="D8" s="40">
        <v>1</v>
      </c>
      <c r="E8" s="40">
        <v>1</v>
      </c>
      <c r="F8" s="40">
        <v>1</v>
      </c>
      <c r="G8" s="40">
        <v>5</v>
      </c>
      <c r="H8" s="40">
        <v>3</v>
      </c>
      <c r="I8" s="40">
        <v>9</v>
      </c>
      <c r="J8" s="44">
        <v>20</v>
      </c>
      <c r="K8">
        <f t="shared" si="0"/>
        <v>11</v>
      </c>
      <c r="L8">
        <f t="shared" si="1"/>
        <v>15.068493150684931</v>
      </c>
      <c r="M8">
        <f t="shared" si="2"/>
        <v>27.397260273972602</v>
      </c>
    </row>
    <row r="9" spans="1:13" ht="15.75" thickBot="1">
      <c r="A9" s="42">
        <v>8</v>
      </c>
      <c r="B9" s="43" t="s">
        <v>73</v>
      </c>
      <c r="C9" s="40">
        <v>26</v>
      </c>
      <c r="D9" s="40">
        <v>5</v>
      </c>
      <c r="E9" s="40">
        <v>2</v>
      </c>
      <c r="F9" s="40">
        <v>3</v>
      </c>
      <c r="G9" s="40">
        <v>4</v>
      </c>
      <c r="H9" s="40">
        <v>1</v>
      </c>
      <c r="I9" s="40">
        <v>2</v>
      </c>
      <c r="J9" s="44">
        <v>17</v>
      </c>
      <c r="K9">
        <f t="shared" si="0"/>
        <v>15</v>
      </c>
      <c r="L9">
        <f t="shared" si="1"/>
        <v>57.692307692307686</v>
      </c>
      <c r="M9">
        <f t="shared" si="2"/>
        <v>65.384615384615387</v>
      </c>
    </row>
    <row r="10" spans="1:13" ht="15.75" thickBot="1">
      <c r="A10" s="42">
        <v>9</v>
      </c>
      <c r="B10" s="43" t="s">
        <v>442</v>
      </c>
      <c r="C10" s="40">
        <v>47</v>
      </c>
      <c r="D10" s="40">
        <v>0</v>
      </c>
      <c r="E10" s="40">
        <v>0</v>
      </c>
      <c r="F10" s="40">
        <v>5</v>
      </c>
      <c r="G10" s="40">
        <v>5</v>
      </c>
      <c r="H10" s="40">
        <v>4</v>
      </c>
      <c r="I10" s="40">
        <v>2</v>
      </c>
      <c r="J10" s="44">
        <v>16</v>
      </c>
      <c r="K10">
        <f t="shared" si="0"/>
        <v>14</v>
      </c>
      <c r="L10">
        <f t="shared" si="1"/>
        <v>29.787234042553191</v>
      </c>
      <c r="M10">
        <f t="shared" si="2"/>
        <v>34.042553191489361</v>
      </c>
    </row>
    <row r="11" spans="1:13" ht="15.75" thickBot="1">
      <c r="A11" s="42">
        <v>10</v>
      </c>
      <c r="B11" s="43" t="s">
        <v>451</v>
      </c>
      <c r="C11" s="40">
        <v>70</v>
      </c>
      <c r="D11" s="40">
        <v>0</v>
      </c>
      <c r="E11" s="40">
        <v>0</v>
      </c>
      <c r="F11" s="40">
        <v>5</v>
      </c>
      <c r="G11" s="40">
        <v>6</v>
      </c>
      <c r="H11" s="40">
        <v>2</v>
      </c>
      <c r="I11" s="40">
        <v>3</v>
      </c>
      <c r="J11" s="44">
        <v>16</v>
      </c>
      <c r="K11">
        <f t="shared" si="0"/>
        <v>13</v>
      </c>
      <c r="L11">
        <f t="shared" si="1"/>
        <v>18.571428571428573</v>
      </c>
      <c r="M11">
        <f t="shared" si="2"/>
        <v>22.857142857142858</v>
      </c>
    </row>
    <row r="12" spans="1:13" ht="15.75" thickBot="1">
      <c r="A12" s="42">
        <v>11</v>
      </c>
      <c r="B12" s="43" t="s">
        <v>78</v>
      </c>
      <c r="C12" s="40">
        <v>105</v>
      </c>
      <c r="D12" s="40">
        <v>2</v>
      </c>
      <c r="E12" s="40">
        <v>2</v>
      </c>
      <c r="F12" s="40">
        <v>1</v>
      </c>
      <c r="G12" s="40">
        <v>5</v>
      </c>
      <c r="H12" s="40">
        <v>3</v>
      </c>
      <c r="I12" s="40">
        <v>3</v>
      </c>
      <c r="J12" s="44">
        <v>16</v>
      </c>
      <c r="K12">
        <f t="shared" si="0"/>
        <v>13</v>
      </c>
      <c r="L12">
        <f t="shared" si="1"/>
        <v>12.380952380952381</v>
      </c>
      <c r="M12">
        <f t="shared" si="2"/>
        <v>15.238095238095239</v>
      </c>
    </row>
    <row r="13" spans="1:13" ht="15.75" thickBot="1">
      <c r="A13" s="42">
        <v>12</v>
      </c>
      <c r="B13" s="43" t="s">
        <v>802</v>
      </c>
      <c r="C13" s="40">
        <v>42</v>
      </c>
      <c r="D13" s="40">
        <v>1</v>
      </c>
      <c r="E13" s="40">
        <v>1</v>
      </c>
      <c r="F13" s="40">
        <v>3</v>
      </c>
      <c r="G13" s="40">
        <v>3</v>
      </c>
      <c r="H13" s="40">
        <v>4</v>
      </c>
      <c r="I13" s="40">
        <v>3</v>
      </c>
      <c r="J13" s="44">
        <v>15</v>
      </c>
      <c r="K13">
        <f t="shared" si="0"/>
        <v>12</v>
      </c>
      <c r="L13">
        <f t="shared" si="1"/>
        <v>28.571428571428569</v>
      </c>
      <c r="M13">
        <f t="shared" si="2"/>
        <v>35.714285714285715</v>
      </c>
    </row>
    <row r="14" spans="1:13" ht="15.75" thickBot="1">
      <c r="A14" s="42">
        <v>13</v>
      </c>
      <c r="B14" s="43" t="s">
        <v>393</v>
      </c>
      <c r="C14" s="40">
        <v>51</v>
      </c>
      <c r="D14" s="40">
        <v>0</v>
      </c>
      <c r="E14" s="40">
        <v>1</v>
      </c>
      <c r="F14" s="40">
        <v>1</v>
      </c>
      <c r="G14" s="40">
        <v>9</v>
      </c>
      <c r="H14" s="40">
        <v>2</v>
      </c>
      <c r="I14" s="40">
        <v>1</v>
      </c>
      <c r="J14" s="44">
        <v>14</v>
      </c>
      <c r="K14">
        <f t="shared" si="0"/>
        <v>13</v>
      </c>
      <c r="L14">
        <f t="shared" si="1"/>
        <v>25.490196078431371</v>
      </c>
      <c r="M14">
        <f t="shared" si="2"/>
        <v>27.450980392156865</v>
      </c>
    </row>
    <row r="15" spans="1:13" ht="15.75" thickBot="1">
      <c r="A15" s="42">
        <v>14</v>
      </c>
      <c r="B15" s="43" t="s">
        <v>918</v>
      </c>
      <c r="C15" s="40">
        <v>36</v>
      </c>
      <c r="D15" s="40">
        <v>0</v>
      </c>
      <c r="E15" s="40">
        <v>0</v>
      </c>
      <c r="F15" s="40">
        <v>2</v>
      </c>
      <c r="G15" s="40">
        <v>3</v>
      </c>
      <c r="H15" s="40">
        <v>3</v>
      </c>
      <c r="I15" s="40">
        <v>5</v>
      </c>
      <c r="J15" s="44">
        <v>13</v>
      </c>
      <c r="K15">
        <f t="shared" si="0"/>
        <v>8</v>
      </c>
      <c r="L15">
        <f t="shared" si="1"/>
        <v>22.222222222222221</v>
      </c>
      <c r="M15">
        <f t="shared" si="2"/>
        <v>36.111111111111107</v>
      </c>
    </row>
    <row r="16" spans="1:13" ht="15.75" thickBot="1">
      <c r="A16" s="42">
        <v>15</v>
      </c>
      <c r="B16" s="43" t="s">
        <v>555</v>
      </c>
      <c r="C16" s="40">
        <v>112</v>
      </c>
      <c r="D16" s="40">
        <v>0</v>
      </c>
      <c r="E16" s="40">
        <v>2</v>
      </c>
      <c r="F16" s="40">
        <v>2</v>
      </c>
      <c r="G16" s="40">
        <v>2</v>
      </c>
      <c r="H16" s="40">
        <v>4</v>
      </c>
      <c r="I16" s="40">
        <v>3</v>
      </c>
      <c r="J16" s="44">
        <v>13</v>
      </c>
      <c r="K16">
        <f t="shared" si="0"/>
        <v>10</v>
      </c>
      <c r="L16">
        <f t="shared" si="1"/>
        <v>8.9285714285714288</v>
      </c>
      <c r="M16">
        <f t="shared" si="2"/>
        <v>11.607142857142858</v>
      </c>
    </row>
    <row r="17" spans="1:13" ht="15.75" thickBot="1">
      <c r="A17" s="42">
        <v>16</v>
      </c>
      <c r="B17" s="43" t="s">
        <v>794</v>
      </c>
      <c r="C17" s="40">
        <v>22</v>
      </c>
      <c r="D17" s="40">
        <v>0</v>
      </c>
      <c r="E17" s="40">
        <v>5</v>
      </c>
      <c r="F17" s="40">
        <v>2</v>
      </c>
      <c r="G17" s="40">
        <v>1</v>
      </c>
      <c r="H17" s="40">
        <v>3</v>
      </c>
      <c r="I17" s="40">
        <v>1</v>
      </c>
      <c r="J17" s="44">
        <v>12</v>
      </c>
      <c r="K17">
        <f t="shared" si="0"/>
        <v>11</v>
      </c>
      <c r="L17">
        <f t="shared" si="1"/>
        <v>50</v>
      </c>
      <c r="M17">
        <f t="shared" si="2"/>
        <v>54.54545454545454</v>
      </c>
    </row>
    <row r="18" spans="1:13" ht="15.75" thickBot="1">
      <c r="A18" s="42">
        <v>17</v>
      </c>
      <c r="B18" s="43" t="s">
        <v>724</v>
      </c>
      <c r="C18" s="40">
        <v>46</v>
      </c>
      <c r="D18" s="40">
        <v>0</v>
      </c>
      <c r="E18" s="40">
        <v>0</v>
      </c>
      <c r="F18" s="40">
        <v>3</v>
      </c>
      <c r="G18" s="40">
        <v>5</v>
      </c>
      <c r="H18" s="40">
        <v>3</v>
      </c>
      <c r="I18" s="40">
        <v>1</v>
      </c>
      <c r="J18" s="44">
        <v>12</v>
      </c>
      <c r="K18">
        <f t="shared" si="0"/>
        <v>11</v>
      </c>
      <c r="L18">
        <f t="shared" si="1"/>
        <v>23.913043478260871</v>
      </c>
      <c r="M18">
        <f t="shared" si="2"/>
        <v>26.086956521739129</v>
      </c>
    </row>
    <row r="19" spans="1:13" ht="15.75" thickBot="1">
      <c r="A19" s="42">
        <v>18</v>
      </c>
      <c r="B19" s="43" t="s">
        <v>931</v>
      </c>
      <c r="C19" s="40">
        <v>35</v>
      </c>
      <c r="D19" s="40">
        <v>0</v>
      </c>
      <c r="E19" s="40">
        <v>0</v>
      </c>
      <c r="F19" s="40">
        <v>5</v>
      </c>
      <c r="G19" s="40">
        <v>1</v>
      </c>
      <c r="H19" s="40">
        <v>4</v>
      </c>
      <c r="I19" s="40">
        <v>1</v>
      </c>
      <c r="J19" s="44">
        <v>11</v>
      </c>
      <c r="K19">
        <f t="shared" si="0"/>
        <v>10</v>
      </c>
      <c r="L19">
        <f t="shared" si="1"/>
        <v>28.571428571428569</v>
      </c>
      <c r="M19">
        <f t="shared" si="2"/>
        <v>31.428571428571427</v>
      </c>
    </row>
    <row r="20" spans="1:13" ht="15.75" thickBot="1">
      <c r="A20" s="42">
        <v>19</v>
      </c>
      <c r="B20" s="43" t="s">
        <v>77</v>
      </c>
      <c r="C20" s="40">
        <v>47</v>
      </c>
      <c r="D20" s="40">
        <v>2</v>
      </c>
      <c r="E20" s="40">
        <v>1</v>
      </c>
      <c r="F20" s="40">
        <v>3</v>
      </c>
      <c r="G20" s="40">
        <v>2</v>
      </c>
      <c r="H20" s="40">
        <v>0</v>
      </c>
      <c r="I20" s="40">
        <v>3</v>
      </c>
      <c r="J20" s="44">
        <v>11</v>
      </c>
      <c r="K20">
        <f t="shared" si="0"/>
        <v>8</v>
      </c>
      <c r="L20">
        <f t="shared" si="1"/>
        <v>17.021276595744681</v>
      </c>
      <c r="M20">
        <f t="shared" si="2"/>
        <v>23.404255319148938</v>
      </c>
    </row>
    <row r="21" spans="1:13" ht="15.75" thickBot="1">
      <c r="A21" s="42">
        <v>20</v>
      </c>
      <c r="B21" s="43" t="s">
        <v>823</v>
      </c>
      <c r="C21" s="40">
        <v>26</v>
      </c>
      <c r="D21" s="40">
        <v>0</v>
      </c>
      <c r="E21" s="40">
        <v>1</v>
      </c>
      <c r="F21" s="40">
        <v>0</v>
      </c>
      <c r="G21" s="40">
        <v>1</v>
      </c>
      <c r="H21" s="40">
        <v>1</v>
      </c>
      <c r="I21" s="40">
        <v>7</v>
      </c>
      <c r="J21" s="44">
        <v>10</v>
      </c>
      <c r="K21">
        <f t="shared" si="0"/>
        <v>3</v>
      </c>
      <c r="L21">
        <f t="shared" si="1"/>
        <v>11.538461538461538</v>
      </c>
      <c r="M21">
        <f t="shared" si="2"/>
        <v>38.461538461538467</v>
      </c>
    </row>
    <row r="22" spans="1:13" ht="15.75" thickBot="1">
      <c r="A22" s="42">
        <v>21</v>
      </c>
      <c r="B22" s="43" t="s">
        <v>912</v>
      </c>
      <c r="C22" s="40">
        <v>16</v>
      </c>
      <c r="D22" s="40">
        <v>0</v>
      </c>
      <c r="E22" s="40">
        <v>1</v>
      </c>
      <c r="F22" s="40">
        <v>3</v>
      </c>
      <c r="G22" s="40">
        <v>1</v>
      </c>
      <c r="H22" s="40">
        <v>3</v>
      </c>
      <c r="I22" s="40">
        <v>1</v>
      </c>
      <c r="J22" s="44">
        <v>9</v>
      </c>
      <c r="K22">
        <f t="shared" si="0"/>
        <v>8</v>
      </c>
      <c r="L22">
        <f t="shared" si="1"/>
        <v>50</v>
      </c>
      <c r="M22">
        <f t="shared" si="2"/>
        <v>56.25</v>
      </c>
    </row>
    <row r="23" spans="1:13" ht="15.75" thickBot="1">
      <c r="A23" s="42">
        <v>22</v>
      </c>
      <c r="B23" s="43" t="s">
        <v>435</v>
      </c>
      <c r="C23" s="40">
        <v>37</v>
      </c>
      <c r="D23" s="40">
        <v>0</v>
      </c>
      <c r="E23" s="40">
        <v>0</v>
      </c>
      <c r="F23" s="40">
        <v>2</v>
      </c>
      <c r="G23" s="40">
        <v>3</v>
      </c>
      <c r="H23" s="40">
        <v>0</v>
      </c>
      <c r="I23" s="40">
        <v>4</v>
      </c>
      <c r="J23" s="44">
        <v>9</v>
      </c>
      <c r="K23">
        <f t="shared" si="0"/>
        <v>5</v>
      </c>
      <c r="L23">
        <f t="shared" si="1"/>
        <v>13.513513513513514</v>
      </c>
      <c r="M23">
        <f t="shared" si="2"/>
        <v>24.324324324324326</v>
      </c>
    </row>
    <row r="24" spans="1:13" ht="15.75" thickBot="1">
      <c r="A24" s="42">
        <v>23</v>
      </c>
      <c r="B24" s="43" t="s">
        <v>1220</v>
      </c>
      <c r="C24" s="40">
        <v>9</v>
      </c>
      <c r="D24" s="40">
        <v>0</v>
      </c>
      <c r="E24" s="40">
        <v>0</v>
      </c>
      <c r="F24" s="40">
        <v>2</v>
      </c>
      <c r="G24" s="40">
        <v>2</v>
      </c>
      <c r="H24" s="40">
        <v>3</v>
      </c>
      <c r="I24" s="40">
        <v>1</v>
      </c>
      <c r="J24" s="44">
        <v>8</v>
      </c>
      <c r="K24">
        <f t="shared" si="0"/>
        <v>7</v>
      </c>
      <c r="L24">
        <f t="shared" si="1"/>
        <v>77.777777777777786</v>
      </c>
      <c r="M24">
        <f t="shared" si="2"/>
        <v>88.888888888888886</v>
      </c>
    </row>
    <row r="25" spans="1:13" ht="15.75" thickBot="1">
      <c r="A25" s="42">
        <v>24</v>
      </c>
      <c r="B25" s="43" t="s">
        <v>468</v>
      </c>
      <c r="C25" s="40">
        <v>49</v>
      </c>
      <c r="D25" s="40">
        <v>0</v>
      </c>
      <c r="E25" s="40">
        <v>0</v>
      </c>
      <c r="F25" s="40">
        <v>1</v>
      </c>
      <c r="G25" s="40">
        <v>1</v>
      </c>
      <c r="H25" s="40">
        <v>2</v>
      </c>
      <c r="I25" s="40">
        <v>3</v>
      </c>
      <c r="J25" s="44">
        <v>7</v>
      </c>
      <c r="K25">
        <f t="shared" si="0"/>
        <v>4</v>
      </c>
      <c r="L25">
        <f t="shared" si="1"/>
        <v>8.1632653061224492</v>
      </c>
      <c r="M25">
        <f t="shared" si="2"/>
        <v>14.285714285714285</v>
      </c>
    </row>
    <row r="26" spans="1:13" ht="15.75" thickBot="1">
      <c r="A26" s="42">
        <v>25</v>
      </c>
      <c r="B26" s="43" t="s">
        <v>1244</v>
      </c>
      <c r="C26" s="40">
        <v>9</v>
      </c>
      <c r="D26" s="40">
        <v>0</v>
      </c>
      <c r="E26" s="40">
        <v>0</v>
      </c>
      <c r="F26" s="40">
        <v>0</v>
      </c>
      <c r="G26" s="40">
        <v>2</v>
      </c>
      <c r="H26" s="40">
        <v>1</v>
      </c>
      <c r="I26" s="40">
        <v>2</v>
      </c>
      <c r="J26" s="44">
        <v>5</v>
      </c>
      <c r="K26">
        <f t="shared" si="0"/>
        <v>3</v>
      </c>
      <c r="L26">
        <f t="shared" si="1"/>
        <v>33.333333333333329</v>
      </c>
      <c r="M26">
        <f t="shared" si="2"/>
        <v>55.555555555555557</v>
      </c>
    </row>
    <row r="27" spans="1:13" ht="15.75" thickBot="1">
      <c r="A27" s="42">
        <v>26</v>
      </c>
      <c r="B27" s="43" t="s">
        <v>959</v>
      </c>
      <c r="C27" s="40">
        <v>23</v>
      </c>
      <c r="D27" s="40">
        <v>0</v>
      </c>
      <c r="E27" s="40">
        <v>2</v>
      </c>
      <c r="F27" s="40">
        <v>0</v>
      </c>
      <c r="G27" s="40">
        <v>1</v>
      </c>
      <c r="H27" s="40">
        <v>1</v>
      </c>
      <c r="I27" s="40">
        <v>1</v>
      </c>
      <c r="J27" s="44">
        <v>5</v>
      </c>
      <c r="K27">
        <f t="shared" si="0"/>
        <v>4</v>
      </c>
      <c r="L27">
        <f t="shared" si="1"/>
        <v>17.391304347826086</v>
      </c>
      <c r="M27">
        <f t="shared" si="2"/>
        <v>21.739130434782609</v>
      </c>
    </row>
    <row r="28" spans="1:13" ht="15.75" thickBot="1">
      <c r="A28" s="42">
        <v>27</v>
      </c>
      <c r="B28" s="43" t="s">
        <v>1199</v>
      </c>
      <c r="C28" s="40">
        <v>8</v>
      </c>
      <c r="D28" s="40">
        <v>0</v>
      </c>
      <c r="E28" s="40">
        <v>0</v>
      </c>
      <c r="F28" s="40">
        <v>1</v>
      </c>
      <c r="G28" s="40">
        <v>1</v>
      </c>
      <c r="H28" s="40">
        <v>0</v>
      </c>
      <c r="I28" s="40">
        <v>0</v>
      </c>
      <c r="J28" s="44">
        <v>2</v>
      </c>
      <c r="K28">
        <f t="shared" si="0"/>
        <v>2</v>
      </c>
      <c r="L28">
        <f t="shared" si="1"/>
        <v>25</v>
      </c>
      <c r="M28">
        <f t="shared" si="2"/>
        <v>25</v>
      </c>
    </row>
    <row r="29" spans="1:13" ht="15.75" thickBot="1">
      <c r="A29" s="42">
        <v>28</v>
      </c>
      <c r="B29" s="43" t="s">
        <v>827</v>
      </c>
      <c r="C29" s="40">
        <v>2</v>
      </c>
      <c r="D29" s="40">
        <v>0</v>
      </c>
      <c r="E29" s="40">
        <v>0</v>
      </c>
      <c r="F29" s="40">
        <v>1</v>
      </c>
      <c r="G29" s="40">
        <v>0</v>
      </c>
      <c r="H29" s="40">
        <v>0</v>
      </c>
      <c r="I29" s="40">
        <v>0</v>
      </c>
      <c r="J29" s="44">
        <v>1</v>
      </c>
      <c r="K29">
        <f t="shared" si="0"/>
        <v>1</v>
      </c>
      <c r="L29">
        <f t="shared" si="1"/>
        <v>50</v>
      </c>
      <c r="M29">
        <f t="shared" si="2"/>
        <v>50</v>
      </c>
    </row>
    <row r="30" spans="1:13" ht="15.75" thickBot="1">
      <c r="A30" s="42">
        <v>29</v>
      </c>
      <c r="B30" s="43" t="s">
        <v>1588</v>
      </c>
      <c r="C30" s="40">
        <v>21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1</v>
      </c>
      <c r="J30" s="44">
        <v>1</v>
      </c>
      <c r="K30">
        <f t="shared" si="0"/>
        <v>0</v>
      </c>
      <c r="L30">
        <f t="shared" si="1"/>
        <v>0</v>
      </c>
      <c r="M30">
        <f t="shared" si="2"/>
        <v>4.7619047619047619</v>
      </c>
    </row>
    <row r="31" spans="1:13" ht="15.75" thickBot="1">
      <c r="A31" s="42">
        <v>30</v>
      </c>
      <c r="B31" s="43" t="s">
        <v>1926</v>
      </c>
      <c r="C31" s="40">
        <v>1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4">
        <v>0</v>
      </c>
      <c r="K31">
        <f t="shared" si="0"/>
        <v>0</v>
      </c>
      <c r="L31">
        <f t="shared" si="1"/>
        <v>0</v>
      </c>
      <c r="M31">
        <f t="shared" si="2"/>
        <v>0</v>
      </c>
    </row>
    <row r="32" spans="1:13" ht="15.75" thickBot="1">
      <c r="A32" s="42">
        <v>31</v>
      </c>
      <c r="B32" s="43" t="s">
        <v>1927</v>
      </c>
      <c r="C32" s="40">
        <v>1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4">
        <v>0</v>
      </c>
      <c r="K32">
        <f t="shared" si="0"/>
        <v>0</v>
      </c>
      <c r="L32">
        <f t="shared" si="1"/>
        <v>0</v>
      </c>
      <c r="M32">
        <f t="shared" si="2"/>
        <v>0</v>
      </c>
    </row>
    <row r="33" spans="1:13" ht="15.75" thickBot="1">
      <c r="A33" s="42">
        <v>32</v>
      </c>
      <c r="B33" s="43" t="s">
        <v>1928</v>
      </c>
      <c r="C33" s="40">
        <v>1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4">
        <v>0</v>
      </c>
      <c r="K33">
        <f t="shared" si="0"/>
        <v>0</v>
      </c>
      <c r="L33">
        <f t="shared" si="1"/>
        <v>0</v>
      </c>
      <c r="M33">
        <f t="shared" si="2"/>
        <v>0</v>
      </c>
    </row>
    <row r="34" spans="1:13" ht="15.75" thickBot="1">
      <c r="A34" s="42">
        <v>33</v>
      </c>
      <c r="B34" s="43" t="s">
        <v>1929</v>
      </c>
      <c r="C34" s="40">
        <v>2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4">
        <v>0</v>
      </c>
      <c r="K34">
        <f t="shared" si="0"/>
        <v>0</v>
      </c>
      <c r="L34">
        <f t="shared" si="1"/>
        <v>0</v>
      </c>
      <c r="M34">
        <f t="shared" si="2"/>
        <v>0</v>
      </c>
    </row>
    <row r="35" spans="1:13" ht="15.75" thickBot="1">
      <c r="A35" s="42">
        <v>34</v>
      </c>
      <c r="B35" s="43" t="s">
        <v>1930</v>
      </c>
      <c r="C35" s="40">
        <v>4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4">
        <v>0</v>
      </c>
      <c r="K35">
        <f t="shared" si="0"/>
        <v>0</v>
      </c>
      <c r="L35">
        <f t="shared" si="1"/>
        <v>0</v>
      </c>
      <c r="M35">
        <f t="shared" si="2"/>
        <v>0</v>
      </c>
    </row>
    <row r="36" spans="1:13" ht="15.75" thickBot="1">
      <c r="A36" s="42">
        <v>35</v>
      </c>
      <c r="B36" s="43" t="s">
        <v>1931</v>
      </c>
      <c r="C36" s="40">
        <v>8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4">
        <v>0</v>
      </c>
      <c r="K36">
        <f t="shared" si="0"/>
        <v>0</v>
      </c>
      <c r="L36">
        <f t="shared" si="1"/>
        <v>0</v>
      </c>
      <c r="M36">
        <f t="shared" si="2"/>
        <v>0</v>
      </c>
    </row>
    <row r="37" spans="1:13" ht="15.75" thickBot="1">
      <c r="A37" s="42">
        <v>36</v>
      </c>
      <c r="B37" s="43" t="s">
        <v>1932</v>
      </c>
      <c r="C37" s="40">
        <v>12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4">
        <v>0</v>
      </c>
      <c r="K37">
        <f t="shared" si="0"/>
        <v>0</v>
      </c>
      <c r="L37">
        <f t="shared" si="1"/>
        <v>0</v>
      </c>
      <c r="M37">
        <f t="shared" si="2"/>
        <v>0</v>
      </c>
    </row>
    <row r="38" spans="1:13" ht="15.75" thickBot="1">
      <c r="A38" s="42">
        <v>37</v>
      </c>
      <c r="B38" s="43" t="s">
        <v>1933</v>
      </c>
      <c r="C38" s="40">
        <v>16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4">
        <v>0</v>
      </c>
      <c r="K38">
        <f t="shared" si="0"/>
        <v>0</v>
      </c>
      <c r="L38">
        <f t="shared" si="1"/>
        <v>0</v>
      </c>
      <c r="M38">
        <f t="shared" si="2"/>
        <v>0</v>
      </c>
    </row>
  </sheetData>
  <hyperlinks>
    <hyperlink ref="B2" r:id="rId1" display="http://www.boxofficeindia.com/actor.php?actorid=2"/>
    <hyperlink ref="B3" r:id="rId2" display="http://www.boxofficeindia.com/actor.php?actorid=4"/>
    <hyperlink ref="B4" r:id="rId3" display="http://www.boxofficeindia.com/actor.php?actorid=44"/>
    <hyperlink ref="B5" r:id="rId4" display="http://www.boxofficeindia.com/actor.php?actorid=5"/>
    <hyperlink ref="B6" r:id="rId5" display="http://www.boxofficeindia.com/actor.php?actorid=518"/>
    <hyperlink ref="B7" r:id="rId6" display="http://www.boxofficeindia.com/actor.php?actorid=47"/>
    <hyperlink ref="B8" r:id="rId7" display="http://www.boxofficeindia.com/actor.php?actorid=29"/>
    <hyperlink ref="B9" r:id="rId8" display="http://www.boxofficeindia.com/actor.php?actorid=6"/>
    <hyperlink ref="B10" r:id="rId9" display="http://www.boxofficeindia.com/actor.php?actorid=75"/>
    <hyperlink ref="B11" r:id="rId10" display="http://www.boxofficeindia.com/actor.php?actorid=71"/>
    <hyperlink ref="B12" r:id="rId11" display="http://www.boxofficeindia.com/actor.php?actorid=76"/>
    <hyperlink ref="B13" r:id="rId12" display="http://www.boxofficeindia.com/actor.php?actorid=48"/>
    <hyperlink ref="B14" r:id="rId13" display="http://www.boxofficeindia.com/actor.php?actorid=43"/>
    <hyperlink ref="B15" r:id="rId14" display="http://www.boxofficeindia.com/actor.php?actorid=102"/>
    <hyperlink ref="B16" r:id="rId15" display="http://www.boxofficeindia.com/actor.php?actorid=57"/>
    <hyperlink ref="B17" r:id="rId16" display="http://www.boxofficeindia.com/actor.php?actorid=30"/>
    <hyperlink ref="B18" r:id="rId17" display="http://www.boxofficeindia.com/actor.php?actorid=8"/>
    <hyperlink ref="B19" r:id="rId18" display="http://www.boxofficeindia.com/actor.php?actorid=1555"/>
    <hyperlink ref="B20" r:id="rId19" display="http://www.boxofficeindia.com/actor.php?actorid=3"/>
    <hyperlink ref="B21" r:id="rId20" display="http://www.boxofficeindia.com/actor.php?actorid=45"/>
    <hyperlink ref="B22" r:id="rId21" display="http://www.boxofficeindia.com/actor.php?actorid=11"/>
    <hyperlink ref="B23" r:id="rId22" display="http://www.boxofficeindia.com/actor.php?actorid=56"/>
    <hyperlink ref="B24" r:id="rId23" display="http://www.boxofficeindia.com/actor.php?actorid=6603"/>
    <hyperlink ref="B25" r:id="rId24" display="http://www.boxofficeindia.com/actor.php?actorid=1"/>
    <hyperlink ref="B26" r:id="rId25" display="http://www.boxofficeindia.com/actor.php?actorid=621"/>
    <hyperlink ref="B27" r:id="rId26" display="http://www.boxofficeindia.com/actor.php?actorid=7"/>
    <hyperlink ref="B28" r:id="rId27" display="http://www.boxofficeindia.com/actor.php?actorid=50"/>
    <hyperlink ref="B29" r:id="rId28" display="http://www.boxofficeindia.com/actor.php?actorid=26"/>
    <hyperlink ref="B30" r:id="rId29" display="http://www.boxofficeindia.com/actor.php?actorid=13"/>
    <hyperlink ref="B31" r:id="rId30" display="http://www.boxofficeindia.com/actor.php?actorid=82"/>
    <hyperlink ref="B32" r:id="rId31" display="http://www.boxofficeindia.com/actor.php?actorid=19"/>
    <hyperlink ref="B33" r:id="rId32" display="http://www.boxofficeindia.com/actor.php?actorid=14"/>
    <hyperlink ref="B34" r:id="rId33" display="http://www.boxofficeindia.com/actor.php?actorid=8704"/>
    <hyperlink ref="B35" r:id="rId34" display="http://www.boxofficeindia.com/actor.php?actorid=94"/>
    <hyperlink ref="B36" r:id="rId35" display="http://www.boxofficeindia.com/actor.php?actorid=3540"/>
    <hyperlink ref="B37" r:id="rId36" display="http://www.boxofficeindia.com/actor.php?actorid=21"/>
    <hyperlink ref="B38" r:id="rId37" display="http://www.boxofficeindia.com/actor.php?actorid=3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72"/>
  <sheetViews>
    <sheetView topLeftCell="B1" zoomScale="96" zoomScaleNormal="96" workbookViewId="0">
      <selection activeCell="S1" sqref="S1"/>
    </sheetView>
  </sheetViews>
  <sheetFormatPr defaultRowHeight="15"/>
  <cols>
    <col min="2" max="2" width="27.28515625" customWidth="1"/>
    <col min="3" max="3" width="10.85546875" bestFit="1" customWidth="1"/>
    <col min="4" max="4" width="14.85546875" customWidth="1"/>
    <col min="5" max="12" width="18" customWidth="1"/>
    <col min="14" max="14" width="35.28515625" customWidth="1"/>
    <col min="15" max="15" width="10.85546875" bestFit="1" customWidth="1"/>
    <col min="16" max="16" width="13.140625" bestFit="1" customWidth="1"/>
    <col min="17" max="17" width="15" bestFit="1" customWidth="1"/>
    <col min="18" max="18" width="15" customWidth="1"/>
    <col min="19" max="19" width="12.140625" customWidth="1"/>
    <col min="21" max="21" width="10.85546875" bestFit="1" customWidth="1"/>
    <col min="22" max="22" width="16.42578125" customWidth="1"/>
  </cols>
  <sheetData>
    <row r="1" spans="1:23" ht="18">
      <c r="A1" s="47" t="s">
        <v>2188</v>
      </c>
      <c r="G1" s="47" t="s">
        <v>2250</v>
      </c>
      <c r="M1" s="47" t="s">
        <v>2062</v>
      </c>
      <c r="S1" s="47" t="s">
        <v>2187</v>
      </c>
    </row>
    <row r="2" spans="1:23" ht="28.5">
      <c r="A2" s="41" t="s">
        <v>2063</v>
      </c>
      <c r="B2" s="48" t="s">
        <v>2064</v>
      </c>
      <c r="C2" s="41" t="s">
        <v>2065</v>
      </c>
      <c r="D2" s="41" t="s">
        <v>2066</v>
      </c>
      <c r="E2" s="41" t="s">
        <v>2067</v>
      </c>
      <c r="F2" s="41"/>
      <c r="G2" s="41" t="s">
        <v>2063</v>
      </c>
      <c r="H2" s="48" t="s">
        <v>2064</v>
      </c>
      <c r="I2" s="41" t="s">
        <v>2065</v>
      </c>
      <c r="J2" s="41" t="s">
        <v>2066</v>
      </c>
      <c r="K2" s="41" t="s">
        <v>2067</v>
      </c>
      <c r="L2" s="41"/>
      <c r="M2" s="41" t="s">
        <v>2063</v>
      </c>
      <c r="N2" s="48" t="s">
        <v>2064</v>
      </c>
      <c r="O2" s="41" t="s">
        <v>2065</v>
      </c>
      <c r="P2" s="41" t="s">
        <v>2066</v>
      </c>
      <c r="Q2" s="41" t="s">
        <v>2067</v>
      </c>
      <c r="R2" s="41"/>
      <c r="S2" s="41" t="s">
        <v>2063</v>
      </c>
      <c r="T2" s="41" t="s">
        <v>2064</v>
      </c>
      <c r="U2" s="41" t="s">
        <v>2065</v>
      </c>
      <c r="V2" s="41" t="s">
        <v>2066</v>
      </c>
      <c r="W2" s="41" t="s">
        <v>2067</v>
      </c>
    </row>
    <row r="3" spans="1:23" ht="30.75" thickBot="1">
      <c r="A3" s="42">
        <v>26</v>
      </c>
      <c r="B3" s="43" t="s">
        <v>2189</v>
      </c>
      <c r="C3" s="46">
        <v>43027</v>
      </c>
      <c r="D3" s="40" t="s">
        <v>2190</v>
      </c>
      <c r="E3" s="40"/>
      <c r="F3" s="42"/>
      <c r="G3" s="42">
        <v>15</v>
      </c>
      <c r="H3" s="43" t="s">
        <v>705</v>
      </c>
      <c r="I3" s="46">
        <v>42601</v>
      </c>
      <c r="J3" s="40" t="s">
        <v>2225</v>
      </c>
      <c r="K3" s="40" t="s">
        <v>179</v>
      </c>
      <c r="L3" s="42"/>
      <c r="M3" s="42">
        <v>24</v>
      </c>
      <c r="N3" s="43" t="s">
        <v>2023</v>
      </c>
      <c r="O3" s="46">
        <v>41705</v>
      </c>
      <c r="P3" s="21" t="s">
        <v>2024</v>
      </c>
      <c r="Q3" s="40" t="s">
        <v>401</v>
      </c>
      <c r="R3" s="42"/>
      <c r="S3" s="42">
        <v>70</v>
      </c>
      <c r="T3" s="43" t="s">
        <v>2068</v>
      </c>
      <c r="U3" s="46">
        <v>42804</v>
      </c>
      <c r="V3" s="40" t="s">
        <v>2069</v>
      </c>
      <c r="W3" s="40" t="s">
        <v>624</v>
      </c>
    </row>
    <row r="4" spans="1:23" ht="30.75" thickBot="1">
      <c r="A4" s="42">
        <v>25</v>
      </c>
      <c r="B4" s="43" t="s">
        <v>2191</v>
      </c>
      <c r="C4" s="46">
        <v>42727</v>
      </c>
      <c r="D4" s="40" t="s">
        <v>2192</v>
      </c>
      <c r="E4" s="40" t="s">
        <v>47</v>
      </c>
      <c r="F4" s="42"/>
      <c r="G4" s="42">
        <v>14</v>
      </c>
      <c r="H4" s="43" t="s">
        <v>2226</v>
      </c>
      <c r="I4" s="46">
        <v>41670</v>
      </c>
      <c r="J4" s="40" t="s">
        <v>2227</v>
      </c>
      <c r="K4" s="40" t="s">
        <v>624</v>
      </c>
      <c r="L4" s="42"/>
      <c r="M4" s="42">
        <v>23</v>
      </c>
      <c r="N4" s="43" t="s">
        <v>2025</v>
      </c>
      <c r="O4" s="46">
        <v>41649</v>
      </c>
      <c r="P4" s="40" t="s">
        <v>2026</v>
      </c>
      <c r="Q4" s="40" t="s">
        <v>401</v>
      </c>
      <c r="R4" s="42"/>
      <c r="S4" s="42">
        <v>69</v>
      </c>
      <c r="T4" s="43" t="s">
        <v>2070</v>
      </c>
      <c r="U4" s="46">
        <v>41964</v>
      </c>
      <c r="V4" s="40" t="s">
        <v>2071</v>
      </c>
      <c r="W4" s="40" t="s">
        <v>624</v>
      </c>
    </row>
    <row r="5" spans="1:23" ht="29.25" thickBot="1">
      <c r="A5" s="42">
        <v>24</v>
      </c>
      <c r="B5" s="43" t="s">
        <v>283</v>
      </c>
      <c r="C5" s="46">
        <v>41992</v>
      </c>
      <c r="D5" s="40" t="s">
        <v>2193</v>
      </c>
      <c r="E5" s="40" t="s">
        <v>47</v>
      </c>
      <c r="F5" s="42"/>
      <c r="G5" s="42">
        <v>13</v>
      </c>
      <c r="H5" s="43" t="s">
        <v>341</v>
      </c>
      <c r="I5" s="46">
        <v>41446</v>
      </c>
      <c r="J5" s="40" t="s">
        <v>2228</v>
      </c>
      <c r="K5" s="40" t="s">
        <v>177</v>
      </c>
      <c r="L5" s="42"/>
      <c r="M5" s="42">
        <v>22</v>
      </c>
      <c r="N5" s="43" t="s">
        <v>991</v>
      </c>
      <c r="O5" s="46">
        <v>39416</v>
      </c>
      <c r="P5" s="21" t="s">
        <v>2027</v>
      </c>
      <c r="Q5" s="40" t="s">
        <v>401</v>
      </c>
      <c r="R5" s="42"/>
      <c r="S5" s="42">
        <v>68</v>
      </c>
      <c r="T5" s="43" t="s">
        <v>2072</v>
      </c>
      <c r="U5" s="46">
        <v>41957</v>
      </c>
      <c r="V5" s="40" t="s">
        <v>2073</v>
      </c>
      <c r="W5" s="40" t="s">
        <v>401</v>
      </c>
    </row>
    <row r="6" spans="1:23" ht="60.75" thickBot="1">
      <c r="A6" s="42">
        <v>23</v>
      </c>
      <c r="B6" s="43" t="s">
        <v>285</v>
      </c>
      <c r="C6" s="46">
        <v>41628</v>
      </c>
      <c r="D6" s="40" t="s">
        <v>2194</v>
      </c>
      <c r="E6" s="40" t="s">
        <v>47</v>
      </c>
      <c r="F6" s="42"/>
      <c r="G6" s="42">
        <v>12</v>
      </c>
      <c r="H6" s="43" t="s">
        <v>2229</v>
      </c>
      <c r="I6" s="46">
        <v>41206</v>
      </c>
      <c r="J6" s="40" t="s">
        <v>2230</v>
      </c>
      <c r="K6" s="40" t="s">
        <v>401</v>
      </c>
      <c r="L6" s="42"/>
      <c r="M6" s="42">
        <v>21</v>
      </c>
      <c r="N6" s="43" t="s">
        <v>215</v>
      </c>
      <c r="O6" s="46">
        <v>37449</v>
      </c>
      <c r="P6" s="40" t="s">
        <v>2028</v>
      </c>
      <c r="Q6" s="40" t="s">
        <v>177</v>
      </c>
      <c r="R6" s="42"/>
      <c r="S6" s="42">
        <v>67</v>
      </c>
      <c r="T6" s="43" t="s">
        <v>2074</v>
      </c>
      <c r="U6" s="46">
        <v>41306</v>
      </c>
      <c r="V6" s="40" t="s">
        <v>2075</v>
      </c>
      <c r="W6" s="40" t="s">
        <v>624</v>
      </c>
    </row>
    <row r="7" spans="1:23" ht="15.75" thickBot="1">
      <c r="A7" s="42">
        <v>22</v>
      </c>
      <c r="B7" s="43" t="s">
        <v>363</v>
      </c>
      <c r="C7" s="46">
        <v>41243</v>
      </c>
      <c r="D7" s="40" t="s">
        <v>2195</v>
      </c>
      <c r="E7" s="40" t="s">
        <v>178</v>
      </c>
      <c r="F7" s="42"/>
      <c r="G7" s="42">
        <v>11</v>
      </c>
      <c r="H7" s="43" t="s">
        <v>2231</v>
      </c>
      <c r="I7" s="46">
        <v>41068</v>
      </c>
      <c r="J7" s="40" t="s">
        <v>2232</v>
      </c>
      <c r="K7" s="40" t="s">
        <v>401</v>
      </c>
      <c r="L7" s="42"/>
      <c r="M7" s="42">
        <v>20</v>
      </c>
      <c r="N7" s="43" t="s">
        <v>15</v>
      </c>
      <c r="O7" s="46">
        <v>37400</v>
      </c>
      <c r="P7" s="40" t="s">
        <v>2029</v>
      </c>
      <c r="Q7" s="40" t="s">
        <v>179</v>
      </c>
      <c r="R7" s="42"/>
      <c r="S7" s="42">
        <v>66</v>
      </c>
      <c r="T7" s="43" t="s">
        <v>2076</v>
      </c>
      <c r="U7" s="46">
        <v>40851</v>
      </c>
      <c r="V7" s="40" t="s">
        <v>2077</v>
      </c>
      <c r="W7" s="40" t="s">
        <v>624</v>
      </c>
    </row>
    <row r="8" spans="1:23" ht="30.75" thickBot="1">
      <c r="A8" s="42">
        <v>21</v>
      </c>
      <c r="B8" s="43" t="s">
        <v>2196</v>
      </c>
      <c r="C8" s="46">
        <v>40564</v>
      </c>
      <c r="D8" s="40" t="s">
        <v>2197</v>
      </c>
      <c r="E8" s="40" t="s">
        <v>621</v>
      </c>
      <c r="F8" s="42"/>
      <c r="G8" s="42">
        <v>10</v>
      </c>
      <c r="H8" s="43" t="s">
        <v>331</v>
      </c>
      <c r="I8" s="46">
        <v>40739</v>
      </c>
      <c r="J8" s="40" t="s">
        <v>2233</v>
      </c>
      <c r="K8" s="40" t="s">
        <v>177</v>
      </c>
      <c r="L8" s="42"/>
      <c r="M8" s="42">
        <v>19</v>
      </c>
      <c r="N8" s="43" t="s">
        <v>2030</v>
      </c>
      <c r="O8" s="46">
        <v>37134</v>
      </c>
      <c r="P8" s="40" t="s">
        <v>2031</v>
      </c>
      <c r="Q8" s="40" t="s">
        <v>401</v>
      </c>
      <c r="R8" s="42"/>
      <c r="S8" s="42">
        <v>65</v>
      </c>
      <c r="T8" s="43" t="s">
        <v>2078</v>
      </c>
      <c r="U8" s="46">
        <v>40662</v>
      </c>
      <c r="V8" s="40" t="s">
        <v>2079</v>
      </c>
      <c r="W8" s="40" t="s">
        <v>624</v>
      </c>
    </row>
    <row r="9" spans="1:23" ht="29.25" thickBot="1">
      <c r="A9" s="42">
        <v>20</v>
      </c>
      <c r="B9" s="43" t="s">
        <v>184</v>
      </c>
      <c r="C9" s="46">
        <v>40171</v>
      </c>
      <c r="D9" s="40" t="s">
        <v>2198</v>
      </c>
      <c r="E9" s="40" t="s">
        <v>47</v>
      </c>
      <c r="F9" s="42"/>
      <c r="G9" s="42">
        <v>9</v>
      </c>
      <c r="H9" s="43" t="s">
        <v>2234</v>
      </c>
      <c r="I9" s="46">
        <v>40396</v>
      </c>
      <c r="J9" s="40" t="s">
        <v>2235</v>
      </c>
      <c r="K9" s="40" t="s">
        <v>401</v>
      </c>
      <c r="L9" s="42"/>
      <c r="M9" s="42">
        <v>18</v>
      </c>
      <c r="N9" s="43" t="s">
        <v>2032</v>
      </c>
      <c r="O9" s="46">
        <v>37113</v>
      </c>
      <c r="P9" s="40" t="s">
        <v>2033</v>
      </c>
      <c r="Q9" s="40" t="s">
        <v>401</v>
      </c>
      <c r="R9" s="42"/>
      <c r="S9" s="42">
        <v>64</v>
      </c>
      <c r="T9" s="43" t="s">
        <v>2080</v>
      </c>
      <c r="U9" s="46">
        <v>40347</v>
      </c>
      <c r="V9" s="40" t="s">
        <v>2081</v>
      </c>
      <c r="W9" s="40" t="s">
        <v>401</v>
      </c>
    </row>
    <row r="10" spans="1:23" ht="30.75" thickBot="1">
      <c r="A10" s="42">
        <v>19</v>
      </c>
      <c r="B10" s="43" t="s">
        <v>188</v>
      </c>
      <c r="C10" s="46">
        <v>39807</v>
      </c>
      <c r="D10" s="40" t="s">
        <v>2199</v>
      </c>
      <c r="E10" s="40" t="s">
        <v>82</v>
      </c>
      <c r="F10" s="42"/>
      <c r="G10" s="42">
        <v>8</v>
      </c>
      <c r="H10" s="43" t="s">
        <v>2236</v>
      </c>
      <c r="I10" s="46">
        <v>40242</v>
      </c>
      <c r="J10" s="40" t="s">
        <v>2237</v>
      </c>
      <c r="K10" s="40" t="s">
        <v>624</v>
      </c>
      <c r="L10" s="42"/>
      <c r="M10" s="42">
        <v>17</v>
      </c>
      <c r="N10" s="43" t="s">
        <v>2034</v>
      </c>
      <c r="O10" s="46">
        <v>36861</v>
      </c>
      <c r="P10" s="40" t="s">
        <v>2035</v>
      </c>
      <c r="Q10" s="40" t="s">
        <v>624</v>
      </c>
      <c r="R10" s="42"/>
      <c r="S10" s="42">
        <v>63</v>
      </c>
      <c r="T10" s="43" t="s">
        <v>2082</v>
      </c>
      <c r="U10" s="46">
        <v>40088</v>
      </c>
      <c r="V10" s="40" t="s">
        <v>2083</v>
      </c>
      <c r="W10" s="40" t="s">
        <v>401</v>
      </c>
    </row>
    <row r="11" spans="1:23" ht="30.75" thickBot="1">
      <c r="A11" s="42">
        <v>18</v>
      </c>
      <c r="B11" s="43" t="s">
        <v>204</v>
      </c>
      <c r="C11" s="46">
        <v>39437</v>
      </c>
      <c r="D11" s="40" t="s">
        <v>2200</v>
      </c>
      <c r="E11" s="40" t="s">
        <v>176</v>
      </c>
      <c r="F11" s="42"/>
      <c r="G11" s="42">
        <v>7</v>
      </c>
      <c r="H11" s="43" t="s">
        <v>679</v>
      </c>
      <c r="I11" s="46">
        <v>39850</v>
      </c>
      <c r="J11" s="40" t="s">
        <v>2238</v>
      </c>
      <c r="K11" s="40" t="s">
        <v>179</v>
      </c>
      <c r="L11" s="42"/>
      <c r="M11" s="42">
        <v>16</v>
      </c>
      <c r="N11" s="43" t="s">
        <v>2036</v>
      </c>
      <c r="O11" s="46">
        <v>36560</v>
      </c>
      <c r="P11" s="40" t="s">
        <v>2037</v>
      </c>
      <c r="Q11" s="40" t="s">
        <v>401</v>
      </c>
      <c r="R11" s="42"/>
      <c r="S11" s="42">
        <v>62</v>
      </c>
      <c r="T11" s="43" t="s">
        <v>2084</v>
      </c>
      <c r="U11" s="46">
        <v>40039</v>
      </c>
      <c r="V11" s="40" t="s">
        <v>2085</v>
      </c>
      <c r="W11" s="40" t="s">
        <v>401</v>
      </c>
    </row>
    <row r="12" spans="1:23" ht="45.75" thickBot="1">
      <c r="A12" s="42">
        <v>17</v>
      </c>
      <c r="B12" s="43" t="s">
        <v>201</v>
      </c>
      <c r="C12" s="46">
        <v>38863</v>
      </c>
      <c r="D12" s="40" t="s">
        <v>2201</v>
      </c>
      <c r="E12" s="40" t="s">
        <v>176</v>
      </c>
      <c r="F12" s="42"/>
      <c r="G12" s="42">
        <v>6</v>
      </c>
      <c r="H12" s="43" t="s">
        <v>2239</v>
      </c>
      <c r="I12" s="46">
        <v>39780</v>
      </c>
      <c r="J12" s="40" t="s">
        <v>2240</v>
      </c>
      <c r="K12" s="40" t="s">
        <v>401</v>
      </c>
      <c r="L12" s="42"/>
      <c r="M12" s="42">
        <v>15</v>
      </c>
      <c r="N12" s="43" t="s">
        <v>2038</v>
      </c>
      <c r="O12" s="46">
        <v>36238</v>
      </c>
      <c r="P12" s="40" t="s">
        <v>2039</v>
      </c>
      <c r="Q12" s="40" t="s">
        <v>401</v>
      </c>
      <c r="R12" s="42"/>
      <c r="S12" s="42">
        <v>61</v>
      </c>
      <c r="T12" s="43" t="s">
        <v>2086</v>
      </c>
      <c r="U12" s="46">
        <v>39850</v>
      </c>
      <c r="V12" s="40" t="s">
        <v>2087</v>
      </c>
      <c r="W12" s="40" t="s">
        <v>624</v>
      </c>
    </row>
    <row r="13" spans="1:23" ht="60.75" thickBot="1">
      <c r="A13" s="42">
        <v>16</v>
      </c>
      <c r="B13" s="43" t="s">
        <v>221</v>
      </c>
      <c r="C13" s="46">
        <v>38743</v>
      </c>
      <c r="D13" s="40" t="s">
        <v>2202</v>
      </c>
      <c r="E13" s="40" t="s">
        <v>177</v>
      </c>
      <c r="F13" s="42"/>
      <c r="G13" s="42">
        <v>5</v>
      </c>
      <c r="H13" s="43" t="s">
        <v>2241</v>
      </c>
      <c r="I13" s="46">
        <v>39346</v>
      </c>
      <c r="J13" s="40" t="s">
        <v>2242</v>
      </c>
      <c r="K13" s="40" t="s">
        <v>624</v>
      </c>
      <c r="L13" s="42"/>
      <c r="M13" s="42">
        <v>14</v>
      </c>
      <c r="N13" s="43" t="s">
        <v>2040</v>
      </c>
      <c r="O13" s="46">
        <v>36140</v>
      </c>
      <c r="P13" s="40" t="s">
        <v>2041</v>
      </c>
      <c r="Q13" s="40" t="s">
        <v>401</v>
      </c>
      <c r="R13" s="42"/>
      <c r="S13" s="42">
        <v>60</v>
      </c>
      <c r="T13" s="43" t="s">
        <v>2088</v>
      </c>
      <c r="U13" s="46">
        <v>39654</v>
      </c>
      <c r="V13" s="40" t="s">
        <v>2089</v>
      </c>
      <c r="W13" s="40" t="s">
        <v>624</v>
      </c>
    </row>
    <row r="14" spans="1:23" ht="30.75" thickBot="1">
      <c r="A14" s="42">
        <v>15</v>
      </c>
      <c r="B14" s="43" t="s">
        <v>2203</v>
      </c>
      <c r="C14" s="46">
        <v>38576</v>
      </c>
      <c r="D14" s="40" t="s">
        <v>2204</v>
      </c>
      <c r="E14" s="40" t="s">
        <v>401</v>
      </c>
      <c r="F14" s="42"/>
      <c r="G14" s="42">
        <v>4</v>
      </c>
      <c r="H14" s="43" t="s">
        <v>2243</v>
      </c>
      <c r="I14" s="46">
        <v>39220</v>
      </c>
      <c r="J14" s="40" t="s">
        <v>2244</v>
      </c>
      <c r="K14" s="40" t="s">
        <v>624</v>
      </c>
      <c r="L14" s="42"/>
      <c r="M14" s="42">
        <v>13</v>
      </c>
      <c r="N14" s="43" t="s">
        <v>83</v>
      </c>
      <c r="O14" s="46">
        <v>35734</v>
      </c>
      <c r="P14" s="40" t="s">
        <v>2042</v>
      </c>
      <c r="Q14" s="40" t="s">
        <v>82</v>
      </c>
      <c r="R14" s="42"/>
      <c r="S14" s="42">
        <v>59</v>
      </c>
      <c r="T14" s="43" t="s">
        <v>198</v>
      </c>
      <c r="U14" s="46">
        <v>39283</v>
      </c>
      <c r="V14" s="40" t="s">
        <v>2090</v>
      </c>
      <c r="W14" s="40" t="s">
        <v>176</v>
      </c>
    </row>
    <row r="15" spans="1:23" ht="75.75" thickBot="1">
      <c r="A15" s="42">
        <v>14</v>
      </c>
      <c r="B15" s="43" t="s">
        <v>2205</v>
      </c>
      <c r="C15" s="46">
        <v>37113</v>
      </c>
      <c r="D15" s="40" t="s">
        <v>2206</v>
      </c>
      <c r="E15" s="40" t="s">
        <v>179</v>
      </c>
      <c r="F15" s="42"/>
      <c r="G15" s="42">
        <v>3</v>
      </c>
      <c r="H15" s="43" t="s">
        <v>673</v>
      </c>
      <c r="I15" s="46">
        <v>39136</v>
      </c>
      <c r="J15" s="40" t="s">
        <v>2245</v>
      </c>
      <c r="K15" s="40" t="s">
        <v>179</v>
      </c>
      <c r="L15" s="42"/>
      <c r="M15" s="42">
        <v>12</v>
      </c>
      <c r="N15" s="43" t="s">
        <v>2043</v>
      </c>
      <c r="O15" s="46">
        <v>35692</v>
      </c>
      <c r="P15" s="21" t="s">
        <v>2044</v>
      </c>
      <c r="Q15" s="40" t="s">
        <v>401</v>
      </c>
      <c r="R15" s="42"/>
      <c r="S15" s="42">
        <v>58</v>
      </c>
      <c r="T15" s="43" t="s">
        <v>2091</v>
      </c>
      <c r="U15" s="46">
        <v>39269</v>
      </c>
      <c r="V15" s="40" t="s">
        <v>2092</v>
      </c>
      <c r="W15" s="40" t="s">
        <v>624</v>
      </c>
    </row>
    <row r="16" spans="1:23" ht="30.75" thickBot="1">
      <c r="A16" s="42">
        <v>13</v>
      </c>
      <c r="B16" s="43" t="s">
        <v>216</v>
      </c>
      <c r="C16" s="46">
        <v>37057</v>
      </c>
      <c r="D16" s="40" t="s">
        <v>2207</v>
      </c>
      <c r="E16" s="40" t="s">
        <v>177</v>
      </c>
      <c r="F16" s="42"/>
      <c r="G16" s="42">
        <v>2</v>
      </c>
      <c r="H16" s="43" t="s">
        <v>2246</v>
      </c>
      <c r="I16" s="46">
        <v>38947</v>
      </c>
      <c r="J16" s="40" t="s">
        <v>2247</v>
      </c>
      <c r="K16" s="40" t="s">
        <v>624</v>
      </c>
      <c r="L16" s="42"/>
      <c r="M16" s="42">
        <v>11</v>
      </c>
      <c r="N16" s="43" t="s">
        <v>2045</v>
      </c>
      <c r="O16" s="46">
        <v>35622</v>
      </c>
      <c r="P16" s="40" t="s">
        <v>2046</v>
      </c>
      <c r="Q16" s="40" t="s">
        <v>401</v>
      </c>
      <c r="R16" s="42"/>
      <c r="S16" s="42">
        <v>57</v>
      </c>
      <c r="T16" s="43" t="s">
        <v>982</v>
      </c>
      <c r="U16" s="46">
        <v>39108</v>
      </c>
      <c r="V16" s="40" t="s">
        <v>2093</v>
      </c>
      <c r="W16" s="40" t="s">
        <v>624</v>
      </c>
    </row>
    <row r="17" spans="1:23" ht="30.75" thickBot="1">
      <c r="A17" s="42">
        <v>12</v>
      </c>
      <c r="B17" s="43" t="s">
        <v>2208</v>
      </c>
      <c r="C17" s="46">
        <v>36532</v>
      </c>
      <c r="D17" s="40" t="s">
        <v>2209</v>
      </c>
      <c r="E17" s="40" t="s">
        <v>401</v>
      </c>
      <c r="F17" s="42"/>
      <c r="G17" s="42">
        <v>1</v>
      </c>
      <c r="H17" s="43" t="s">
        <v>2248</v>
      </c>
      <c r="I17" s="46">
        <v>38415</v>
      </c>
      <c r="J17" s="40" t="s">
        <v>2249</v>
      </c>
      <c r="K17" s="40" t="s">
        <v>401</v>
      </c>
      <c r="L17" s="42"/>
      <c r="M17" s="42">
        <v>10</v>
      </c>
      <c r="N17" s="43" t="s">
        <v>2047</v>
      </c>
      <c r="O17" s="46">
        <v>35573</v>
      </c>
      <c r="P17" s="40" t="s">
        <v>2048</v>
      </c>
      <c r="Q17" s="40" t="s">
        <v>401</v>
      </c>
      <c r="R17" s="42"/>
      <c r="S17" s="42">
        <v>56</v>
      </c>
      <c r="T17" s="43" t="s">
        <v>233</v>
      </c>
      <c r="U17" s="46">
        <v>39073</v>
      </c>
      <c r="V17" s="40" t="s">
        <v>2094</v>
      </c>
      <c r="W17" s="40" t="s">
        <v>177</v>
      </c>
    </row>
    <row r="18" spans="1:23" ht="30.75" thickBot="1">
      <c r="A18" s="42">
        <v>11</v>
      </c>
      <c r="B18" s="43" t="s">
        <v>2210</v>
      </c>
      <c r="C18" s="46">
        <v>36413</v>
      </c>
      <c r="D18" s="40" t="s">
        <v>2211</v>
      </c>
      <c r="E18" s="40" t="s">
        <v>624</v>
      </c>
      <c r="F18" s="42"/>
      <c r="G18" s="42"/>
      <c r="H18" s="42"/>
      <c r="I18" s="42"/>
      <c r="J18" s="42"/>
      <c r="K18" s="42"/>
      <c r="L18" s="42"/>
      <c r="M18" s="42">
        <v>9</v>
      </c>
      <c r="N18" s="43" t="s">
        <v>166</v>
      </c>
      <c r="O18" s="46">
        <v>35538</v>
      </c>
      <c r="P18" s="40" t="s">
        <v>2049</v>
      </c>
      <c r="Q18" s="40" t="s">
        <v>179</v>
      </c>
      <c r="R18" s="42"/>
      <c r="S18" s="42">
        <v>55</v>
      </c>
      <c r="T18" s="43" t="s">
        <v>2095</v>
      </c>
      <c r="U18" s="46">
        <v>38954</v>
      </c>
      <c r="V18" s="40" t="s">
        <v>2096</v>
      </c>
      <c r="W18" s="40" t="s">
        <v>624</v>
      </c>
    </row>
    <row r="19" spans="1:23" ht="15.75" thickBot="1">
      <c r="A19" s="42">
        <v>10</v>
      </c>
      <c r="B19" s="43" t="s">
        <v>167</v>
      </c>
      <c r="C19" s="46">
        <v>36350</v>
      </c>
      <c r="D19" s="40" t="s">
        <v>2212</v>
      </c>
      <c r="E19" s="40" t="s">
        <v>179</v>
      </c>
      <c r="F19" s="42"/>
      <c r="G19" s="42"/>
      <c r="H19" s="42"/>
      <c r="I19" s="42"/>
      <c r="J19" s="42"/>
      <c r="K19" s="42"/>
      <c r="L19" s="42"/>
      <c r="M19" s="42">
        <v>8</v>
      </c>
      <c r="N19" s="43" t="s">
        <v>2050</v>
      </c>
      <c r="O19" s="46">
        <v>35216</v>
      </c>
      <c r="P19" s="40" t="s">
        <v>2051</v>
      </c>
      <c r="Q19" s="40" t="s">
        <v>621</v>
      </c>
      <c r="R19" s="42"/>
      <c r="S19" s="42">
        <v>54</v>
      </c>
      <c r="T19" s="43" t="s">
        <v>2097</v>
      </c>
      <c r="U19" s="46">
        <v>38520</v>
      </c>
      <c r="V19" s="40" t="s">
        <v>2098</v>
      </c>
      <c r="W19" s="40" t="s">
        <v>624</v>
      </c>
    </row>
    <row r="20" spans="1:23" ht="60.75" thickBot="1">
      <c r="A20" s="42">
        <v>9</v>
      </c>
      <c r="B20" s="43" t="s">
        <v>113</v>
      </c>
      <c r="C20" s="46">
        <v>36280</v>
      </c>
      <c r="D20" s="40" t="s">
        <v>2213</v>
      </c>
      <c r="E20" s="40" t="s">
        <v>177</v>
      </c>
      <c r="F20" s="42"/>
      <c r="G20" s="42"/>
      <c r="H20" s="42"/>
      <c r="I20" s="42"/>
      <c r="J20" s="42"/>
      <c r="K20" s="42"/>
      <c r="L20" s="42"/>
      <c r="M20" s="42">
        <v>7</v>
      </c>
      <c r="N20" s="43" t="s">
        <v>2052</v>
      </c>
      <c r="O20" s="46">
        <v>35146</v>
      </c>
      <c r="P20" s="40" t="s">
        <v>1902</v>
      </c>
      <c r="Q20" s="40" t="s">
        <v>401</v>
      </c>
      <c r="R20" s="42"/>
      <c r="S20" s="42">
        <v>53</v>
      </c>
      <c r="T20" s="43" t="s">
        <v>2099</v>
      </c>
      <c r="U20" s="46">
        <v>38471</v>
      </c>
      <c r="V20" s="40" t="s">
        <v>2100</v>
      </c>
      <c r="W20" s="40" t="s">
        <v>624</v>
      </c>
    </row>
    <row r="21" spans="1:23" ht="30.75" thickBot="1">
      <c r="A21" s="42">
        <v>8</v>
      </c>
      <c r="B21" s="43" t="s">
        <v>124</v>
      </c>
      <c r="C21" s="46">
        <v>35965</v>
      </c>
      <c r="D21" s="40" t="s">
        <v>2214</v>
      </c>
      <c r="E21" s="40" t="s">
        <v>177</v>
      </c>
      <c r="F21" s="42"/>
      <c r="G21" s="42"/>
      <c r="H21" s="42"/>
      <c r="I21" s="42"/>
      <c r="J21" s="42"/>
      <c r="K21" s="42"/>
      <c r="L21" s="42"/>
      <c r="M21" s="42">
        <v>6</v>
      </c>
      <c r="N21" s="43" t="s">
        <v>2053</v>
      </c>
      <c r="O21" s="46">
        <v>34992</v>
      </c>
      <c r="P21" s="40" t="s">
        <v>2054</v>
      </c>
      <c r="Q21" s="40" t="s">
        <v>401</v>
      </c>
      <c r="R21" s="42"/>
      <c r="S21" s="42">
        <v>52</v>
      </c>
      <c r="T21" s="43" t="s">
        <v>2101</v>
      </c>
      <c r="U21" s="46">
        <v>37918</v>
      </c>
      <c r="V21" s="40" t="s">
        <v>2102</v>
      </c>
      <c r="W21" s="40" t="s">
        <v>624</v>
      </c>
    </row>
    <row r="22" spans="1:23" ht="30.75" thickBot="1">
      <c r="A22" s="42">
        <v>7</v>
      </c>
      <c r="B22" s="43" t="s">
        <v>91</v>
      </c>
      <c r="C22" s="46">
        <v>35762</v>
      </c>
      <c r="D22" s="40" t="s">
        <v>2215</v>
      </c>
      <c r="E22" s="40" t="s">
        <v>176</v>
      </c>
      <c r="F22" s="42"/>
      <c r="G22" s="42"/>
      <c r="H22" s="42"/>
      <c r="I22" s="42"/>
      <c r="J22" s="42"/>
      <c r="K22" s="42"/>
      <c r="L22" s="42"/>
      <c r="M22" s="42">
        <v>5</v>
      </c>
      <c r="N22" s="43" t="s">
        <v>2055</v>
      </c>
      <c r="O22" s="46">
        <v>34894</v>
      </c>
      <c r="P22" s="40" t="s">
        <v>2056</v>
      </c>
      <c r="Q22" s="40" t="s">
        <v>624</v>
      </c>
      <c r="R22" s="42"/>
      <c r="S22" s="42">
        <v>51</v>
      </c>
      <c r="T22" s="43" t="s">
        <v>2103</v>
      </c>
      <c r="U22" s="46">
        <v>37708</v>
      </c>
      <c r="V22" s="40" t="s">
        <v>1904</v>
      </c>
      <c r="W22" s="40" t="s">
        <v>621</v>
      </c>
    </row>
    <row r="23" spans="1:23" ht="45.75" thickBot="1">
      <c r="A23" s="42">
        <v>6</v>
      </c>
      <c r="B23" s="43" t="s">
        <v>65</v>
      </c>
      <c r="C23" s="46">
        <v>35380</v>
      </c>
      <c r="D23" s="40" t="s">
        <v>2216</v>
      </c>
      <c r="E23" s="40" t="s">
        <v>47</v>
      </c>
      <c r="F23" s="42"/>
      <c r="G23" s="42"/>
      <c r="H23" s="42"/>
      <c r="I23" s="42"/>
      <c r="J23" s="42"/>
      <c r="K23" s="42"/>
      <c r="L23" s="42"/>
      <c r="M23" s="42">
        <v>4</v>
      </c>
      <c r="N23" s="43" t="s">
        <v>86</v>
      </c>
      <c r="O23" s="46">
        <v>34852</v>
      </c>
      <c r="P23" s="21" t="s">
        <v>2057</v>
      </c>
      <c r="Q23" s="40" t="s">
        <v>82</v>
      </c>
      <c r="R23" s="42"/>
      <c r="S23" s="42">
        <v>50</v>
      </c>
      <c r="T23" s="43" t="s">
        <v>2104</v>
      </c>
      <c r="U23" s="46">
        <v>37617</v>
      </c>
      <c r="V23" s="40" t="s">
        <v>2105</v>
      </c>
      <c r="W23" s="40" t="s">
        <v>624</v>
      </c>
    </row>
    <row r="24" spans="1:23" ht="45.75" thickBot="1">
      <c r="A24" s="42">
        <v>5</v>
      </c>
      <c r="B24" s="43" t="s">
        <v>2217</v>
      </c>
      <c r="C24" s="46">
        <v>35034</v>
      </c>
      <c r="D24" s="40" t="s">
        <v>2218</v>
      </c>
      <c r="E24" s="40" t="s">
        <v>401</v>
      </c>
      <c r="F24" s="42"/>
      <c r="G24" s="42"/>
      <c r="H24" s="42"/>
      <c r="I24" s="42"/>
      <c r="J24" s="42"/>
      <c r="K24" s="42"/>
      <c r="L24" s="42"/>
      <c r="M24" s="42">
        <v>3</v>
      </c>
      <c r="N24" s="43" t="s">
        <v>5</v>
      </c>
      <c r="O24" s="46">
        <v>34551</v>
      </c>
      <c r="P24" s="21" t="s">
        <v>2058</v>
      </c>
      <c r="Q24" s="40" t="s">
        <v>47</v>
      </c>
      <c r="R24" s="42"/>
      <c r="S24" s="42">
        <v>49</v>
      </c>
      <c r="T24" s="43" t="s">
        <v>599</v>
      </c>
      <c r="U24" s="46">
        <v>37561</v>
      </c>
      <c r="V24" s="40" t="s">
        <v>2106</v>
      </c>
      <c r="W24" s="40" t="s">
        <v>624</v>
      </c>
    </row>
    <row r="25" spans="1:23" ht="45.75" thickBot="1">
      <c r="A25" s="42">
        <v>4</v>
      </c>
      <c r="B25" s="43" t="s">
        <v>88</v>
      </c>
      <c r="C25" s="46">
        <v>34950</v>
      </c>
      <c r="D25" s="40" t="s">
        <v>2219</v>
      </c>
      <c r="E25" s="40" t="s">
        <v>82</v>
      </c>
      <c r="F25" s="42"/>
      <c r="G25" s="42"/>
      <c r="H25" s="42"/>
      <c r="I25" s="42"/>
      <c r="J25" s="42"/>
      <c r="K25" s="42"/>
      <c r="L25" s="42"/>
      <c r="M25" s="42">
        <v>2</v>
      </c>
      <c r="N25" s="43" t="s">
        <v>175</v>
      </c>
      <c r="O25" s="46">
        <v>34446</v>
      </c>
      <c r="P25" s="21" t="s">
        <v>2059</v>
      </c>
      <c r="Q25" s="40" t="s">
        <v>179</v>
      </c>
      <c r="R25" s="42"/>
      <c r="S25" s="42">
        <v>48</v>
      </c>
      <c r="T25" s="43" t="s">
        <v>2107</v>
      </c>
      <c r="U25" s="46">
        <v>37470</v>
      </c>
      <c r="V25" s="40" t="s">
        <v>2108</v>
      </c>
      <c r="W25" s="40" t="s">
        <v>401</v>
      </c>
    </row>
    <row r="26" spans="1:23" ht="45.75" thickBot="1">
      <c r="A26" s="42">
        <v>3</v>
      </c>
      <c r="B26" s="43" t="s">
        <v>2220</v>
      </c>
      <c r="C26" s="46">
        <v>34915</v>
      </c>
      <c r="D26" s="40" t="s">
        <v>2221</v>
      </c>
      <c r="E26" s="40" t="s">
        <v>401</v>
      </c>
      <c r="F26" s="42"/>
      <c r="G26" s="42"/>
      <c r="H26" s="42"/>
      <c r="I26" s="42"/>
      <c r="J26" s="42"/>
      <c r="K26" s="42"/>
      <c r="L26" s="42"/>
      <c r="M26" s="42">
        <v>1</v>
      </c>
      <c r="N26" s="43" t="s">
        <v>2060</v>
      </c>
      <c r="O26" s="46">
        <v>34334</v>
      </c>
      <c r="P26" s="21" t="s">
        <v>2061</v>
      </c>
      <c r="Q26" s="40" t="s">
        <v>401</v>
      </c>
      <c r="R26" s="42"/>
      <c r="S26" s="42">
        <v>47</v>
      </c>
      <c r="T26" s="43" t="s">
        <v>2109</v>
      </c>
      <c r="U26" s="46">
        <v>37372</v>
      </c>
      <c r="V26" s="40" t="s">
        <v>2110</v>
      </c>
      <c r="W26" s="40" t="s">
        <v>624</v>
      </c>
    </row>
    <row r="27" spans="1:23" ht="60.75" thickBot="1">
      <c r="A27" s="42">
        <v>2</v>
      </c>
      <c r="B27" s="43" t="s">
        <v>2222</v>
      </c>
      <c r="C27" s="46">
        <v>34803</v>
      </c>
      <c r="D27" s="40" t="s">
        <v>2223</v>
      </c>
      <c r="E27" s="40" t="s">
        <v>401</v>
      </c>
      <c r="F27" s="49"/>
      <c r="G27" s="49"/>
      <c r="H27" s="49"/>
      <c r="I27" s="49"/>
      <c r="J27" s="49"/>
      <c r="K27" s="49"/>
      <c r="L27" s="49"/>
      <c r="S27" s="42">
        <v>46</v>
      </c>
      <c r="T27" s="43" t="s">
        <v>648</v>
      </c>
      <c r="U27" s="46">
        <v>37246</v>
      </c>
      <c r="V27" s="40" t="s">
        <v>2111</v>
      </c>
      <c r="W27" s="40" t="s">
        <v>621</v>
      </c>
    </row>
    <row r="28" spans="1:23" ht="75.75" thickBot="1">
      <c r="A28" s="42">
        <v>1</v>
      </c>
      <c r="B28" s="43" t="s">
        <v>2224</v>
      </c>
      <c r="C28" s="46">
        <v>34642</v>
      </c>
      <c r="D28" s="40" t="s">
        <v>1894</v>
      </c>
      <c r="E28" s="40" t="s">
        <v>401</v>
      </c>
      <c r="F28" s="49"/>
      <c r="G28" s="49"/>
      <c r="H28" s="49"/>
      <c r="I28" s="49"/>
      <c r="J28" s="49"/>
      <c r="K28" s="49"/>
      <c r="L28" s="49"/>
      <c r="S28" s="42">
        <v>45</v>
      </c>
      <c r="T28" s="43" t="s">
        <v>2112</v>
      </c>
      <c r="U28" s="46">
        <v>37155</v>
      </c>
      <c r="V28" s="40" t="s">
        <v>2113</v>
      </c>
      <c r="W28" s="40" t="s">
        <v>401</v>
      </c>
    </row>
    <row r="29" spans="1:23" ht="45.75" thickBot="1">
      <c r="S29" s="42">
        <v>44</v>
      </c>
      <c r="T29" s="43" t="s">
        <v>2114</v>
      </c>
      <c r="U29" s="46">
        <v>37141</v>
      </c>
      <c r="V29" s="40" t="s">
        <v>2115</v>
      </c>
      <c r="W29" s="40" t="s">
        <v>624</v>
      </c>
    </row>
    <row r="30" spans="1:23" ht="15.75" thickBot="1">
      <c r="S30" s="42">
        <v>43</v>
      </c>
      <c r="T30" s="43" t="s">
        <v>2116</v>
      </c>
      <c r="U30" s="46">
        <v>37001</v>
      </c>
      <c r="V30" s="40" t="s">
        <v>2117</v>
      </c>
      <c r="W30" s="40" t="s">
        <v>401</v>
      </c>
    </row>
    <row r="31" spans="1:23" ht="15.75" thickBot="1">
      <c r="S31" s="42">
        <v>42</v>
      </c>
      <c r="T31" s="43" t="s">
        <v>224</v>
      </c>
      <c r="U31" s="46">
        <v>36994</v>
      </c>
      <c r="V31" s="40" t="s">
        <v>2118</v>
      </c>
      <c r="W31" s="40" t="s">
        <v>177</v>
      </c>
    </row>
    <row r="32" spans="1:23" ht="15.75" thickBot="1">
      <c r="S32" s="42">
        <v>41</v>
      </c>
      <c r="T32" s="43" t="s">
        <v>2119</v>
      </c>
      <c r="U32" s="46">
        <v>36840</v>
      </c>
      <c r="V32" s="40" t="s">
        <v>2120</v>
      </c>
      <c r="W32" s="40" t="s">
        <v>624</v>
      </c>
    </row>
    <row r="33" spans="19:23" ht="75.75" thickBot="1">
      <c r="S33" s="42">
        <v>40</v>
      </c>
      <c r="T33" s="43" t="s">
        <v>2121</v>
      </c>
      <c r="U33" s="46">
        <v>36812</v>
      </c>
      <c r="V33" s="40" t="s">
        <v>2122</v>
      </c>
      <c r="W33" s="40" t="s">
        <v>401</v>
      </c>
    </row>
    <row r="34" spans="19:23" ht="15.75" thickBot="1">
      <c r="S34" s="42">
        <v>39</v>
      </c>
      <c r="T34" s="43" t="s">
        <v>2123</v>
      </c>
      <c r="U34" s="46">
        <v>36805</v>
      </c>
      <c r="V34" s="40" t="s">
        <v>2124</v>
      </c>
      <c r="W34" s="40" t="s">
        <v>401</v>
      </c>
    </row>
    <row r="35" spans="19:23" ht="29.25" thickBot="1">
      <c r="S35" s="42">
        <v>38</v>
      </c>
      <c r="T35" s="43" t="s">
        <v>645</v>
      </c>
      <c r="U35" s="46">
        <v>36728</v>
      </c>
      <c r="V35" s="40" t="s">
        <v>2125</v>
      </c>
      <c r="W35" s="40" t="s">
        <v>621</v>
      </c>
    </row>
    <row r="36" spans="19:23" ht="30.75" thickBot="1">
      <c r="S36" s="42">
        <v>37</v>
      </c>
      <c r="T36" s="43" t="s">
        <v>644</v>
      </c>
      <c r="U36" s="46">
        <v>36693</v>
      </c>
      <c r="V36" s="40" t="s">
        <v>2126</v>
      </c>
      <c r="W36" s="40" t="s">
        <v>621</v>
      </c>
    </row>
    <row r="37" spans="19:23" ht="30.75" thickBot="1">
      <c r="S37" s="42">
        <v>36</v>
      </c>
      <c r="T37" s="43" t="s">
        <v>2127</v>
      </c>
      <c r="U37" s="46">
        <v>36630</v>
      </c>
      <c r="V37" s="40" t="s">
        <v>2128</v>
      </c>
      <c r="W37" s="40" t="s">
        <v>179</v>
      </c>
    </row>
    <row r="38" spans="19:23" ht="60.75" thickBot="1">
      <c r="S38" s="42">
        <v>35</v>
      </c>
      <c r="T38" s="43" t="s">
        <v>2129</v>
      </c>
      <c r="U38" s="46">
        <v>36427</v>
      </c>
      <c r="V38" s="40" t="s">
        <v>2130</v>
      </c>
      <c r="W38" s="40" t="s">
        <v>401</v>
      </c>
    </row>
    <row r="39" spans="19:23" ht="45.75" thickBot="1">
      <c r="S39" s="42">
        <v>34</v>
      </c>
      <c r="T39" s="43" t="s">
        <v>120</v>
      </c>
      <c r="U39" s="46">
        <v>36336</v>
      </c>
      <c r="V39" s="40" t="s">
        <v>2131</v>
      </c>
      <c r="W39" s="40" t="s">
        <v>177</v>
      </c>
    </row>
    <row r="40" spans="19:23" ht="15.75" thickBot="1">
      <c r="S40" s="42">
        <v>33</v>
      </c>
      <c r="T40" s="43" t="s">
        <v>2132</v>
      </c>
      <c r="U40" s="46">
        <v>36301</v>
      </c>
      <c r="V40" s="40" t="s">
        <v>2133</v>
      </c>
      <c r="W40" s="40" t="s">
        <v>401</v>
      </c>
    </row>
    <row r="41" spans="19:23" ht="30.75" thickBot="1">
      <c r="S41" s="42">
        <v>32</v>
      </c>
      <c r="T41" s="43" t="s">
        <v>151</v>
      </c>
      <c r="U41" s="46">
        <v>36259</v>
      </c>
      <c r="V41" s="40" t="s">
        <v>2134</v>
      </c>
      <c r="W41" s="40" t="s">
        <v>178</v>
      </c>
    </row>
    <row r="42" spans="19:23" ht="15.75" thickBot="1">
      <c r="S42" s="42">
        <v>31</v>
      </c>
      <c r="T42" s="43" t="s">
        <v>2135</v>
      </c>
      <c r="U42" s="46">
        <v>36147</v>
      </c>
      <c r="V42" s="40" t="s">
        <v>2136</v>
      </c>
      <c r="W42" s="40" t="s">
        <v>624</v>
      </c>
    </row>
    <row r="43" spans="19:23" ht="30.75" thickBot="1">
      <c r="S43" s="42">
        <v>30</v>
      </c>
      <c r="T43" s="43" t="s">
        <v>2137</v>
      </c>
      <c r="U43" s="46">
        <v>36112</v>
      </c>
      <c r="V43" s="40" t="s">
        <v>2138</v>
      </c>
      <c r="W43" s="40" t="s">
        <v>401</v>
      </c>
    </row>
    <row r="44" spans="19:23" ht="60.75" thickBot="1">
      <c r="S44" s="42">
        <v>29</v>
      </c>
      <c r="T44" s="43" t="s">
        <v>112</v>
      </c>
      <c r="U44" s="46">
        <v>36084</v>
      </c>
      <c r="V44" s="40" t="s">
        <v>2139</v>
      </c>
      <c r="W44" s="40" t="s">
        <v>177</v>
      </c>
    </row>
    <row r="45" spans="19:23" ht="15.75" thickBot="1">
      <c r="S45" s="42">
        <v>28</v>
      </c>
      <c r="T45" s="43" t="s">
        <v>2140</v>
      </c>
      <c r="U45" s="46">
        <v>36042</v>
      </c>
      <c r="V45" s="40" t="s">
        <v>2141</v>
      </c>
      <c r="W45" s="40" t="s">
        <v>401</v>
      </c>
    </row>
    <row r="46" spans="19:23" ht="30.75" thickBot="1">
      <c r="S46" s="42">
        <v>27</v>
      </c>
      <c r="T46" s="43" t="s">
        <v>119</v>
      </c>
      <c r="U46" s="46">
        <v>35986</v>
      </c>
      <c r="V46" s="40" t="s">
        <v>2142</v>
      </c>
      <c r="W46" s="40" t="s">
        <v>177</v>
      </c>
    </row>
    <row r="47" spans="19:23" ht="15.75" thickBot="1">
      <c r="S47" s="42">
        <v>26</v>
      </c>
      <c r="T47" s="43" t="s">
        <v>2143</v>
      </c>
      <c r="U47" s="46">
        <v>35958</v>
      </c>
      <c r="V47" s="40" t="s">
        <v>2144</v>
      </c>
      <c r="W47" s="40" t="s">
        <v>401</v>
      </c>
    </row>
    <row r="48" spans="19:23" ht="30.75" thickBot="1">
      <c r="S48" s="42">
        <v>25</v>
      </c>
      <c r="T48" s="43" t="s">
        <v>638</v>
      </c>
      <c r="U48" s="46">
        <v>35916</v>
      </c>
      <c r="V48" s="40" t="s">
        <v>2145</v>
      </c>
      <c r="W48" s="40" t="s">
        <v>621</v>
      </c>
    </row>
    <row r="49" spans="19:23" ht="30.75" thickBot="1">
      <c r="S49" s="42">
        <v>24</v>
      </c>
      <c r="T49" s="43" t="s">
        <v>2146</v>
      </c>
      <c r="U49" s="46">
        <v>35825</v>
      </c>
      <c r="V49" s="40" t="s">
        <v>2147</v>
      </c>
      <c r="W49" s="40" t="s">
        <v>401</v>
      </c>
    </row>
    <row r="50" spans="19:23" ht="45.75" thickBot="1">
      <c r="S50" s="42">
        <v>23</v>
      </c>
      <c r="T50" s="43" t="s">
        <v>117</v>
      </c>
      <c r="U50" s="46">
        <v>35713</v>
      </c>
      <c r="V50" s="40" t="s">
        <v>2148</v>
      </c>
      <c r="W50" s="40" t="s">
        <v>177</v>
      </c>
    </row>
    <row r="51" spans="19:23" ht="30.75" thickBot="1">
      <c r="S51" s="42">
        <v>22</v>
      </c>
      <c r="T51" s="43" t="s">
        <v>2149</v>
      </c>
      <c r="U51" s="46">
        <v>35699</v>
      </c>
      <c r="V51" s="40" t="s">
        <v>2150</v>
      </c>
      <c r="W51" s="40" t="s">
        <v>624</v>
      </c>
    </row>
    <row r="52" spans="19:23" ht="60.75" thickBot="1">
      <c r="S52" s="42">
        <v>21</v>
      </c>
      <c r="T52" s="43" t="s">
        <v>2151</v>
      </c>
      <c r="U52" s="46">
        <v>35622</v>
      </c>
      <c r="V52" s="40" t="s">
        <v>2152</v>
      </c>
      <c r="W52" s="40" t="s">
        <v>401</v>
      </c>
    </row>
    <row r="53" spans="19:23" ht="30.75" thickBot="1">
      <c r="S53" s="42">
        <v>20</v>
      </c>
      <c r="T53" s="43" t="s">
        <v>96</v>
      </c>
      <c r="U53" s="46">
        <v>35482</v>
      </c>
      <c r="V53" s="40" t="s">
        <v>2153</v>
      </c>
      <c r="W53" s="40" t="s">
        <v>176</v>
      </c>
    </row>
    <row r="54" spans="19:23" ht="30.75" thickBot="1">
      <c r="S54" s="42">
        <v>19</v>
      </c>
      <c r="T54" s="43" t="s">
        <v>2154</v>
      </c>
      <c r="U54" s="46">
        <v>35391</v>
      </c>
      <c r="V54" s="40" t="s">
        <v>2155</v>
      </c>
      <c r="W54" s="40" t="s">
        <v>401</v>
      </c>
    </row>
    <row r="55" spans="19:23" ht="15.75" thickBot="1">
      <c r="S55" s="42">
        <v>18</v>
      </c>
      <c r="T55" s="43" t="s">
        <v>2156</v>
      </c>
      <c r="U55" s="46">
        <v>35349</v>
      </c>
      <c r="V55" s="40" t="s">
        <v>2157</v>
      </c>
      <c r="W55" s="40" t="s">
        <v>401</v>
      </c>
    </row>
    <row r="56" spans="19:23" ht="15.75" thickBot="1">
      <c r="S56" s="42">
        <v>17</v>
      </c>
      <c r="T56" s="43" t="s">
        <v>2158</v>
      </c>
      <c r="U56" s="46">
        <v>35265</v>
      </c>
      <c r="V56" s="40" t="s">
        <v>2159</v>
      </c>
      <c r="W56" s="40" t="s">
        <v>624</v>
      </c>
    </row>
    <row r="57" spans="19:23" ht="45.75" thickBot="1">
      <c r="S57" s="42">
        <v>16</v>
      </c>
      <c r="T57" s="43" t="s">
        <v>103</v>
      </c>
      <c r="U57" s="46">
        <v>35167</v>
      </c>
      <c r="V57" s="40" t="s">
        <v>2160</v>
      </c>
      <c r="W57" s="40" t="s">
        <v>176</v>
      </c>
    </row>
    <row r="58" spans="19:23" ht="15.75" thickBot="1">
      <c r="S58" s="42">
        <v>15</v>
      </c>
      <c r="T58" s="43" t="s">
        <v>2161</v>
      </c>
      <c r="U58" s="46">
        <v>35041</v>
      </c>
      <c r="V58" s="40" t="s">
        <v>2162</v>
      </c>
      <c r="W58" s="40" t="s">
        <v>401</v>
      </c>
    </row>
    <row r="59" spans="19:23" ht="30.75" thickBot="1">
      <c r="S59" s="42">
        <v>14</v>
      </c>
      <c r="T59" s="43" t="s">
        <v>104</v>
      </c>
      <c r="U59" s="46">
        <v>34880</v>
      </c>
      <c r="V59" s="40" t="s">
        <v>2163</v>
      </c>
      <c r="W59" s="40" t="s">
        <v>176</v>
      </c>
    </row>
    <row r="60" spans="19:23" ht="15.75" thickBot="1">
      <c r="S60" s="42">
        <v>13</v>
      </c>
      <c r="T60" s="43" t="s">
        <v>2164</v>
      </c>
      <c r="U60" s="46">
        <v>34866</v>
      </c>
      <c r="V60" s="40" t="s">
        <v>2165</v>
      </c>
      <c r="W60" s="40" t="s">
        <v>401</v>
      </c>
    </row>
    <row r="61" spans="19:23" ht="30.75" thickBot="1">
      <c r="S61" s="42">
        <v>12</v>
      </c>
      <c r="T61" s="43" t="s">
        <v>2166</v>
      </c>
      <c r="U61" s="46">
        <v>34789</v>
      </c>
      <c r="V61" s="40" t="s">
        <v>2167</v>
      </c>
      <c r="W61" s="40" t="s">
        <v>621</v>
      </c>
    </row>
    <row r="62" spans="19:23" ht="15.75" thickBot="1">
      <c r="S62" s="42">
        <v>11</v>
      </c>
      <c r="T62" s="43" t="s">
        <v>2168</v>
      </c>
      <c r="U62" s="46">
        <v>34761</v>
      </c>
      <c r="V62" s="40" t="s">
        <v>2169</v>
      </c>
      <c r="W62" s="40" t="s">
        <v>179</v>
      </c>
    </row>
    <row r="63" spans="19:23" ht="30.75" thickBot="1">
      <c r="S63" s="42">
        <v>10</v>
      </c>
      <c r="T63" s="43" t="s">
        <v>2170</v>
      </c>
      <c r="U63" s="46">
        <v>34628</v>
      </c>
      <c r="V63" s="40" t="s">
        <v>2171</v>
      </c>
      <c r="W63" s="40" t="s">
        <v>624</v>
      </c>
    </row>
    <row r="64" spans="19:23" ht="15.75" thickBot="1">
      <c r="S64" s="42">
        <v>9</v>
      </c>
      <c r="T64" s="43" t="s">
        <v>2172</v>
      </c>
      <c r="U64" s="46">
        <v>34579</v>
      </c>
      <c r="V64" s="40" t="s">
        <v>2173</v>
      </c>
      <c r="W64" s="40" t="s">
        <v>401</v>
      </c>
    </row>
    <row r="65" spans="19:23" ht="15.75" thickBot="1">
      <c r="S65" s="42">
        <v>8</v>
      </c>
      <c r="T65" s="43" t="s">
        <v>2174</v>
      </c>
      <c r="U65" s="46">
        <v>34558</v>
      </c>
      <c r="V65" s="40" t="s">
        <v>2175</v>
      </c>
      <c r="W65" s="40" t="s">
        <v>401</v>
      </c>
    </row>
    <row r="66" spans="19:23" ht="30.75" thickBot="1">
      <c r="S66" s="42">
        <v>7</v>
      </c>
      <c r="T66" s="43" t="s">
        <v>2176</v>
      </c>
      <c r="U66" s="46">
        <v>34509</v>
      </c>
      <c r="V66" s="40" t="s">
        <v>2177</v>
      </c>
      <c r="W66" s="40" t="s">
        <v>401</v>
      </c>
    </row>
    <row r="67" spans="19:23" ht="15.75" thickBot="1">
      <c r="S67" s="42">
        <v>6</v>
      </c>
      <c r="T67" s="43" t="s">
        <v>146</v>
      </c>
      <c r="U67" s="46">
        <v>34418</v>
      </c>
      <c r="V67" s="40" t="s">
        <v>2178</v>
      </c>
      <c r="W67" s="40" t="s">
        <v>178</v>
      </c>
    </row>
    <row r="68" spans="19:23" ht="30.75" thickBot="1">
      <c r="S68" s="42">
        <v>5</v>
      </c>
      <c r="T68" s="43" t="s">
        <v>2179</v>
      </c>
      <c r="U68" s="46">
        <v>34390</v>
      </c>
      <c r="V68" s="40" t="s">
        <v>2180</v>
      </c>
      <c r="W68" s="40" t="s">
        <v>624</v>
      </c>
    </row>
    <row r="69" spans="19:23" ht="15.75" thickBot="1">
      <c r="S69" s="42">
        <v>4</v>
      </c>
      <c r="T69" s="43" t="s">
        <v>2181</v>
      </c>
      <c r="U69" s="46">
        <v>34362</v>
      </c>
      <c r="V69" s="40" t="s">
        <v>2182</v>
      </c>
      <c r="W69" s="40" t="s">
        <v>179</v>
      </c>
    </row>
    <row r="70" spans="19:23" ht="30.75" thickBot="1">
      <c r="S70" s="42">
        <v>3</v>
      </c>
      <c r="T70" s="43" t="s">
        <v>101</v>
      </c>
      <c r="U70" s="46">
        <v>34355</v>
      </c>
      <c r="V70" s="40" t="s">
        <v>1915</v>
      </c>
      <c r="W70" s="40" t="s">
        <v>176</v>
      </c>
    </row>
    <row r="71" spans="19:23" ht="60.75" thickBot="1">
      <c r="S71" s="42">
        <v>2</v>
      </c>
      <c r="T71" s="43" t="s">
        <v>2183</v>
      </c>
      <c r="U71" s="46">
        <v>34320</v>
      </c>
      <c r="V71" s="40" t="s">
        <v>2184</v>
      </c>
      <c r="W71" s="40" t="s">
        <v>624</v>
      </c>
    </row>
    <row r="72" spans="19:23" ht="30.75" thickBot="1">
      <c r="S72" s="42">
        <v>1</v>
      </c>
      <c r="T72" s="43" t="s">
        <v>2185</v>
      </c>
      <c r="U72" s="46">
        <v>34313</v>
      </c>
      <c r="V72" s="40" t="s">
        <v>2186</v>
      </c>
      <c r="W72" s="40" t="s">
        <v>401</v>
      </c>
    </row>
  </sheetData>
  <hyperlinks>
    <hyperlink ref="N3" r:id="rId1" display="http://www.boxofficeindia.com/movie.php?movieid=2201"/>
    <hyperlink ref="N4" r:id="rId2" display="http://www.boxofficeindia.com/movie.php?movieid=2068"/>
    <hyperlink ref="N5" r:id="rId3" display="http://www.boxofficeindia.com/movie.php?movieid=231"/>
    <hyperlink ref="N6" r:id="rId4" display="http://www.boxofficeindia.com/movie.php?movieid=591"/>
    <hyperlink ref="N7" r:id="rId5" display="http://www.boxofficeindia.com/movie.php?movieid=596"/>
    <hyperlink ref="N8" r:id="rId6" display="http://www.boxofficeindia.com/movie.php?movieid=667"/>
    <hyperlink ref="N9" r:id="rId7" display="http://www.boxofficeindia.com/movie.php?movieid=675"/>
    <hyperlink ref="N10" r:id="rId8" display="http://www.boxofficeindia.com/movie.php?movieid=757"/>
    <hyperlink ref="N11" r:id="rId9" display="http://www.boxofficeindia.com/movie.php?movieid=718"/>
    <hyperlink ref="N12" r:id="rId10" display="http://www.boxofficeindia.com/movie.php?movieid=2445"/>
    <hyperlink ref="N13" r:id="rId11" display="http://www.boxofficeindia.com/movie.php?movieid=2495"/>
    <hyperlink ref="N14" r:id="rId12" display="http://www.boxofficeindia.com/movie.php?movieid=2635"/>
    <hyperlink ref="N15" r:id="rId13" display="http://www.boxofficeindia.com/movie.php?movieid=2647"/>
    <hyperlink ref="N16" r:id="rId14" display="http://www.boxofficeindia.com/movie.php?movieid=2671"/>
    <hyperlink ref="N17" r:id="rId15" display="http://www.boxofficeindia.com/movie.php?movieid=2683"/>
    <hyperlink ref="N18" r:id="rId16" display="http://www.boxofficeindia.com/movie.php?movieid=2690"/>
    <hyperlink ref="N19" r:id="rId17" display="http://www.boxofficeindia.com/movie.php?movieid=2796"/>
    <hyperlink ref="N20" r:id="rId18" display="http://www.boxofficeindia.com/movie.php?movieid=2819"/>
    <hyperlink ref="N21" r:id="rId19" display="http://www.boxofficeindia.com/movie.php?movieid=2920"/>
    <hyperlink ref="N22" r:id="rId20" display="http://www.boxofficeindia.com/movie.php?movieid=2944"/>
    <hyperlink ref="N23" r:id="rId21" display="http://www.boxofficeindia.com/movie.php?movieid=3033"/>
    <hyperlink ref="N24" r:id="rId22" display="http://www.boxofficeindia.com/movie.php?movieid=11"/>
    <hyperlink ref="N25" r:id="rId23" display="http://www.boxofficeindia.com/movie.php?movieid=3142"/>
    <hyperlink ref="N26" r:id="rId24" display="http://www.boxofficeindia.com/movie.php?movieid=3318"/>
    <hyperlink ref="T3" r:id="rId25" display="http://www.boxofficeindia.com/movie.php?movieid=3487"/>
    <hyperlink ref="T4" r:id="rId26" display="http://www.boxofficeindia.com/movie.php?movieid=2410"/>
    <hyperlink ref="T5" r:id="rId27" display="http://www.boxofficeindia.com/movie.php?movieid=2400"/>
    <hyperlink ref="T6" r:id="rId28" display="http://www.boxofficeindia.com/movie.php?movieid=1233"/>
    <hyperlink ref="T7" r:id="rId29" display="http://www.boxofficeindia.com/movie.php?movieid=852"/>
    <hyperlink ref="T8" r:id="rId30" display="http://www.boxofficeindia.com/movie.php?movieid=797"/>
    <hyperlink ref="T9" r:id="rId31" display="http://www.boxofficeindia.com/movie.php?movieid=88"/>
    <hyperlink ref="T10" r:id="rId32" display="http://www.boxofficeindia.com/movie.php?movieid=156"/>
    <hyperlink ref="T11" r:id="rId33" display="http://www.boxofficeindia.com/movie.php?movieid=154"/>
    <hyperlink ref="T12" r:id="rId34" display="http://www.boxofficeindia.com/movie.php?movieid=996"/>
    <hyperlink ref="T13" r:id="rId35" display="http://www.boxofficeindia.com/movie.php?movieid=328"/>
    <hyperlink ref="T14" r:id="rId36" display="http://www.boxofficeindia.com/movie.php?movieid=258"/>
    <hyperlink ref="T15" r:id="rId37" display="http://www.boxofficeindia.com/movie.php?movieid=1485"/>
    <hyperlink ref="T16" r:id="rId38" display="http://www.boxofficeindia.com/movie.php?movieid=343"/>
    <hyperlink ref="T17" r:id="rId39" display="http://www.boxofficeindia.com/movie.php?movieid=284"/>
    <hyperlink ref="T18" r:id="rId40" display="http://www.boxofficeindia.com/movie.php?movieid=386"/>
    <hyperlink ref="T19" r:id="rId41" display="http://www.boxofficeindia.com/movie.php?movieid=438"/>
    <hyperlink ref="T20" r:id="rId42" display="http://www.boxofficeindia.com/movie.php?movieid=437"/>
    <hyperlink ref="T21" r:id="rId43" display="http://www.boxofficeindia.com/movie.php?movieid=563"/>
    <hyperlink ref="T22" r:id="rId44" display="http://www.boxofficeindia.com/movie.php?movieid=522"/>
    <hyperlink ref="T23" r:id="rId45" display="http://www.boxofficeindia.com/movie.php?movieid=1240"/>
    <hyperlink ref="T24" r:id="rId46" display="http://www.boxofficeindia.com/movie.php?movieid=637"/>
    <hyperlink ref="T25" r:id="rId47" display="http://www.boxofficeindia.com/movie.php?movieid=639"/>
    <hyperlink ref="T26" r:id="rId48" display="http://www.boxofficeindia.com/movie.php?movieid=630"/>
    <hyperlink ref="T27" r:id="rId49" display="http://www.boxofficeindia.com/movie.php?movieid=677"/>
    <hyperlink ref="T28" r:id="rId50" display="http://www.boxofficeindia.com/movie.php?movieid=673"/>
    <hyperlink ref="T29" r:id="rId51" display="http://www.boxofficeindia.com/movie.php?movieid=694"/>
    <hyperlink ref="T30" r:id="rId52" display="http://www.boxofficeindia.com/movie.php?movieid=670"/>
    <hyperlink ref="T31" r:id="rId53" display="http://www.boxofficeindia.com/movie.php?movieid=661"/>
    <hyperlink ref="T32" r:id="rId54" display="http://www.boxofficeindia.com/movie.php?movieid=732"/>
    <hyperlink ref="T33" r:id="rId55" display="http://www.boxofficeindia.com/movie.php?movieid=742"/>
    <hyperlink ref="T34" r:id="rId56" display="http://www.boxofficeindia.com/movie.php?movieid=756"/>
    <hyperlink ref="T35" r:id="rId57" display="http://www.boxofficeindia.com/movie.php?movieid=722"/>
    <hyperlink ref="T36" r:id="rId58" display="http://www.boxofficeindia.com/movie.php?movieid=743"/>
    <hyperlink ref="T37" r:id="rId59" display="http://www.boxofficeindia.com/movie.php?movieid=439"/>
    <hyperlink ref="T38" r:id="rId60" display="http://www.boxofficeindia.com/movie.php?movieid=2370"/>
    <hyperlink ref="T39" r:id="rId61" display="http://www.boxofficeindia.com/movie.php?movieid=2404"/>
    <hyperlink ref="T40" r:id="rId62" display="http://www.boxofficeindia.com/movie.php?movieid=2419"/>
    <hyperlink ref="T41" r:id="rId63" display="http://www.boxofficeindia.com/movie.php?movieid=2431"/>
    <hyperlink ref="T42" r:id="rId64" display="http://www.boxofficeindia.com/movie.php?movieid=2491"/>
    <hyperlink ref="T43" r:id="rId65" display="http://www.boxofficeindia.com/movie.php?movieid=2510"/>
    <hyperlink ref="T44" r:id="rId66" display="http://www.boxofficeindia.com/movie.php?movieid=2515"/>
    <hyperlink ref="T45" r:id="rId67" display="http://www.boxofficeindia.com/movie.php?movieid=2529"/>
    <hyperlink ref="T46" r:id="rId68" display="http://www.boxofficeindia.com/movie.php?movieid=2553"/>
    <hyperlink ref="T47" r:id="rId69" display="http://www.boxofficeindia.com/movie.php?movieid=2560"/>
    <hyperlink ref="T48" r:id="rId70" display="http://www.boxofficeindia.com/movie.php?movieid=2572"/>
    <hyperlink ref="T49" r:id="rId71" display="http://www.boxofficeindia.com/movie.php?movieid=2599"/>
    <hyperlink ref="T50" r:id="rId72" display="http://www.boxofficeindia.com/movie.php?movieid=2642"/>
    <hyperlink ref="T51" r:id="rId73" display="http://www.boxofficeindia.com/movie.php?movieid=2646"/>
    <hyperlink ref="T52" r:id="rId74" display="http://www.boxofficeindia.com/movie.php?movieid=2672"/>
    <hyperlink ref="T53" r:id="rId75" display="http://www.boxofficeindia.com/movie.php?movieid=2704"/>
    <hyperlink ref="T54" r:id="rId76" display="http://www.boxofficeindia.com/movie.php?movieid=2736"/>
    <hyperlink ref="T55" r:id="rId77" display="http://www.boxofficeindia.com/movie.php?movieid=2750"/>
    <hyperlink ref="T56" r:id="rId78" display="http://www.boxofficeindia.com/movie.php?movieid=2775"/>
    <hyperlink ref="T57" r:id="rId79" display="http://www.boxofficeindia.com/movie.php?movieid=2807"/>
    <hyperlink ref="T58" r:id="rId80" display="http://www.boxofficeindia.com/movie.php?movieid=2907"/>
    <hyperlink ref="T59" r:id="rId81" display="http://www.boxofficeindia.com/movie.php?movieid=2974"/>
    <hyperlink ref="T60" r:id="rId82" display="http://www.boxofficeindia.com/movie.php?movieid=2969"/>
    <hyperlink ref="T61" r:id="rId83" display="http://www.boxofficeindia.com/movie.php?movieid=3008"/>
    <hyperlink ref="T62" r:id="rId84" display="http://www.boxofficeindia.com/movie.php?movieid=3016"/>
    <hyperlink ref="T63" r:id="rId85" display="http://www.boxofficeindia.com/movie.php?movieid=3066"/>
    <hyperlink ref="T64" r:id="rId86" display="http://www.boxofficeindia.com/movie.php?movieid=3077"/>
    <hyperlink ref="T65" r:id="rId87" display="http://www.boxofficeindia.com/movie.php?movieid=3094"/>
    <hyperlink ref="T66" r:id="rId88" display="http://www.boxofficeindia.com/movie.php?movieid=3106"/>
    <hyperlink ref="T67" r:id="rId89" display="http://www.boxofficeindia.com/movie.php?movieid=3158"/>
    <hyperlink ref="T68" r:id="rId90" display="http://www.boxofficeindia.com/movie.php?movieid=3170"/>
    <hyperlink ref="T69" r:id="rId91" display="http://www.boxofficeindia.com/movie.php?movieid=3181"/>
    <hyperlink ref="T70" r:id="rId92" display="http://www.boxofficeindia.com/movie.php?movieid=3183"/>
    <hyperlink ref="T71" r:id="rId93" display="http://www.boxofficeindia.com/movie.php?movieid=3321"/>
    <hyperlink ref="T72" r:id="rId94" display="http://www.boxofficeindia.com/movie.php?movieid=3326"/>
    <hyperlink ref="B3" r:id="rId95" display="http://www.boxofficeindia.com/movie.php?movieid=3629"/>
    <hyperlink ref="B4" r:id="rId96" display="http://www.boxofficeindia.com/movie.php?movieid=3443"/>
    <hyperlink ref="B5" r:id="rId97" display="http://www.boxofficeindia.com/movie.php?movieid=2482"/>
    <hyperlink ref="B6" r:id="rId98" display="http://www.boxofficeindia.com/movie.php?movieid=1956"/>
    <hyperlink ref="B7" r:id="rId99" display="http://www.boxofficeindia.com/movie.php?movieid=1197"/>
    <hyperlink ref="B8" r:id="rId100" display="http://www.boxofficeindia.com/movie.php?movieid=45"/>
    <hyperlink ref="B9" r:id="rId101" display="http://www.boxofficeindia.com/movie.php?movieid=136"/>
    <hyperlink ref="B10" r:id="rId102" display="http://www.boxofficeindia.com/movie.php?movieid=309"/>
    <hyperlink ref="B11" r:id="rId103" display="http://www.boxofficeindia.com/movie.php?movieid=263"/>
    <hyperlink ref="B12" r:id="rId104" display="http://www.boxofficeindia.com/movie.php?movieid=297"/>
    <hyperlink ref="B13" r:id="rId105" display="http://www.boxofficeindia.com/movie.php?movieid=369"/>
    <hyperlink ref="B14" r:id="rId106" display="http://www.boxofficeindia.com/movie.php?movieid=391"/>
    <hyperlink ref="B15" r:id="rId107" display="http://www.boxofficeindia.com/movie.php?movieid=664"/>
    <hyperlink ref="B16" r:id="rId108" display="http://www.boxofficeindia.com/movie.php?movieid=659"/>
    <hyperlink ref="B17" r:id="rId109" display="http://www.boxofficeindia.com/movie.php?movieid=724"/>
    <hyperlink ref="B18" r:id="rId110" display="http://www.boxofficeindia.com/movie.php?movieid=2372"/>
    <hyperlink ref="B19" r:id="rId111" display="http://www.boxofficeindia.com/movie.php?movieid=2389"/>
    <hyperlink ref="B20" r:id="rId112" display="http://www.boxofficeindia.com/movie.php?movieid=2411"/>
    <hyperlink ref="B21" r:id="rId113" display="http://www.boxofficeindia.com/movie.php?movieid=2557"/>
    <hyperlink ref="B22" r:id="rId114" display="http://www.boxofficeindia.com/movie.php?movieid=2627"/>
    <hyperlink ref="B23" r:id="rId115" display="http://www.boxofficeindia.com/movie.php?movieid=2737"/>
    <hyperlink ref="B24" r:id="rId116" display="http://www.boxofficeindia.com/movie.php?movieid=2916"/>
    <hyperlink ref="B25" r:id="rId117" display="http://www.boxofficeindia.com/movie.php?movieid=2958"/>
    <hyperlink ref="B26" r:id="rId118" display="http://www.boxofficeindia.com/movie.php?movieid=2952"/>
    <hyperlink ref="B27" r:id="rId119" display="http://www.boxofficeindia.com/movie.php?movieid=3005"/>
    <hyperlink ref="B28" r:id="rId120" display="http://www.boxofficeindia.com/movie.php?movieid=3035"/>
    <hyperlink ref="H3" r:id="rId121" display="http://www.boxofficeindia.com/movie.php?movieid=3359"/>
    <hyperlink ref="H4" r:id="rId122" display="http://www.boxofficeindia.com/movie.php?movieid=2104"/>
    <hyperlink ref="H5" r:id="rId123" display="http://www.boxofficeindia.com/movie.php?movieid=1287"/>
    <hyperlink ref="H6" r:id="rId124" display="http://www.boxofficeindia.com/movie.php?movieid=1166"/>
    <hyperlink ref="H7" r:id="rId125" display="http://www.boxofficeindia.com/movie.php?movieid=178"/>
    <hyperlink ref="H8" r:id="rId126" display="http://www.boxofficeindia.com/movie.php?movieid=33"/>
    <hyperlink ref="H9" r:id="rId127" display="http://www.boxofficeindia.com/movie.php?movieid=84"/>
    <hyperlink ref="H10" r:id="rId128" display="http://www.boxofficeindia.com/movie.php?movieid=115"/>
    <hyperlink ref="H11" r:id="rId129" display="http://www.boxofficeindia.com/movie.php?movieid=785"/>
    <hyperlink ref="H12" r:id="rId130" display="http://www.boxofficeindia.com/movie.php?movieid=338"/>
    <hyperlink ref="H13" r:id="rId131" display="http://www.boxofficeindia.com/movie.php?movieid=254"/>
    <hyperlink ref="H14" r:id="rId132" display="http://www.boxofficeindia.com/movie.php?movieid=1467"/>
    <hyperlink ref="H15" r:id="rId133" display="http://www.boxofficeindia.com/movie.php?movieid=349"/>
    <hyperlink ref="H16" r:id="rId134" display="http://www.boxofficeindia.com/movie.php?movieid=270"/>
    <hyperlink ref="H17" r:id="rId135" display="http://www.boxofficeindia.com/movie.php?movieid=416"/>
  </hyperlinks>
  <pageMargins left="0.7" right="0.7" top="0.75" bottom="0.75" header="0.3" footer="0.3"/>
  <drawing r:id="rId136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topLeftCell="A2" workbookViewId="0">
      <selection activeCell="B1" sqref="B1"/>
    </sheetView>
  </sheetViews>
  <sheetFormatPr defaultRowHeight="15"/>
  <cols>
    <col min="1" max="1" width="24.28515625" customWidth="1"/>
  </cols>
  <sheetData>
    <row r="1" spans="1:9">
      <c r="A1" t="s">
        <v>1436</v>
      </c>
    </row>
    <row r="2" spans="1:9" ht="15.75" thickBot="1"/>
    <row r="3" spans="1:9">
      <c r="A3" s="32" t="s">
        <v>1437</v>
      </c>
      <c r="B3" s="32"/>
    </row>
    <row r="4" spans="1:9">
      <c r="A4" s="29" t="s">
        <v>1438</v>
      </c>
      <c r="B4" s="29">
        <v>0.24431314715712649</v>
      </c>
    </row>
    <row r="5" spans="1:9">
      <c r="A5" s="29" t="s">
        <v>1439</v>
      </c>
      <c r="B5" s="29">
        <v>5.9688913873819742E-2</v>
      </c>
    </row>
    <row r="6" spans="1:9">
      <c r="A6" s="29" t="s">
        <v>1440</v>
      </c>
      <c r="B6" s="29">
        <v>5.3356852687784853E-2</v>
      </c>
    </row>
    <row r="7" spans="1:9">
      <c r="A7" s="29" t="s">
        <v>1441</v>
      </c>
      <c r="B7" s="29">
        <v>754473916.23250031</v>
      </c>
    </row>
    <row r="8" spans="1:9" ht="15.75" thickBot="1">
      <c r="A8" s="30" t="s">
        <v>1442</v>
      </c>
      <c r="B8" s="30">
        <v>300</v>
      </c>
    </row>
    <row r="10" spans="1:9" ht="15.75" thickBot="1">
      <c r="A10" t="s">
        <v>1443</v>
      </c>
    </row>
    <row r="11" spans="1:9">
      <c r="A11" s="31"/>
      <c r="B11" s="31" t="s">
        <v>1448</v>
      </c>
      <c r="C11" s="31" t="s">
        <v>1449</v>
      </c>
      <c r="D11" s="31" t="s">
        <v>1450</v>
      </c>
      <c r="E11" s="31" t="s">
        <v>1451</v>
      </c>
      <c r="F11" s="31" t="s">
        <v>1452</v>
      </c>
    </row>
    <row r="12" spans="1:9">
      <c r="A12" s="29" t="s">
        <v>1444</v>
      </c>
      <c r="B12" s="29">
        <v>2</v>
      </c>
      <c r="C12" s="29">
        <v>1.0731663066961183E+19</v>
      </c>
      <c r="D12" s="29">
        <v>5.3658315334805914E+18</v>
      </c>
      <c r="E12" s="29">
        <v>9.4264587975652105</v>
      </c>
      <c r="F12" s="29">
        <v>1.0735595168043233E-4</v>
      </c>
    </row>
    <row r="13" spans="1:9">
      <c r="A13" s="29" t="s">
        <v>1445</v>
      </c>
      <c r="B13" s="29">
        <v>297</v>
      </c>
      <c r="C13" s="29">
        <v>1.6906157441173612E+20</v>
      </c>
      <c r="D13" s="29">
        <v>5.6923089027520582E+17</v>
      </c>
      <c r="E13" s="29"/>
      <c r="F13" s="29"/>
    </row>
    <row r="14" spans="1:9" ht="15.75" thickBot="1">
      <c r="A14" s="30" t="s">
        <v>1446</v>
      </c>
      <c r="B14" s="30">
        <v>299</v>
      </c>
      <c r="C14" s="30">
        <v>1.797932374786973E+20</v>
      </c>
      <c r="D14" s="30"/>
      <c r="E14" s="30"/>
      <c r="F14" s="30"/>
    </row>
    <row r="15" spans="1:9" ht="15.75" thickBot="1"/>
    <row r="16" spans="1:9">
      <c r="A16" s="31"/>
      <c r="B16" s="31" t="s">
        <v>1453</v>
      </c>
      <c r="C16" s="31" t="s">
        <v>1441</v>
      </c>
      <c r="D16" s="31" t="s">
        <v>1454</v>
      </c>
      <c r="E16" s="31" t="s">
        <v>1455</v>
      </c>
      <c r="F16" s="31" t="s">
        <v>1456</v>
      </c>
      <c r="G16" s="31" t="s">
        <v>1457</v>
      </c>
      <c r="H16" s="31" t="s">
        <v>1458</v>
      </c>
      <c r="I16" s="31" t="s">
        <v>1459</v>
      </c>
    </row>
    <row r="17" spans="1:9">
      <c r="A17" s="29" t="s">
        <v>1447</v>
      </c>
      <c r="B17" s="29">
        <v>987476024.20483923</v>
      </c>
      <c r="C17" s="29">
        <v>59920006.7457138</v>
      </c>
      <c r="D17" s="29">
        <v>16.479905090722898</v>
      </c>
      <c r="E17" s="29">
        <v>8.7302018859296055E-44</v>
      </c>
      <c r="F17" s="29">
        <v>869554438.08884263</v>
      </c>
      <c r="G17" s="29">
        <v>1105397610.3208358</v>
      </c>
      <c r="H17" s="29">
        <v>869554438.08884263</v>
      </c>
      <c r="I17" s="29">
        <v>1105397610.3208358</v>
      </c>
    </row>
    <row r="18" spans="1:9">
      <c r="A18" s="29" t="s">
        <v>3</v>
      </c>
      <c r="B18" s="29">
        <v>65306.97408794691</v>
      </c>
      <c r="C18" s="29">
        <v>55339.578413011979</v>
      </c>
      <c r="D18" s="29">
        <v>1.1801133286658956</v>
      </c>
      <c r="E18" s="29">
        <v>0.23889947110914839</v>
      </c>
      <c r="F18" s="29">
        <v>-43600.404530126085</v>
      </c>
      <c r="G18" s="29">
        <v>174214.35270601991</v>
      </c>
      <c r="H18" s="29">
        <v>-43600.404530126085</v>
      </c>
      <c r="I18" s="29">
        <v>174214.35270601991</v>
      </c>
    </row>
    <row r="19" spans="1:9" ht="15.75" thickBot="1">
      <c r="A19" s="30" t="s">
        <v>13</v>
      </c>
      <c r="B19" s="30">
        <v>0.25641668903069009</v>
      </c>
      <c r="C19" s="30">
        <v>0.10359185102230177</v>
      </c>
      <c r="D19" s="30">
        <v>2.4752592650891763</v>
      </c>
      <c r="E19" s="30">
        <v>1.3871816588461863E-2</v>
      </c>
      <c r="F19" s="30">
        <v>5.2549632855572626E-2</v>
      </c>
      <c r="G19" s="30">
        <v>0.46028374520580756</v>
      </c>
      <c r="H19" s="30">
        <v>5.2549632855572626E-2</v>
      </c>
      <c r="I19" s="30">
        <v>0.46028374520580756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B14" sqref="B14"/>
    </sheetView>
  </sheetViews>
  <sheetFormatPr defaultRowHeight="15"/>
  <cols>
    <col min="1" max="1" width="67" bestFit="1" customWidth="1"/>
    <col min="2" max="2" width="11.42578125" bestFit="1" customWidth="1"/>
    <col min="3" max="3" width="22.85546875" bestFit="1" customWidth="1"/>
  </cols>
  <sheetData>
    <row r="1" spans="1:3">
      <c r="A1" s="8" t="s">
        <v>7</v>
      </c>
    </row>
    <row r="3" spans="1:3">
      <c r="A3" s="8" t="s">
        <v>8</v>
      </c>
    </row>
    <row r="5" spans="1:3">
      <c r="A5" s="8" t="s">
        <v>9</v>
      </c>
    </row>
    <row r="7" spans="1:3">
      <c r="A7" s="8" t="s">
        <v>180</v>
      </c>
    </row>
    <row r="9" spans="1:3">
      <c r="A9" s="8" t="s">
        <v>181</v>
      </c>
    </row>
    <row r="11" spans="1:3">
      <c r="A11" s="8" t="s">
        <v>182</v>
      </c>
    </row>
    <row r="13" spans="1:3">
      <c r="A13" s="8" t="s">
        <v>619</v>
      </c>
    </row>
    <row r="14" spans="1:3">
      <c r="B14" s="15" t="s">
        <v>55</v>
      </c>
      <c r="C14" s="15" t="s">
        <v>402</v>
      </c>
    </row>
    <row r="15" spans="1:3">
      <c r="B15" s="14" t="s">
        <v>82</v>
      </c>
      <c r="C15" s="14">
        <f>COUNTIF(Movies!$G$2:$G$433,B15)</f>
        <v>43</v>
      </c>
    </row>
    <row r="16" spans="1:3">
      <c r="B16" s="14" t="s">
        <v>176</v>
      </c>
      <c r="C16" s="14">
        <f>COUNTIF(Movies!$G$2:$G$433,B16)</f>
        <v>58</v>
      </c>
    </row>
    <row r="17" spans="2:3">
      <c r="B17" s="14" t="s">
        <v>177</v>
      </c>
      <c r="C17" s="14">
        <f>COUNTIF(Movies!$G$2:$G$433,B17)</f>
        <v>110</v>
      </c>
    </row>
    <row r="18" spans="2:3">
      <c r="B18" s="14" t="s">
        <v>178</v>
      </c>
      <c r="C18" s="14">
        <f>COUNTIF(Movies!$G$2:$G$433,B18)</f>
        <v>88</v>
      </c>
    </row>
    <row r="19" spans="2:3">
      <c r="B19" s="14" t="s">
        <v>179</v>
      </c>
      <c r="C19" s="14">
        <f>COUNTIF(Movies!$G$2:$G$433,B19)</f>
        <v>48</v>
      </c>
    </row>
    <row r="20" spans="2:3">
      <c r="B20" s="14" t="s">
        <v>1011</v>
      </c>
      <c r="C20" s="14">
        <f>COUNTIF(Movies!$G$2:$G$433,B20)</f>
        <v>42</v>
      </c>
    </row>
    <row r="21" spans="2:3">
      <c r="B21" s="14" t="s">
        <v>401</v>
      </c>
      <c r="C21" s="14">
        <f>COUNTIF(Movies!$G$2:$G$433,B21)</f>
        <v>43</v>
      </c>
    </row>
    <row r="22" spans="2:3">
      <c r="B22" s="16" t="s">
        <v>403</v>
      </c>
      <c r="C22" s="16">
        <f>SUM(C15:C21)</f>
        <v>432</v>
      </c>
    </row>
  </sheetData>
  <hyperlinks>
    <hyperlink ref="A3" r:id="rId1"/>
    <hyperlink ref="A1" r:id="rId2"/>
    <hyperlink ref="A5" r:id="rId3"/>
    <hyperlink ref="A7" r:id="rId4"/>
    <hyperlink ref="A9" r:id="rId5"/>
    <hyperlink ref="A11" r:id="rId6"/>
    <hyperlink ref="A13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topLeftCell="B1" workbookViewId="0">
      <selection activeCell="F22" sqref="F22"/>
    </sheetView>
  </sheetViews>
  <sheetFormatPr defaultRowHeight="15"/>
  <cols>
    <col min="2" max="2" width="27.85546875" customWidth="1"/>
    <col min="3" max="3" width="11.7109375" bestFit="1" customWidth="1"/>
    <col min="4" max="4" width="10.7109375" bestFit="1" customWidth="1"/>
    <col min="5" max="5" width="28" customWidth="1"/>
    <col min="6" max="6" width="26.140625" customWidth="1"/>
    <col min="8" max="8" width="16.85546875" bestFit="1" customWidth="1"/>
  </cols>
  <sheetData>
    <row r="1" spans="1:5" ht="25.5">
      <c r="A1" s="4" t="s">
        <v>23</v>
      </c>
      <c r="B1" s="4" t="s">
        <v>20</v>
      </c>
      <c r="C1" s="4" t="s">
        <v>24</v>
      </c>
      <c r="D1" s="4" t="s">
        <v>25</v>
      </c>
      <c r="E1" s="4" t="s">
        <v>26</v>
      </c>
    </row>
    <row r="2" spans="1:5">
      <c r="A2" s="4">
        <v>65</v>
      </c>
      <c r="B2" s="4" t="s">
        <v>21</v>
      </c>
      <c r="C2" s="4">
        <v>4</v>
      </c>
      <c r="D2" s="4">
        <v>3</v>
      </c>
      <c r="E2" s="4" t="s">
        <v>22</v>
      </c>
    </row>
    <row r="4" spans="1:5">
      <c r="A4" s="5" t="s">
        <v>23</v>
      </c>
      <c r="B4" s="6" t="s">
        <v>42</v>
      </c>
      <c r="C4" s="6" t="s">
        <v>10</v>
      </c>
      <c r="D4" s="6" t="s">
        <v>43</v>
      </c>
      <c r="E4" s="6" t="s">
        <v>44</v>
      </c>
    </row>
    <row r="5" spans="1:5" ht="38.25">
      <c r="A5" s="2">
        <v>1</v>
      </c>
      <c r="B5" s="3" t="s">
        <v>27</v>
      </c>
      <c r="C5" s="2" t="s">
        <v>28</v>
      </c>
      <c r="D5" s="2" t="s">
        <v>29</v>
      </c>
      <c r="E5" s="2" t="s">
        <v>30</v>
      </c>
    </row>
    <row r="6" spans="1:5" ht="25.5">
      <c r="A6" s="2">
        <v>2</v>
      </c>
      <c r="B6" s="3" t="s">
        <v>31</v>
      </c>
      <c r="C6" s="2" t="s">
        <v>32</v>
      </c>
      <c r="D6" s="2" t="s">
        <v>33</v>
      </c>
      <c r="E6" s="2" t="s">
        <v>34</v>
      </c>
    </row>
    <row r="7" spans="1:5" ht="38.25">
      <c r="A7" s="2">
        <v>3</v>
      </c>
      <c r="B7" s="3" t="s">
        <v>15</v>
      </c>
      <c r="C7" s="2" t="s">
        <v>35</v>
      </c>
      <c r="D7" s="2" t="s">
        <v>36</v>
      </c>
      <c r="E7" s="2" t="s">
        <v>37</v>
      </c>
    </row>
    <row r="8" spans="1:5" ht="25.5">
      <c r="A8" s="2">
        <v>4</v>
      </c>
      <c r="B8" s="3" t="s">
        <v>38</v>
      </c>
      <c r="C8" s="2" t="s">
        <v>39</v>
      </c>
      <c r="D8" s="2" t="s">
        <v>40</v>
      </c>
      <c r="E8" s="2" t="s">
        <v>41</v>
      </c>
    </row>
    <row r="9" spans="1:5">
      <c r="A9" s="56" t="s">
        <v>45</v>
      </c>
      <c r="B9" s="57"/>
      <c r="C9" s="57"/>
      <c r="D9" s="58"/>
      <c r="E9" s="7"/>
    </row>
  </sheetData>
  <mergeCells count="1">
    <mergeCell ref="A9:D9"/>
  </mergeCells>
  <hyperlinks>
    <hyperlink ref="B4" r:id="rId1" display="http://ibosnetwork.com/asp/topfilmsbypair.asp?actor=Salman+Khan&amp;actress=Madhuri+Dixit&amp;sortorder=FILMNAME"/>
    <hyperlink ref="C4" r:id="rId2" display="http://ibosnetwork.com/asp/topfilmsbypair.asp?actor=Salman+Khan&amp;actress=Madhuri+Dixit&amp;sortorder=RELEASED"/>
    <hyperlink ref="D4" r:id="rId3" display="http://ibosnetwork.com/asp/topfilmsbypair.asp?actor=Salman+Khan&amp;actress=Madhuri+Dixit&amp;sortorder=RAW_GROSS"/>
    <hyperlink ref="E4" r:id="rId4" display="http://ibosnetwork.com/asp/topfilmsbypair.asp?actor=Salman+Khan&amp;actress=Madhuri+Dixit&amp;sortorder=ADJUSTED_GROSS"/>
    <hyperlink ref="B5" r:id="rId5" display="http://ibosnetwork.com/asp/filmbodetails.asp?id=Hum+Aapke+Hai+Kaun"/>
    <hyperlink ref="B6" r:id="rId6" display="http://ibosnetwork.com/asp/filmbodetails.asp?id=Saajan"/>
    <hyperlink ref="B7" r:id="rId7" display="http://ibosnetwork.com/asp/filmbodetails.asp?id=Hum+Tumhare+Hain+Sanam"/>
    <hyperlink ref="B8" r:id="rId8" display="http://ibosnetwork.com/asp/filmbodetails.asp?id=Dil+Tera+Aashiq"/>
  </hyperlinks>
  <pageMargins left="0.7" right="0.7" top="0.75" bottom="0.75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1"/>
  <sheetViews>
    <sheetView workbookViewId="0">
      <selection activeCell="F34" sqref="F34"/>
    </sheetView>
  </sheetViews>
  <sheetFormatPr defaultRowHeight="15"/>
  <cols>
    <col min="2" max="2" width="26.85546875" customWidth="1"/>
    <col min="4" max="4" width="15.5703125" customWidth="1"/>
    <col min="5" max="5" width="14.42578125" bestFit="1" customWidth="1"/>
  </cols>
  <sheetData>
    <row r="1" spans="1:5">
      <c r="A1" s="27" t="s">
        <v>23</v>
      </c>
      <c r="B1" s="27" t="s">
        <v>980</v>
      </c>
      <c r="C1" s="27" t="s">
        <v>10</v>
      </c>
      <c r="D1" s="27" t="s">
        <v>981</v>
      </c>
      <c r="E1" s="27" t="s">
        <v>55</v>
      </c>
    </row>
    <row r="2" spans="1:5">
      <c r="A2" s="25">
        <v>1</v>
      </c>
      <c r="B2" s="24" t="s">
        <v>191</v>
      </c>
      <c r="C2" s="25">
        <v>2007</v>
      </c>
      <c r="D2" s="26">
        <v>39395</v>
      </c>
      <c r="E2" s="25" t="s">
        <v>82</v>
      </c>
    </row>
    <row r="3" spans="1:5">
      <c r="A3" s="25">
        <v>2</v>
      </c>
      <c r="B3" s="24" t="s">
        <v>197</v>
      </c>
      <c r="C3" s="25">
        <v>2007</v>
      </c>
      <c r="D3" s="26">
        <v>39437</v>
      </c>
      <c r="E3" s="25" t="s">
        <v>176</v>
      </c>
    </row>
    <row r="4" spans="1:5">
      <c r="A4" s="25">
        <v>3</v>
      </c>
      <c r="B4" s="24" t="s">
        <v>200</v>
      </c>
      <c r="C4" s="25">
        <v>2007</v>
      </c>
      <c r="D4" s="26">
        <v>39304</v>
      </c>
      <c r="E4" s="25" t="s">
        <v>176</v>
      </c>
    </row>
    <row r="5" spans="1:5">
      <c r="A5" s="25">
        <v>4</v>
      </c>
      <c r="B5" s="24" t="s">
        <v>204</v>
      </c>
      <c r="C5" s="25">
        <v>2007</v>
      </c>
      <c r="D5" s="26">
        <v>39437</v>
      </c>
      <c r="E5" s="25" t="s">
        <v>176</v>
      </c>
    </row>
    <row r="6" spans="1:5">
      <c r="A6" s="25">
        <v>5</v>
      </c>
      <c r="B6" s="24" t="s">
        <v>198</v>
      </c>
      <c r="C6" s="25">
        <v>2007</v>
      </c>
      <c r="D6" s="26">
        <v>39283</v>
      </c>
      <c r="E6" s="25" t="s">
        <v>176</v>
      </c>
    </row>
    <row r="7" spans="1:5">
      <c r="A7" s="25">
        <v>6</v>
      </c>
      <c r="B7" s="24" t="s">
        <v>225</v>
      </c>
      <c r="C7" s="25">
        <v>2007</v>
      </c>
      <c r="D7" s="26">
        <v>39367</v>
      </c>
      <c r="E7" s="25" t="s">
        <v>177</v>
      </c>
    </row>
    <row r="8" spans="1:5">
      <c r="A8" s="25">
        <v>7</v>
      </c>
      <c r="B8" s="24" t="s">
        <v>227</v>
      </c>
      <c r="C8" s="25">
        <v>2007</v>
      </c>
      <c r="D8" s="26">
        <v>39318</v>
      </c>
      <c r="E8" s="25" t="s">
        <v>177</v>
      </c>
    </row>
    <row r="9" spans="1:5">
      <c r="A9" s="25">
        <v>8</v>
      </c>
      <c r="B9" s="24" t="s">
        <v>228</v>
      </c>
      <c r="C9" s="25">
        <v>2007</v>
      </c>
      <c r="D9" s="26">
        <v>39094</v>
      </c>
      <c r="E9" s="25" t="s">
        <v>177</v>
      </c>
    </row>
    <row r="10" spans="1:5">
      <c r="A10" s="25">
        <v>9</v>
      </c>
      <c r="B10" s="24" t="s">
        <v>260</v>
      </c>
      <c r="C10" s="25">
        <v>2007</v>
      </c>
      <c r="D10" s="26">
        <v>39199</v>
      </c>
      <c r="E10" s="25" t="s">
        <v>178</v>
      </c>
    </row>
    <row r="11" spans="1:5">
      <c r="A11" s="25">
        <v>10</v>
      </c>
      <c r="B11" s="24" t="s">
        <v>259</v>
      </c>
      <c r="C11" s="25">
        <v>2007</v>
      </c>
      <c r="D11" s="26">
        <v>39164</v>
      </c>
      <c r="E11" s="25" t="s">
        <v>178</v>
      </c>
    </row>
    <row r="12" spans="1:5">
      <c r="A12" s="25">
        <v>11</v>
      </c>
      <c r="B12" s="24" t="s">
        <v>261</v>
      </c>
      <c r="C12" s="25">
        <v>2007</v>
      </c>
      <c r="D12" s="26">
        <v>39332</v>
      </c>
      <c r="E12" s="25" t="s">
        <v>178</v>
      </c>
    </row>
    <row r="13" spans="1:5">
      <c r="A13" s="25">
        <v>12</v>
      </c>
      <c r="B13" s="24" t="s">
        <v>246</v>
      </c>
      <c r="C13" s="25">
        <v>2007</v>
      </c>
      <c r="D13" s="26">
        <v>39381</v>
      </c>
      <c r="E13" s="25" t="s">
        <v>177</v>
      </c>
    </row>
    <row r="14" spans="1:5">
      <c r="A14" s="25">
        <v>13</v>
      </c>
      <c r="B14" s="24" t="s">
        <v>263</v>
      </c>
      <c r="C14" s="25">
        <v>2007</v>
      </c>
      <c r="D14" s="26">
        <v>39227</v>
      </c>
      <c r="E14" s="25" t="s">
        <v>178</v>
      </c>
    </row>
    <row r="15" spans="1:5">
      <c r="A15" s="25">
        <v>14</v>
      </c>
      <c r="B15" s="24" t="s">
        <v>671</v>
      </c>
      <c r="C15" s="25">
        <v>2007</v>
      </c>
      <c r="D15" s="26">
        <v>39248</v>
      </c>
      <c r="E15" s="25" t="s">
        <v>621</v>
      </c>
    </row>
    <row r="16" spans="1:5">
      <c r="A16" s="25">
        <v>15</v>
      </c>
      <c r="B16" s="24" t="s">
        <v>982</v>
      </c>
      <c r="C16" s="25">
        <v>2007</v>
      </c>
      <c r="D16" s="26">
        <v>39108</v>
      </c>
      <c r="E16" s="25" t="s">
        <v>624</v>
      </c>
    </row>
    <row r="17" spans="1:5">
      <c r="A17" s="25">
        <v>16</v>
      </c>
      <c r="B17" s="24" t="s">
        <v>983</v>
      </c>
      <c r="C17" s="25">
        <v>2007</v>
      </c>
      <c r="D17" s="26">
        <v>39262</v>
      </c>
      <c r="E17" s="25" t="s">
        <v>179</v>
      </c>
    </row>
    <row r="18" spans="1:5">
      <c r="A18" s="25">
        <v>17</v>
      </c>
      <c r="B18" s="24" t="s">
        <v>984</v>
      </c>
      <c r="C18" s="25">
        <v>2007</v>
      </c>
      <c r="D18" s="26">
        <v>39395</v>
      </c>
      <c r="E18" s="25" t="s">
        <v>624</v>
      </c>
    </row>
    <row r="19" spans="1:5">
      <c r="A19" s="25">
        <v>18</v>
      </c>
      <c r="B19" s="24" t="s">
        <v>985</v>
      </c>
      <c r="C19" s="25">
        <v>2007</v>
      </c>
      <c r="D19" s="26">
        <v>39129</v>
      </c>
      <c r="E19" s="25" t="s">
        <v>401</v>
      </c>
    </row>
    <row r="20" spans="1:5">
      <c r="A20" s="25">
        <v>19</v>
      </c>
      <c r="B20" s="24" t="s">
        <v>986</v>
      </c>
      <c r="C20" s="25">
        <v>2007</v>
      </c>
      <c r="D20" s="26">
        <v>39297</v>
      </c>
      <c r="E20" s="25" t="s">
        <v>401</v>
      </c>
    </row>
    <row r="21" spans="1:5">
      <c r="A21" s="25">
        <v>20</v>
      </c>
      <c r="B21" s="24" t="s">
        <v>987</v>
      </c>
      <c r="C21" s="25">
        <v>2007</v>
      </c>
      <c r="D21" s="26">
        <v>39234</v>
      </c>
      <c r="E21" s="25" t="s">
        <v>401</v>
      </c>
    </row>
    <row r="22" spans="1:5">
      <c r="A22" s="25">
        <v>21</v>
      </c>
      <c r="B22" s="24" t="s">
        <v>988</v>
      </c>
      <c r="C22" s="25">
        <v>2007</v>
      </c>
      <c r="D22" s="26">
        <v>39367</v>
      </c>
      <c r="E22" s="25" t="s">
        <v>401</v>
      </c>
    </row>
    <row r="23" spans="1:5">
      <c r="A23" s="25">
        <v>22</v>
      </c>
      <c r="B23" s="24" t="s">
        <v>281</v>
      </c>
      <c r="C23" s="25">
        <v>2007</v>
      </c>
      <c r="D23" s="26">
        <v>39227</v>
      </c>
      <c r="E23" s="25" t="s">
        <v>178</v>
      </c>
    </row>
    <row r="24" spans="1:5">
      <c r="A24" s="25">
        <v>23</v>
      </c>
      <c r="B24" s="24" t="s">
        <v>989</v>
      </c>
      <c r="C24" s="25">
        <v>2007</v>
      </c>
      <c r="D24" s="26">
        <v>39346</v>
      </c>
      <c r="E24" s="25" t="s">
        <v>179</v>
      </c>
    </row>
    <row r="25" spans="1:5">
      <c r="A25" s="25">
        <v>24</v>
      </c>
      <c r="B25" s="24" t="s">
        <v>990</v>
      </c>
      <c r="C25" s="25">
        <v>2007</v>
      </c>
      <c r="D25" s="26">
        <v>39213</v>
      </c>
      <c r="E25" s="25" t="s">
        <v>178</v>
      </c>
    </row>
    <row r="26" spans="1:5">
      <c r="A26" s="25">
        <v>25</v>
      </c>
      <c r="B26" s="24" t="s">
        <v>991</v>
      </c>
      <c r="C26" s="25">
        <v>2007</v>
      </c>
      <c r="D26" s="26">
        <v>39416</v>
      </c>
      <c r="E26" s="25" t="s">
        <v>401</v>
      </c>
    </row>
    <row r="27" spans="1:5">
      <c r="A27" s="25">
        <v>26</v>
      </c>
      <c r="B27" s="24" t="s">
        <v>992</v>
      </c>
      <c r="C27" s="25">
        <v>2007</v>
      </c>
      <c r="D27" s="26">
        <v>39409</v>
      </c>
      <c r="E27" s="25" t="s">
        <v>401</v>
      </c>
    </row>
    <row r="28" spans="1:5">
      <c r="A28" s="25">
        <v>27</v>
      </c>
      <c r="B28" s="24" t="s">
        <v>993</v>
      </c>
      <c r="C28" s="25">
        <v>2007</v>
      </c>
      <c r="D28" s="26">
        <v>39276</v>
      </c>
      <c r="E28" s="25" t="s">
        <v>624</v>
      </c>
    </row>
    <row r="29" spans="1:5">
      <c r="A29" s="25">
        <v>28</v>
      </c>
      <c r="B29" s="24" t="s">
        <v>674</v>
      </c>
      <c r="C29" s="25">
        <v>2007</v>
      </c>
      <c r="D29" s="26">
        <v>39262</v>
      </c>
      <c r="E29" s="25" t="s">
        <v>179</v>
      </c>
    </row>
    <row r="30" spans="1:5">
      <c r="A30" s="25">
        <v>29</v>
      </c>
      <c r="B30" s="24" t="s">
        <v>673</v>
      </c>
      <c r="C30" s="25">
        <v>2007</v>
      </c>
      <c r="D30" s="26">
        <v>39136</v>
      </c>
      <c r="E30" s="25" t="s">
        <v>179</v>
      </c>
    </row>
    <row r="31" spans="1:5">
      <c r="A31" s="25">
        <v>30</v>
      </c>
      <c r="B31" s="24" t="s">
        <v>254</v>
      </c>
      <c r="C31" s="25">
        <v>2007</v>
      </c>
      <c r="D31" s="26">
        <v>39185</v>
      </c>
      <c r="E31" s="25" t="s">
        <v>177</v>
      </c>
    </row>
    <row r="32" spans="1:5">
      <c r="A32" s="25">
        <v>31</v>
      </c>
      <c r="B32" s="24" t="s">
        <v>672</v>
      </c>
      <c r="C32" s="25">
        <v>2007</v>
      </c>
      <c r="D32" s="26">
        <v>39115</v>
      </c>
      <c r="E32" s="25" t="s">
        <v>179</v>
      </c>
    </row>
    <row r="33" spans="1:5">
      <c r="A33" s="25">
        <v>32</v>
      </c>
      <c r="B33" s="24" t="s">
        <v>994</v>
      </c>
      <c r="C33" s="25">
        <v>2007</v>
      </c>
      <c r="D33" s="26">
        <v>39423</v>
      </c>
      <c r="E33" s="25" t="s">
        <v>624</v>
      </c>
    </row>
    <row r="34" spans="1:5">
      <c r="A34" s="25">
        <v>33</v>
      </c>
      <c r="B34" s="24" t="s">
        <v>995</v>
      </c>
      <c r="C34" s="25">
        <v>2007</v>
      </c>
      <c r="D34" s="26">
        <v>39262</v>
      </c>
      <c r="E34" s="25" t="s">
        <v>624</v>
      </c>
    </row>
    <row r="35" spans="1:5">
      <c r="A35" s="25">
        <v>34</v>
      </c>
      <c r="B35" s="24" t="s">
        <v>996</v>
      </c>
      <c r="C35" s="25">
        <v>2007</v>
      </c>
      <c r="D35" s="26">
        <v>39143</v>
      </c>
      <c r="E35" s="25" t="s">
        <v>401</v>
      </c>
    </row>
    <row r="36" spans="1:5">
      <c r="A36" s="25">
        <v>35</v>
      </c>
      <c r="B36" s="24" t="s">
        <v>997</v>
      </c>
      <c r="C36" s="25">
        <v>2007</v>
      </c>
      <c r="D36" s="26">
        <v>39325</v>
      </c>
      <c r="E36" s="25" t="s">
        <v>624</v>
      </c>
    </row>
    <row r="37" spans="1:5">
      <c r="A37" s="25">
        <v>36</v>
      </c>
      <c r="B37" s="24" t="s">
        <v>998</v>
      </c>
      <c r="C37" s="25">
        <v>2007</v>
      </c>
      <c r="D37" s="26">
        <v>39213</v>
      </c>
      <c r="E37" s="25" t="s">
        <v>401</v>
      </c>
    </row>
    <row r="38" spans="1:5">
      <c r="A38" s="25">
        <v>37</v>
      </c>
      <c r="B38" s="24" t="s">
        <v>999</v>
      </c>
      <c r="C38" s="25">
        <v>2007</v>
      </c>
      <c r="D38" s="26">
        <v>39178</v>
      </c>
      <c r="E38" s="25" t="s">
        <v>401</v>
      </c>
    </row>
    <row r="39" spans="1:5">
      <c r="A39" s="25">
        <v>38</v>
      </c>
      <c r="B39" s="24" t="s">
        <v>1000</v>
      </c>
      <c r="C39" s="25">
        <v>2007</v>
      </c>
      <c r="D39" s="26">
        <v>39241</v>
      </c>
      <c r="E39" s="25" t="s">
        <v>401</v>
      </c>
    </row>
    <row r="40" spans="1:5">
      <c r="A40" s="25">
        <v>39</v>
      </c>
      <c r="B40" s="24" t="s">
        <v>1001</v>
      </c>
      <c r="C40" s="25">
        <v>2007</v>
      </c>
      <c r="D40" s="26">
        <v>39185</v>
      </c>
      <c r="E40" s="25" t="s">
        <v>624</v>
      </c>
    </row>
    <row r="41" spans="1:5">
      <c r="A41" s="25">
        <v>40</v>
      </c>
      <c r="B41" s="24" t="s">
        <v>1002</v>
      </c>
      <c r="C41" s="25">
        <v>2007</v>
      </c>
      <c r="D41" s="26">
        <v>39157</v>
      </c>
      <c r="E41" s="25" t="s">
        <v>401</v>
      </c>
    </row>
    <row r="42" spans="1:5">
      <c r="A42" s="25">
        <v>41</v>
      </c>
      <c r="B42" s="24" t="s">
        <v>1003</v>
      </c>
      <c r="C42" s="25">
        <v>2007</v>
      </c>
      <c r="D42" s="26">
        <v>39122</v>
      </c>
      <c r="E42" s="25" t="s">
        <v>401</v>
      </c>
    </row>
    <row r="43" spans="1:5">
      <c r="A43" s="25">
        <v>42</v>
      </c>
      <c r="B43" s="24" t="s">
        <v>1004</v>
      </c>
      <c r="C43" s="25">
        <v>2007</v>
      </c>
      <c r="D43" s="26">
        <v>39157</v>
      </c>
      <c r="E43" s="25" t="s">
        <v>624</v>
      </c>
    </row>
    <row r="44" spans="1:5">
      <c r="A44" s="25">
        <v>43</v>
      </c>
      <c r="B44" s="24" t="s">
        <v>1005</v>
      </c>
      <c r="C44" s="25">
        <v>2007</v>
      </c>
      <c r="D44" s="26">
        <v>39353</v>
      </c>
      <c r="E44" s="25" t="s">
        <v>401</v>
      </c>
    </row>
    <row r="45" spans="1:5">
      <c r="A45" s="25">
        <v>44</v>
      </c>
      <c r="B45" s="24" t="s">
        <v>1006</v>
      </c>
      <c r="C45" s="25">
        <v>2007</v>
      </c>
      <c r="D45" s="26">
        <v>39150</v>
      </c>
      <c r="E45" s="25" t="s">
        <v>401</v>
      </c>
    </row>
    <row r="46" spans="1:5">
      <c r="A46" s="25">
        <v>45</v>
      </c>
      <c r="B46" s="24" t="s">
        <v>1007</v>
      </c>
      <c r="C46" s="25">
        <v>2007</v>
      </c>
      <c r="D46" s="26">
        <v>39297</v>
      </c>
      <c r="E46" s="25" t="s">
        <v>624</v>
      </c>
    </row>
    <row r="47" spans="1:5">
      <c r="A47" s="25">
        <v>46</v>
      </c>
      <c r="B47" s="24" t="s">
        <v>1008</v>
      </c>
      <c r="C47" s="25">
        <v>2007</v>
      </c>
      <c r="D47" s="26">
        <v>39143</v>
      </c>
      <c r="E47" s="25" t="s">
        <v>624</v>
      </c>
    </row>
    <row r="48" spans="1:5">
      <c r="A48" s="25">
        <v>47</v>
      </c>
      <c r="B48" s="24" t="s">
        <v>1009</v>
      </c>
      <c r="C48" s="25">
        <v>2007</v>
      </c>
      <c r="D48" s="26">
        <v>39311</v>
      </c>
      <c r="E48" s="25" t="s">
        <v>401</v>
      </c>
    </row>
    <row r="49" spans="1:5">
      <c r="A49" s="25">
        <v>48</v>
      </c>
      <c r="B49" s="24" t="s">
        <v>1010</v>
      </c>
      <c r="C49" s="25">
        <v>2007</v>
      </c>
      <c r="D49" s="26">
        <v>39332</v>
      </c>
      <c r="E49" s="25" t="s">
        <v>624</v>
      </c>
    </row>
    <row r="50" spans="1:5">
      <c r="A50" s="25">
        <v>49</v>
      </c>
      <c r="B50" s="24" t="s">
        <v>608</v>
      </c>
      <c r="C50" s="25">
        <v>2007</v>
      </c>
      <c r="D50" s="26">
        <v>39192</v>
      </c>
      <c r="E50" s="25" t="s">
        <v>624</v>
      </c>
    </row>
    <row r="51" spans="1:5">
      <c r="A51" s="25">
        <v>50</v>
      </c>
      <c r="B51" s="24" t="s">
        <v>607</v>
      </c>
      <c r="C51" s="25">
        <v>2007</v>
      </c>
      <c r="D51" s="26">
        <v>39101</v>
      </c>
      <c r="E51" s="25" t="s">
        <v>624</v>
      </c>
    </row>
  </sheetData>
  <hyperlinks>
    <hyperlink ref="B2" r:id="rId1" display="http://www.boxofficeindia.com/movie.php?movieid=266"/>
    <hyperlink ref="B3" r:id="rId2" display="http://www.boxofficeindia.com/movie.php?movieid=265"/>
    <hyperlink ref="B4" r:id="rId3" display="http://www.boxofficeindia.com/movie.php?movieid=234"/>
    <hyperlink ref="B5" r:id="rId4" display="http://www.boxofficeindia.com/movie.php?movieid=263"/>
    <hyperlink ref="B6" r:id="rId5" display="http://www.boxofficeindia.com/movie.php?movieid=258"/>
    <hyperlink ref="B7" r:id="rId6" display="http://www.boxofficeindia.com/movie.php?movieid=233"/>
    <hyperlink ref="B8" r:id="rId7" display="http://www.boxofficeindia.com/movie.php?movieid=246"/>
    <hyperlink ref="B9" r:id="rId8" display="http://www.boxofficeindia.com/movie.php?movieid=223"/>
    <hyperlink ref="B10" r:id="rId9" display="http://www.boxofficeindia.com/movie.php?movieid=341"/>
    <hyperlink ref="B11" r:id="rId10" display="http://www.boxofficeindia.com/movie.php?movieid=224"/>
    <hyperlink ref="B12" r:id="rId11" display="http://www.boxofficeindia.com/movie.php?movieid=239"/>
    <hyperlink ref="B13" r:id="rId12" display="http://www.boxofficeindia.com/movie.php?movieid=248"/>
    <hyperlink ref="B14" r:id="rId13" display="http://www.boxofficeindia.com/movie.php?movieid=225"/>
    <hyperlink ref="B15" r:id="rId14" display="http://www.boxofficeindia.com/movie.php?movieid=342"/>
    <hyperlink ref="B16" r:id="rId15" display="http://www.boxofficeindia.com/movie.php?movieid=343"/>
    <hyperlink ref="B17" r:id="rId16" display="http://www.boxofficeindia.com/movie.php?movieid=227"/>
    <hyperlink ref="B18" r:id="rId17" display="http://www.boxofficeindia.com/movie.php?movieid=260"/>
    <hyperlink ref="B19" r:id="rId18" display="http://www.boxofficeindia.com/movie.php?movieid=346"/>
    <hyperlink ref="B20" r:id="rId19" display="http://www.boxofficeindia.com/movie.php?movieid=235"/>
    <hyperlink ref="B21" r:id="rId20" display="http://www.boxofficeindia.com/movie.php?movieid=345"/>
    <hyperlink ref="B22" r:id="rId21" display="http://www.boxofficeindia.com/movie.php?movieid=344"/>
    <hyperlink ref="B23" r:id="rId22" display="http://www.boxofficeindia.com/movie.php?movieid=347"/>
    <hyperlink ref="B24" r:id="rId23" display="http://www.boxofficeindia.com/movie.php?movieid=240"/>
    <hyperlink ref="B25" r:id="rId24" display="http://www.boxofficeindia.com/movie.php?movieid=348"/>
    <hyperlink ref="B26" r:id="rId25" display="http://www.boxofficeindia.com/movie.php?movieid=231"/>
    <hyperlink ref="B27" r:id="rId26" display="http://www.boxofficeindia.com/movie.php?movieid=242"/>
    <hyperlink ref="B28" r:id="rId27" display="http://www.boxofficeindia.com/movie.php?movieid=255"/>
    <hyperlink ref="B29" r:id="rId28" display="http://www.boxofficeindia.com/movie.php?movieid=226"/>
    <hyperlink ref="B30" r:id="rId29" display="http://www.boxofficeindia.com/movie.php?movieid=349"/>
    <hyperlink ref="B31" r:id="rId30" display="http://www.boxofficeindia.com/movie.php?movieid=360"/>
    <hyperlink ref="B32" r:id="rId31" display="http://www.boxofficeindia.com/movie.php?movieid=1431"/>
    <hyperlink ref="B33" r:id="rId32" display="http://www.boxofficeindia.com/movie.php?movieid=243"/>
    <hyperlink ref="B34" r:id="rId33" display="http://www.boxofficeindia.com/movie.php?movieid=228"/>
    <hyperlink ref="B35" r:id="rId34" display="http://www.boxofficeindia.com/movie.php?movieid=1443"/>
    <hyperlink ref="B36" r:id="rId35" display="http://www.boxofficeindia.com/movie.php?movieid=350"/>
    <hyperlink ref="B37" r:id="rId36" display="http://www.boxofficeindia.com/movie.php?movieid=1465"/>
    <hyperlink ref="B38" r:id="rId37" display="http://www.boxofficeindia.com/movie.php?movieid=1457"/>
    <hyperlink ref="B39" r:id="rId38" display="http://www.boxofficeindia.com/movie.php?movieid=1469"/>
    <hyperlink ref="B40" r:id="rId39" display="http://www.boxofficeindia.com/movie.php?movieid=1472"/>
    <hyperlink ref="B41" r:id="rId40" display="http://www.boxofficeindia.com/movie.php?movieid=357"/>
    <hyperlink ref="B42" r:id="rId41" display="http://www.boxofficeindia.com/movie.php?movieid=1434"/>
    <hyperlink ref="B43" r:id="rId42" display="http://www.boxofficeindia.com/movie.php?movieid=1452"/>
    <hyperlink ref="B44" r:id="rId43" display="http://www.boxofficeindia.com/movie.php?movieid=247"/>
    <hyperlink ref="B45" r:id="rId44" display="http://www.boxofficeindia.com/movie.php?movieid=354"/>
    <hyperlink ref="B46" r:id="rId45" display="http://www.boxofficeindia.com/movie.php?movieid=245"/>
    <hyperlink ref="B47" r:id="rId46" display="http://www.boxofficeindia.com/movie.php?movieid=353"/>
    <hyperlink ref="B48" r:id="rId47" display="http://www.boxofficeindia.com/movie.php?movieid=1275"/>
    <hyperlink ref="B49" r:id="rId48" display="http://www.boxofficeindia.com/movie.php?movieid=238"/>
    <hyperlink ref="B50" r:id="rId49" display="http://www.boxofficeindia.com/movie.php?movieid=1474"/>
    <hyperlink ref="B51" r:id="rId50" display="http://www.boxofficeindia.com/movie.php?movieid=352"/>
  </hyperlinks>
  <pageMargins left="0.7" right="0.7" top="0.75" bottom="0.75" header="0.3" footer="0.3"/>
  <drawing r:id="rId5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P31" sqref="P31"/>
    </sheetView>
  </sheetViews>
  <sheetFormatPr defaultRowHeight="15"/>
  <cols>
    <col min="2" max="2" width="16.28515625" customWidth="1"/>
  </cols>
  <sheetData>
    <row r="1" spans="1:13" ht="28.5">
      <c r="A1" s="41" t="s">
        <v>1916</v>
      </c>
      <c r="B1" s="41" t="s">
        <v>1934</v>
      </c>
      <c r="C1" s="41" t="s">
        <v>1918</v>
      </c>
      <c r="D1" s="41" t="s">
        <v>1919</v>
      </c>
      <c r="E1" s="41" t="s">
        <v>1920</v>
      </c>
      <c r="F1" s="41" t="s">
        <v>1921</v>
      </c>
      <c r="G1" s="41" t="s">
        <v>1922</v>
      </c>
      <c r="H1" s="41" t="s">
        <v>1923</v>
      </c>
      <c r="I1" s="41" t="s">
        <v>1924</v>
      </c>
      <c r="J1" s="41" t="s">
        <v>1925</v>
      </c>
    </row>
    <row r="2" spans="1:13" ht="15.75" thickBot="1">
      <c r="A2" s="42">
        <v>1</v>
      </c>
      <c r="B2" s="43" t="s">
        <v>69</v>
      </c>
      <c r="C2" s="40">
        <v>47</v>
      </c>
      <c r="D2" s="40">
        <v>1</v>
      </c>
      <c r="E2" s="40">
        <v>2</v>
      </c>
      <c r="F2" s="40">
        <v>6</v>
      </c>
      <c r="G2" s="40">
        <v>4</v>
      </c>
      <c r="H2" s="40">
        <v>4</v>
      </c>
      <c r="I2" s="40">
        <v>5</v>
      </c>
      <c r="J2" s="44">
        <v>22</v>
      </c>
      <c r="K2">
        <f>SUM(D2:H2)</f>
        <v>17</v>
      </c>
      <c r="L2">
        <f>K2/C2*100</f>
        <v>36.170212765957451</v>
      </c>
      <c r="M2">
        <f>J2/C2*100</f>
        <v>46.808510638297875</v>
      </c>
    </row>
    <row r="3" spans="1:13" ht="15.75" thickBot="1">
      <c r="A3" s="42">
        <v>2</v>
      </c>
      <c r="B3" s="43" t="s">
        <v>788</v>
      </c>
      <c r="C3" s="40">
        <v>46</v>
      </c>
      <c r="D3" s="40">
        <v>2</v>
      </c>
      <c r="E3" s="40">
        <v>3</v>
      </c>
      <c r="F3" s="40">
        <v>2</v>
      </c>
      <c r="G3" s="40">
        <v>4</v>
      </c>
      <c r="H3" s="40">
        <v>3</v>
      </c>
      <c r="I3" s="40">
        <v>7</v>
      </c>
      <c r="J3" s="44">
        <v>21</v>
      </c>
      <c r="K3">
        <f t="shared" ref="K3:K35" si="0">SUM(D3:H3)</f>
        <v>14</v>
      </c>
      <c r="L3">
        <f t="shared" ref="L3:L35" si="1">K3/C3*100</f>
        <v>30.434782608695656</v>
      </c>
      <c r="M3">
        <f t="shared" ref="M3:M35" si="2">J3/C3*100</f>
        <v>45.652173913043477</v>
      </c>
    </row>
    <row r="4" spans="1:13" ht="15.75" thickBot="1">
      <c r="A4" s="42">
        <v>3</v>
      </c>
      <c r="B4" s="43" t="s">
        <v>831</v>
      </c>
      <c r="C4" s="40">
        <v>26</v>
      </c>
      <c r="D4" s="40">
        <v>1</v>
      </c>
      <c r="E4" s="40">
        <v>1</v>
      </c>
      <c r="F4" s="40">
        <v>5</v>
      </c>
      <c r="G4" s="40">
        <v>5</v>
      </c>
      <c r="H4" s="40">
        <v>5</v>
      </c>
      <c r="I4" s="40">
        <v>2</v>
      </c>
      <c r="J4" s="44">
        <v>19</v>
      </c>
      <c r="K4">
        <f t="shared" si="0"/>
        <v>17</v>
      </c>
      <c r="L4">
        <f t="shared" si="1"/>
        <v>65.384615384615387</v>
      </c>
      <c r="M4">
        <f t="shared" si="2"/>
        <v>73.076923076923066</v>
      </c>
    </row>
    <row r="5" spans="1:13" ht="15.75" thickBot="1">
      <c r="A5" s="42">
        <v>4</v>
      </c>
      <c r="B5" s="43" t="s">
        <v>383</v>
      </c>
      <c r="C5" s="40">
        <v>40</v>
      </c>
      <c r="D5" s="40">
        <v>1</v>
      </c>
      <c r="E5" s="40">
        <v>0</v>
      </c>
      <c r="F5" s="40">
        <v>2</v>
      </c>
      <c r="G5" s="40">
        <v>5</v>
      </c>
      <c r="H5" s="40">
        <v>6</v>
      </c>
      <c r="I5" s="40">
        <v>5</v>
      </c>
      <c r="J5" s="44">
        <v>19</v>
      </c>
      <c r="K5">
        <f t="shared" si="0"/>
        <v>14</v>
      </c>
      <c r="L5">
        <f t="shared" si="1"/>
        <v>35</v>
      </c>
      <c r="M5">
        <f t="shared" si="2"/>
        <v>47.5</v>
      </c>
    </row>
    <row r="6" spans="1:13" ht="15.75" thickBot="1">
      <c r="A6" s="42">
        <v>5</v>
      </c>
      <c r="B6" s="43" t="s">
        <v>803</v>
      </c>
      <c r="C6" s="40">
        <v>40</v>
      </c>
      <c r="D6" s="40">
        <v>0</v>
      </c>
      <c r="E6" s="40">
        <v>2</v>
      </c>
      <c r="F6" s="40">
        <v>2</v>
      </c>
      <c r="G6" s="40">
        <v>5</v>
      </c>
      <c r="H6" s="40">
        <v>3</v>
      </c>
      <c r="I6" s="40">
        <v>6</v>
      </c>
      <c r="J6" s="44">
        <v>18</v>
      </c>
      <c r="K6">
        <f t="shared" si="0"/>
        <v>12</v>
      </c>
      <c r="L6">
        <f t="shared" si="1"/>
        <v>30</v>
      </c>
      <c r="M6">
        <f t="shared" si="2"/>
        <v>45</v>
      </c>
    </row>
    <row r="7" spans="1:13" ht="15.75" thickBot="1">
      <c r="A7" s="42">
        <v>6</v>
      </c>
      <c r="B7" s="43" t="s">
        <v>59</v>
      </c>
      <c r="C7" s="40">
        <v>28</v>
      </c>
      <c r="D7" s="40">
        <v>2</v>
      </c>
      <c r="E7" s="40">
        <v>2</v>
      </c>
      <c r="F7" s="40">
        <v>5</v>
      </c>
      <c r="G7" s="40">
        <v>3</v>
      </c>
      <c r="H7" s="40">
        <v>1</v>
      </c>
      <c r="I7" s="40">
        <v>0</v>
      </c>
      <c r="J7" s="44">
        <v>13</v>
      </c>
      <c r="K7">
        <f t="shared" si="0"/>
        <v>13</v>
      </c>
      <c r="L7">
        <f t="shared" si="1"/>
        <v>46.428571428571431</v>
      </c>
      <c r="M7">
        <f t="shared" si="2"/>
        <v>46.428571428571431</v>
      </c>
    </row>
    <row r="8" spans="1:13" ht="15.75" thickBot="1">
      <c r="A8" s="42">
        <v>7</v>
      </c>
      <c r="B8" s="43" t="s">
        <v>410</v>
      </c>
      <c r="C8" s="40">
        <v>47</v>
      </c>
      <c r="D8" s="40">
        <v>0</v>
      </c>
      <c r="E8" s="40">
        <v>1</v>
      </c>
      <c r="F8" s="40">
        <v>1</v>
      </c>
      <c r="G8" s="40">
        <v>4</v>
      </c>
      <c r="H8" s="40">
        <v>3</v>
      </c>
      <c r="I8" s="40">
        <v>4</v>
      </c>
      <c r="J8" s="44">
        <v>13</v>
      </c>
      <c r="K8">
        <f t="shared" si="0"/>
        <v>9</v>
      </c>
      <c r="L8">
        <f t="shared" si="1"/>
        <v>19.148936170212767</v>
      </c>
      <c r="M8">
        <f t="shared" si="2"/>
        <v>27.659574468085108</v>
      </c>
    </row>
    <row r="9" spans="1:13" ht="30.75" thickBot="1">
      <c r="A9" s="42">
        <v>8</v>
      </c>
      <c r="B9" s="43" t="s">
        <v>806</v>
      </c>
      <c r="C9" s="40">
        <v>21</v>
      </c>
      <c r="D9" s="40">
        <v>0</v>
      </c>
      <c r="E9" s="40">
        <v>3</v>
      </c>
      <c r="F9" s="40">
        <v>1</v>
      </c>
      <c r="G9" s="40">
        <v>6</v>
      </c>
      <c r="H9" s="40">
        <v>2</v>
      </c>
      <c r="I9" s="40">
        <v>0</v>
      </c>
      <c r="J9" s="44">
        <v>12</v>
      </c>
      <c r="K9">
        <f t="shared" si="0"/>
        <v>12</v>
      </c>
      <c r="L9">
        <f t="shared" si="1"/>
        <v>57.142857142857139</v>
      </c>
      <c r="M9">
        <f t="shared" si="2"/>
        <v>57.142857142857139</v>
      </c>
    </row>
    <row r="10" spans="1:13" ht="15.75" thickBot="1">
      <c r="A10" s="42">
        <v>9</v>
      </c>
      <c r="B10" s="43" t="s">
        <v>818</v>
      </c>
      <c r="C10" s="40">
        <v>40</v>
      </c>
      <c r="D10" s="40">
        <v>0</v>
      </c>
      <c r="E10" s="40">
        <v>2</v>
      </c>
      <c r="F10" s="40">
        <v>3</v>
      </c>
      <c r="G10" s="40">
        <v>2</v>
      </c>
      <c r="H10" s="40">
        <v>2</v>
      </c>
      <c r="I10" s="40">
        <v>3</v>
      </c>
      <c r="J10" s="44">
        <v>12</v>
      </c>
      <c r="K10">
        <f t="shared" si="0"/>
        <v>9</v>
      </c>
      <c r="L10">
        <f t="shared" si="1"/>
        <v>22.5</v>
      </c>
      <c r="M10">
        <f t="shared" si="2"/>
        <v>30</v>
      </c>
    </row>
    <row r="11" spans="1:13" ht="15.75" thickBot="1">
      <c r="A11" s="42">
        <v>10</v>
      </c>
      <c r="B11" s="43" t="s">
        <v>398</v>
      </c>
      <c r="C11" s="40">
        <v>57</v>
      </c>
      <c r="D11" s="40">
        <v>0</v>
      </c>
      <c r="E11" s="40">
        <v>1</v>
      </c>
      <c r="F11" s="40">
        <v>3</v>
      </c>
      <c r="G11" s="40">
        <v>3</v>
      </c>
      <c r="H11" s="40">
        <v>2</v>
      </c>
      <c r="I11" s="40">
        <v>3</v>
      </c>
      <c r="J11" s="44">
        <v>12</v>
      </c>
      <c r="K11">
        <f t="shared" si="0"/>
        <v>9</v>
      </c>
      <c r="L11">
        <f t="shared" si="1"/>
        <v>15.789473684210526</v>
      </c>
      <c r="M11">
        <f t="shared" si="2"/>
        <v>21.052631578947366</v>
      </c>
    </row>
    <row r="12" spans="1:13" ht="15.75" thickBot="1">
      <c r="A12" s="42">
        <v>11</v>
      </c>
      <c r="B12" s="43" t="s">
        <v>449</v>
      </c>
      <c r="C12" s="40">
        <v>26</v>
      </c>
      <c r="D12" s="40">
        <v>0</v>
      </c>
      <c r="E12" s="40">
        <v>0</v>
      </c>
      <c r="F12" s="40">
        <v>4</v>
      </c>
      <c r="G12" s="40">
        <v>2</v>
      </c>
      <c r="H12" s="40">
        <v>2</v>
      </c>
      <c r="I12" s="40">
        <v>3</v>
      </c>
      <c r="J12" s="44">
        <v>11</v>
      </c>
      <c r="K12">
        <f t="shared" si="0"/>
        <v>8</v>
      </c>
      <c r="L12">
        <f t="shared" si="1"/>
        <v>30.76923076923077</v>
      </c>
      <c r="M12">
        <f t="shared" si="2"/>
        <v>42.307692307692307</v>
      </c>
    </row>
    <row r="13" spans="1:13" ht="15.75" thickBot="1">
      <c r="A13" s="42">
        <v>12</v>
      </c>
      <c r="B13" s="43" t="s">
        <v>1113</v>
      </c>
      <c r="C13" s="40">
        <v>28</v>
      </c>
      <c r="D13" s="40">
        <v>0</v>
      </c>
      <c r="E13" s="40">
        <v>2</v>
      </c>
      <c r="F13" s="40">
        <v>0</v>
      </c>
      <c r="G13" s="40">
        <v>3</v>
      </c>
      <c r="H13" s="40">
        <v>3</v>
      </c>
      <c r="I13" s="40">
        <v>3</v>
      </c>
      <c r="J13" s="44">
        <v>11</v>
      </c>
      <c r="K13">
        <f t="shared" si="0"/>
        <v>8</v>
      </c>
      <c r="L13">
        <f t="shared" si="1"/>
        <v>28.571428571428569</v>
      </c>
      <c r="M13">
        <f t="shared" si="2"/>
        <v>39.285714285714285</v>
      </c>
    </row>
    <row r="14" spans="1:13" ht="15.75" thickBot="1">
      <c r="A14" s="42">
        <v>13</v>
      </c>
      <c r="B14" s="43" t="s">
        <v>492</v>
      </c>
      <c r="C14" s="40">
        <v>30</v>
      </c>
      <c r="D14" s="40">
        <v>0</v>
      </c>
      <c r="E14" s="40">
        <v>2</v>
      </c>
      <c r="F14" s="40">
        <v>0</v>
      </c>
      <c r="G14" s="40">
        <v>5</v>
      </c>
      <c r="H14" s="40">
        <v>2</v>
      </c>
      <c r="I14" s="40">
        <v>2</v>
      </c>
      <c r="J14" s="44">
        <v>11</v>
      </c>
      <c r="K14">
        <f t="shared" si="0"/>
        <v>9</v>
      </c>
      <c r="L14">
        <f t="shared" si="1"/>
        <v>30</v>
      </c>
      <c r="M14">
        <f t="shared" si="2"/>
        <v>36.666666666666664</v>
      </c>
    </row>
    <row r="15" spans="1:13" ht="15.75" thickBot="1">
      <c r="A15" s="42">
        <v>14</v>
      </c>
      <c r="B15" s="43" t="s">
        <v>813</v>
      </c>
      <c r="C15" s="40">
        <v>15</v>
      </c>
      <c r="D15" s="40">
        <v>1</v>
      </c>
      <c r="E15" s="40">
        <v>2</v>
      </c>
      <c r="F15" s="40">
        <v>0</v>
      </c>
      <c r="G15" s="40">
        <v>2</v>
      </c>
      <c r="H15" s="40">
        <v>1</v>
      </c>
      <c r="I15" s="40">
        <v>3</v>
      </c>
      <c r="J15" s="44">
        <v>9</v>
      </c>
      <c r="K15">
        <f t="shared" si="0"/>
        <v>6</v>
      </c>
      <c r="L15">
        <f t="shared" si="1"/>
        <v>40</v>
      </c>
      <c r="M15">
        <f t="shared" si="2"/>
        <v>60</v>
      </c>
    </row>
    <row r="16" spans="1:13" ht="15.75" thickBot="1">
      <c r="A16" s="42">
        <v>15</v>
      </c>
      <c r="B16" s="43" t="s">
        <v>810</v>
      </c>
      <c r="C16" s="40">
        <v>22</v>
      </c>
      <c r="D16" s="40">
        <v>0</v>
      </c>
      <c r="E16" s="40">
        <v>1</v>
      </c>
      <c r="F16" s="40">
        <v>1</v>
      </c>
      <c r="G16" s="40">
        <v>4</v>
      </c>
      <c r="H16" s="40">
        <v>3</v>
      </c>
      <c r="I16" s="40">
        <v>0</v>
      </c>
      <c r="J16" s="44">
        <v>9</v>
      </c>
      <c r="K16">
        <f t="shared" si="0"/>
        <v>9</v>
      </c>
      <c r="L16">
        <f t="shared" si="1"/>
        <v>40.909090909090914</v>
      </c>
      <c r="M16">
        <f t="shared" si="2"/>
        <v>40.909090909090914</v>
      </c>
    </row>
    <row r="17" spans="1:13" ht="15.75" thickBot="1">
      <c r="A17" s="42">
        <v>16</v>
      </c>
      <c r="B17" s="43" t="s">
        <v>830</v>
      </c>
      <c r="C17" s="40">
        <v>25</v>
      </c>
      <c r="D17" s="40">
        <v>0</v>
      </c>
      <c r="E17" s="40">
        <v>0</v>
      </c>
      <c r="F17" s="40">
        <v>2</v>
      </c>
      <c r="G17" s="40">
        <v>5</v>
      </c>
      <c r="H17" s="40">
        <v>0</v>
      </c>
      <c r="I17" s="40">
        <v>1</v>
      </c>
      <c r="J17" s="44">
        <v>8</v>
      </c>
      <c r="K17">
        <f t="shared" si="0"/>
        <v>7</v>
      </c>
      <c r="L17">
        <f t="shared" si="1"/>
        <v>28.000000000000004</v>
      </c>
      <c r="M17">
        <f t="shared" si="2"/>
        <v>32</v>
      </c>
    </row>
    <row r="18" spans="1:13" ht="15.75" thickBot="1">
      <c r="A18" s="42">
        <v>17</v>
      </c>
      <c r="B18" s="43" t="s">
        <v>416</v>
      </c>
      <c r="C18" s="40">
        <v>57</v>
      </c>
      <c r="D18" s="40">
        <v>0</v>
      </c>
      <c r="E18" s="40">
        <v>1</v>
      </c>
      <c r="F18" s="40">
        <v>0</v>
      </c>
      <c r="G18" s="40">
        <v>3</v>
      </c>
      <c r="H18" s="40">
        <v>0</v>
      </c>
      <c r="I18" s="40">
        <v>4</v>
      </c>
      <c r="J18" s="44">
        <v>8</v>
      </c>
      <c r="K18">
        <f t="shared" si="0"/>
        <v>4</v>
      </c>
      <c r="L18">
        <f t="shared" si="1"/>
        <v>7.0175438596491224</v>
      </c>
      <c r="M18">
        <f t="shared" si="2"/>
        <v>14.035087719298245</v>
      </c>
    </row>
    <row r="19" spans="1:13" ht="15.75" thickBot="1">
      <c r="A19" s="42">
        <v>18</v>
      </c>
      <c r="B19" s="43" t="s">
        <v>1284</v>
      </c>
      <c r="C19" s="40">
        <v>9</v>
      </c>
      <c r="D19" s="40">
        <v>0</v>
      </c>
      <c r="E19" s="40">
        <v>0</v>
      </c>
      <c r="F19" s="40">
        <v>2</v>
      </c>
      <c r="G19" s="40">
        <v>2</v>
      </c>
      <c r="H19" s="40">
        <v>2</v>
      </c>
      <c r="I19" s="40">
        <v>1</v>
      </c>
      <c r="J19" s="44">
        <v>7</v>
      </c>
      <c r="K19">
        <f t="shared" si="0"/>
        <v>6</v>
      </c>
      <c r="L19">
        <f t="shared" si="1"/>
        <v>66.666666666666657</v>
      </c>
      <c r="M19">
        <f t="shared" si="2"/>
        <v>77.777777777777786</v>
      </c>
    </row>
    <row r="20" spans="1:13" ht="15.75" thickBot="1">
      <c r="A20" s="42">
        <v>19</v>
      </c>
      <c r="B20" s="43" t="s">
        <v>14</v>
      </c>
      <c r="C20" s="40">
        <v>24</v>
      </c>
      <c r="D20" s="40">
        <v>1</v>
      </c>
      <c r="E20" s="40">
        <v>2</v>
      </c>
      <c r="F20" s="40">
        <v>0</v>
      </c>
      <c r="G20" s="40">
        <v>1</v>
      </c>
      <c r="H20" s="40">
        <v>0</v>
      </c>
      <c r="I20" s="40">
        <v>3</v>
      </c>
      <c r="J20" s="44">
        <v>7</v>
      </c>
      <c r="K20">
        <f t="shared" si="0"/>
        <v>4</v>
      </c>
      <c r="L20">
        <f t="shared" si="1"/>
        <v>16.666666666666664</v>
      </c>
      <c r="M20">
        <f t="shared" si="2"/>
        <v>29.166666666666668</v>
      </c>
    </row>
    <row r="21" spans="1:13" ht="15.75" thickBot="1">
      <c r="A21" s="42">
        <v>20</v>
      </c>
      <c r="B21" s="43" t="s">
        <v>784</v>
      </c>
      <c r="C21" s="40">
        <v>26</v>
      </c>
      <c r="D21" s="40">
        <v>1</v>
      </c>
      <c r="E21" s="40">
        <v>1</v>
      </c>
      <c r="F21" s="40">
        <v>0</v>
      </c>
      <c r="G21" s="40">
        <v>1</v>
      </c>
      <c r="H21" s="40">
        <v>1</v>
      </c>
      <c r="I21" s="40">
        <v>3</v>
      </c>
      <c r="J21" s="44">
        <v>7</v>
      </c>
      <c r="K21">
        <f t="shared" si="0"/>
        <v>4</v>
      </c>
      <c r="L21">
        <f t="shared" si="1"/>
        <v>15.384615384615385</v>
      </c>
      <c r="M21">
        <f t="shared" si="2"/>
        <v>26.923076923076923</v>
      </c>
    </row>
    <row r="22" spans="1:13" ht="30.75" thickBot="1">
      <c r="A22" s="42">
        <v>21</v>
      </c>
      <c r="B22" s="43" t="s">
        <v>419</v>
      </c>
      <c r="C22" s="40">
        <v>33</v>
      </c>
      <c r="D22" s="40">
        <v>0</v>
      </c>
      <c r="E22" s="40">
        <v>1</v>
      </c>
      <c r="F22" s="40">
        <v>1</v>
      </c>
      <c r="G22" s="40">
        <v>2</v>
      </c>
      <c r="H22" s="40">
        <v>0</v>
      </c>
      <c r="I22" s="40">
        <v>3</v>
      </c>
      <c r="J22" s="44">
        <v>7</v>
      </c>
      <c r="K22">
        <f t="shared" si="0"/>
        <v>4</v>
      </c>
      <c r="L22">
        <f t="shared" si="1"/>
        <v>12.121212121212121</v>
      </c>
      <c r="M22">
        <f t="shared" si="2"/>
        <v>21.212121212121211</v>
      </c>
    </row>
    <row r="23" spans="1:13" ht="15.75" thickBot="1">
      <c r="A23" s="42">
        <v>22</v>
      </c>
      <c r="B23" s="43" t="s">
        <v>518</v>
      </c>
      <c r="C23" s="40">
        <v>33</v>
      </c>
      <c r="D23" s="40">
        <v>0</v>
      </c>
      <c r="E23" s="40">
        <v>0</v>
      </c>
      <c r="F23" s="40">
        <v>0</v>
      </c>
      <c r="G23" s="40">
        <v>2</v>
      </c>
      <c r="H23" s="40">
        <v>2</v>
      </c>
      <c r="I23" s="40">
        <v>3</v>
      </c>
      <c r="J23" s="44">
        <v>7</v>
      </c>
      <c r="K23">
        <f t="shared" si="0"/>
        <v>4</v>
      </c>
      <c r="L23">
        <f t="shared" si="1"/>
        <v>12.121212121212121</v>
      </c>
      <c r="M23">
        <f t="shared" si="2"/>
        <v>21.212121212121211</v>
      </c>
    </row>
    <row r="24" spans="1:13" ht="15.75" thickBot="1">
      <c r="A24" s="42">
        <v>23</v>
      </c>
      <c r="B24" s="43" t="s">
        <v>1165</v>
      </c>
      <c r="C24" s="40">
        <v>16</v>
      </c>
      <c r="D24" s="40">
        <v>0</v>
      </c>
      <c r="E24" s="40">
        <v>3</v>
      </c>
      <c r="F24" s="40">
        <v>0</v>
      </c>
      <c r="G24" s="40">
        <v>2</v>
      </c>
      <c r="H24" s="40">
        <v>0</v>
      </c>
      <c r="I24" s="40">
        <v>1</v>
      </c>
      <c r="J24" s="44">
        <v>6</v>
      </c>
      <c r="K24">
        <f t="shared" si="0"/>
        <v>5</v>
      </c>
      <c r="L24">
        <f t="shared" si="1"/>
        <v>31.25</v>
      </c>
      <c r="M24">
        <f t="shared" si="2"/>
        <v>37.5</v>
      </c>
    </row>
    <row r="25" spans="1:13" ht="15.75" thickBot="1">
      <c r="A25" s="42">
        <v>24</v>
      </c>
      <c r="B25" s="43" t="s">
        <v>797</v>
      </c>
      <c r="C25" s="40">
        <v>7</v>
      </c>
      <c r="D25" s="40">
        <v>0</v>
      </c>
      <c r="E25" s="40">
        <v>2</v>
      </c>
      <c r="F25" s="40">
        <v>1</v>
      </c>
      <c r="G25" s="40">
        <v>1</v>
      </c>
      <c r="H25" s="40">
        <v>0</v>
      </c>
      <c r="I25" s="40">
        <v>1</v>
      </c>
      <c r="J25" s="44">
        <v>5</v>
      </c>
      <c r="K25">
        <f t="shared" si="0"/>
        <v>4</v>
      </c>
      <c r="L25">
        <f t="shared" si="1"/>
        <v>57.142857142857139</v>
      </c>
      <c r="M25">
        <f t="shared" si="2"/>
        <v>71.428571428571431</v>
      </c>
    </row>
    <row r="26" spans="1:13" ht="15.75" thickBot="1">
      <c r="A26" s="42">
        <v>25</v>
      </c>
      <c r="B26" s="43" t="s">
        <v>1187</v>
      </c>
      <c r="C26" s="40">
        <v>11</v>
      </c>
      <c r="D26" s="40">
        <v>0</v>
      </c>
      <c r="E26" s="40">
        <v>1</v>
      </c>
      <c r="F26" s="40">
        <v>2</v>
      </c>
      <c r="G26" s="40">
        <v>1</v>
      </c>
      <c r="H26" s="40">
        <v>0</v>
      </c>
      <c r="I26" s="40">
        <v>1</v>
      </c>
      <c r="J26" s="44">
        <v>5</v>
      </c>
      <c r="K26">
        <f t="shared" si="0"/>
        <v>4</v>
      </c>
      <c r="L26">
        <f t="shared" si="1"/>
        <v>36.363636363636367</v>
      </c>
      <c r="M26">
        <f t="shared" si="2"/>
        <v>45.454545454545453</v>
      </c>
    </row>
    <row r="27" spans="1:13" ht="15.75" thickBot="1">
      <c r="A27" s="42">
        <v>26</v>
      </c>
      <c r="B27" s="43" t="s">
        <v>1214</v>
      </c>
      <c r="C27" s="40">
        <v>14</v>
      </c>
      <c r="D27" s="40">
        <v>0</v>
      </c>
      <c r="E27" s="40">
        <v>0</v>
      </c>
      <c r="F27" s="40">
        <v>1</v>
      </c>
      <c r="G27" s="40">
        <v>4</v>
      </c>
      <c r="H27" s="40">
        <v>0</v>
      </c>
      <c r="I27" s="40">
        <v>0</v>
      </c>
      <c r="J27" s="44">
        <v>5</v>
      </c>
      <c r="K27">
        <f t="shared" si="0"/>
        <v>5</v>
      </c>
      <c r="L27">
        <f t="shared" si="1"/>
        <v>35.714285714285715</v>
      </c>
      <c r="M27">
        <f t="shared" si="2"/>
        <v>35.714285714285715</v>
      </c>
    </row>
    <row r="28" spans="1:13" ht="15.75" thickBot="1">
      <c r="A28" s="42">
        <v>27</v>
      </c>
      <c r="B28" s="43" t="s">
        <v>459</v>
      </c>
      <c r="C28" s="40">
        <v>23</v>
      </c>
      <c r="D28" s="40">
        <v>0</v>
      </c>
      <c r="E28" s="40">
        <v>1</v>
      </c>
      <c r="F28" s="40">
        <v>2</v>
      </c>
      <c r="G28" s="40">
        <v>1</v>
      </c>
      <c r="H28" s="40">
        <v>1</v>
      </c>
      <c r="I28" s="40">
        <v>0</v>
      </c>
      <c r="J28" s="44">
        <v>5</v>
      </c>
      <c r="K28">
        <f t="shared" si="0"/>
        <v>5</v>
      </c>
      <c r="L28">
        <f t="shared" si="1"/>
        <v>21.739130434782609</v>
      </c>
      <c r="M28">
        <f t="shared" si="2"/>
        <v>21.739130434782609</v>
      </c>
    </row>
    <row r="29" spans="1:13" ht="15.75" thickBot="1">
      <c r="A29" s="42">
        <v>28</v>
      </c>
      <c r="B29" s="43" t="s">
        <v>772</v>
      </c>
      <c r="C29" s="40">
        <v>24</v>
      </c>
      <c r="D29" s="40">
        <v>0</v>
      </c>
      <c r="E29" s="40">
        <v>0</v>
      </c>
      <c r="F29" s="40">
        <v>1</v>
      </c>
      <c r="G29" s="40">
        <v>1</v>
      </c>
      <c r="H29" s="40">
        <v>1</v>
      </c>
      <c r="I29" s="40">
        <v>2</v>
      </c>
      <c r="J29" s="44">
        <v>5</v>
      </c>
      <c r="K29">
        <f t="shared" si="0"/>
        <v>3</v>
      </c>
      <c r="L29">
        <f t="shared" si="1"/>
        <v>12.5</v>
      </c>
      <c r="M29">
        <f t="shared" si="2"/>
        <v>20.833333333333336</v>
      </c>
    </row>
    <row r="30" spans="1:13" ht="15.75" thickBot="1">
      <c r="A30" s="42">
        <v>29</v>
      </c>
      <c r="B30" s="43" t="s">
        <v>1334</v>
      </c>
      <c r="C30" s="40">
        <v>8</v>
      </c>
      <c r="D30" s="40">
        <v>0</v>
      </c>
      <c r="E30" s="40">
        <v>0</v>
      </c>
      <c r="F30" s="40">
        <v>0</v>
      </c>
      <c r="G30" s="40">
        <v>2</v>
      </c>
      <c r="H30" s="40">
        <v>0</v>
      </c>
      <c r="I30" s="40">
        <v>2</v>
      </c>
      <c r="J30" s="44">
        <v>4</v>
      </c>
      <c r="K30">
        <f t="shared" si="0"/>
        <v>2</v>
      </c>
      <c r="L30">
        <f t="shared" si="1"/>
        <v>25</v>
      </c>
      <c r="M30">
        <f t="shared" si="2"/>
        <v>50</v>
      </c>
    </row>
    <row r="31" spans="1:13" ht="15.75" thickBot="1">
      <c r="A31" s="42">
        <v>30</v>
      </c>
      <c r="B31" s="43" t="s">
        <v>474</v>
      </c>
      <c r="C31" s="40">
        <v>9</v>
      </c>
      <c r="D31" s="40">
        <v>0</v>
      </c>
      <c r="E31" s="40">
        <v>0</v>
      </c>
      <c r="F31" s="40">
        <v>1</v>
      </c>
      <c r="G31" s="40">
        <v>1</v>
      </c>
      <c r="H31" s="40">
        <v>1</v>
      </c>
      <c r="I31" s="40">
        <v>1</v>
      </c>
      <c r="J31" s="44">
        <v>4</v>
      </c>
      <c r="K31">
        <f t="shared" si="0"/>
        <v>3</v>
      </c>
      <c r="L31">
        <f t="shared" si="1"/>
        <v>33.333333333333329</v>
      </c>
      <c r="M31">
        <f t="shared" si="2"/>
        <v>44.444444444444443</v>
      </c>
    </row>
    <row r="32" spans="1:13" ht="30.75" thickBot="1">
      <c r="A32" s="42">
        <v>31</v>
      </c>
      <c r="B32" s="43" t="s">
        <v>461</v>
      </c>
      <c r="C32" s="40">
        <v>2</v>
      </c>
      <c r="D32" s="40">
        <v>0</v>
      </c>
      <c r="E32" s="40">
        <v>0</v>
      </c>
      <c r="F32" s="40">
        <v>1</v>
      </c>
      <c r="G32" s="40">
        <v>0</v>
      </c>
      <c r="H32" s="40">
        <v>0</v>
      </c>
      <c r="I32" s="40">
        <v>0</v>
      </c>
      <c r="J32" s="44">
        <v>1</v>
      </c>
      <c r="K32">
        <f t="shared" si="0"/>
        <v>1</v>
      </c>
      <c r="L32">
        <f t="shared" si="1"/>
        <v>50</v>
      </c>
      <c r="M32">
        <f t="shared" si="2"/>
        <v>50</v>
      </c>
    </row>
    <row r="33" spans="1:13" ht="15.75" thickBot="1">
      <c r="A33" s="42">
        <v>32</v>
      </c>
      <c r="B33" s="43" t="s">
        <v>1935</v>
      </c>
      <c r="C33" s="40">
        <v>6</v>
      </c>
      <c r="D33" s="40">
        <v>0</v>
      </c>
      <c r="E33" s="40">
        <v>0</v>
      </c>
      <c r="F33" s="40">
        <v>1</v>
      </c>
      <c r="G33" s="40">
        <v>0</v>
      </c>
      <c r="H33" s="40">
        <v>0</v>
      </c>
      <c r="I33" s="40">
        <v>0</v>
      </c>
      <c r="J33" s="44">
        <v>1</v>
      </c>
      <c r="K33">
        <f t="shared" si="0"/>
        <v>1</v>
      </c>
      <c r="L33">
        <f t="shared" si="1"/>
        <v>16.666666666666664</v>
      </c>
      <c r="M33">
        <f t="shared" si="2"/>
        <v>16.666666666666664</v>
      </c>
    </row>
    <row r="34" spans="1:13" ht="15.75" thickBot="1">
      <c r="A34" s="42">
        <v>33</v>
      </c>
      <c r="B34" s="43" t="s">
        <v>1021</v>
      </c>
      <c r="C34" s="40">
        <v>14</v>
      </c>
      <c r="D34" s="40">
        <v>0</v>
      </c>
      <c r="E34" s="40">
        <v>0</v>
      </c>
      <c r="F34" s="40">
        <v>0</v>
      </c>
      <c r="G34" s="40">
        <v>1</v>
      </c>
      <c r="H34" s="40">
        <v>0</v>
      </c>
      <c r="I34" s="40">
        <v>0</v>
      </c>
      <c r="J34" s="44">
        <v>1</v>
      </c>
      <c r="K34">
        <f t="shared" si="0"/>
        <v>1</v>
      </c>
      <c r="L34">
        <f t="shared" si="1"/>
        <v>7.1428571428571423</v>
      </c>
      <c r="M34">
        <f t="shared" si="2"/>
        <v>7.1428571428571423</v>
      </c>
    </row>
    <row r="35" spans="1:13" ht="15.75" thickBot="1">
      <c r="A35" s="42">
        <v>34</v>
      </c>
      <c r="B35" s="43" t="s">
        <v>1936</v>
      </c>
      <c r="C35" s="40">
        <v>48</v>
      </c>
      <c r="D35" s="40">
        <v>0</v>
      </c>
      <c r="E35" s="40">
        <v>0</v>
      </c>
      <c r="F35" s="40">
        <v>0</v>
      </c>
      <c r="G35" s="40">
        <v>1</v>
      </c>
      <c r="H35" s="40">
        <v>0</v>
      </c>
      <c r="I35" s="40">
        <v>0</v>
      </c>
      <c r="J35" s="44">
        <v>1</v>
      </c>
      <c r="K35">
        <f t="shared" si="0"/>
        <v>1</v>
      </c>
      <c r="L35">
        <f t="shared" si="1"/>
        <v>2.083333333333333</v>
      </c>
      <c r="M35">
        <f t="shared" si="2"/>
        <v>2.083333333333333</v>
      </c>
    </row>
  </sheetData>
  <hyperlinks>
    <hyperlink ref="B2" r:id="rId1" display="http://www.boxofficeindia.com/actor.php?actorid=49"/>
    <hyperlink ref="B3" r:id="rId2" display="http://www.boxofficeindia.com/actor.php?actorid=10"/>
    <hyperlink ref="B4" r:id="rId3" display="http://www.boxofficeindia.com/actor.php?actorid=17"/>
    <hyperlink ref="B5" r:id="rId4" display="http://www.boxofficeindia.com/actor.php?actorid=62"/>
    <hyperlink ref="B6" r:id="rId5" display="http://www.boxofficeindia.com/actor.php?actorid=63"/>
    <hyperlink ref="B7" r:id="rId6" display="http://www.boxofficeindia.com/actor.php?actorid=92"/>
    <hyperlink ref="B8" r:id="rId7" display="http://www.boxofficeindia.com/actor.php?actorid=118"/>
    <hyperlink ref="B9" r:id="rId8" display="http://www.boxofficeindia.com/actor.php?actorid=73"/>
    <hyperlink ref="B10" r:id="rId9" display="http://www.boxofficeindia.com/actor.php?actorid=185"/>
    <hyperlink ref="B11" r:id="rId10" display="http://www.boxofficeindia.com/actor.php?actorid=119"/>
    <hyperlink ref="B12" r:id="rId11" display="http://www.boxofficeindia.com/actor.php?actorid=91"/>
    <hyperlink ref="B13" r:id="rId12" display="http://www.boxofficeindia.com/actor.php?actorid=316"/>
    <hyperlink ref="B14" r:id="rId13" display="http://www.boxofficeindia.com/actor.php?actorid=728"/>
    <hyperlink ref="B15" r:id="rId14" display="http://www.boxofficeindia.com/actor.php?actorid=64"/>
    <hyperlink ref="B16" r:id="rId15" display="http://www.boxofficeindia.com/actor.php?actorid=184"/>
    <hyperlink ref="B17" r:id="rId16" display="http://www.boxofficeindia.com/actor.php?actorid=479"/>
    <hyperlink ref="B18" r:id="rId17" display="http://www.boxofficeindia.com/actor.php?actorid=172"/>
    <hyperlink ref="B19" r:id="rId18" display="http://www.boxofficeindia.com/actor.php?actorid=6604"/>
    <hyperlink ref="B20" r:id="rId19" display="http://www.boxofficeindia.com/actor.php?actorid=16"/>
    <hyperlink ref="B21" r:id="rId20" display="http://www.boxofficeindia.com/actor.php?actorid=704"/>
    <hyperlink ref="B22" r:id="rId21" display="http://www.boxofficeindia.com/actor.php?actorid=1235"/>
    <hyperlink ref="B23" r:id="rId22" display="http://www.boxofficeindia.com/actor.php?actorid=1550"/>
    <hyperlink ref="B24" r:id="rId23" display="http://www.boxofficeindia.com/actor.php?actorid=65"/>
    <hyperlink ref="B25" r:id="rId24" display="http://www.boxofficeindia.com/actor.php?actorid=74"/>
    <hyperlink ref="B26" r:id="rId25" display="http://www.boxofficeindia.com/actor.php?actorid=663"/>
    <hyperlink ref="B27" r:id="rId26" display="http://www.boxofficeindia.com/actor.php?actorid=176"/>
    <hyperlink ref="B28" r:id="rId27" display="http://www.boxofficeindia.com/actor.php?actorid=23"/>
    <hyperlink ref="B29" r:id="rId28" display="http://www.boxofficeindia.com/actor.php?actorid=720"/>
    <hyperlink ref="B30" r:id="rId29" display="http://www.boxofficeindia.com/actor.php?actorid=622"/>
    <hyperlink ref="B31" r:id="rId30" display="http://www.boxofficeindia.com/actor.php?actorid=15"/>
    <hyperlink ref="B32" r:id="rId31" display="http://www.boxofficeindia.com/actor.php?actorid=177"/>
    <hyperlink ref="B33" r:id="rId32" display="http://www.boxofficeindia.com/actor.php?actorid=1531"/>
    <hyperlink ref="B34" r:id="rId33" display="http://www.boxofficeindia.com/actor.php?actorid=12"/>
    <hyperlink ref="B35" r:id="rId34" display="http://www.boxofficeindia.com/actor.php?actorid=1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Movies</vt:lpstr>
      <vt:lpstr>Star Economic history</vt:lpstr>
      <vt:lpstr>Actor Success Count</vt:lpstr>
      <vt:lpstr>Actress Success Count Years</vt:lpstr>
      <vt:lpstr>Sheet5</vt:lpstr>
      <vt:lpstr>Links</vt:lpstr>
      <vt:lpstr>Ctor-Actress Combination</vt:lpstr>
      <vt:lpstr>sheet  verdict</vt:lpstr>
      <vt:lpstr>Actress Success Count</vt:lpstr>
      <vt:lpstr>Director Success Count</vt:lpstr>
      <vt:lpstr>Banner Success Count</vt:lpstr>
      <vt:lpstr>Actor and Actress Success</vt:lpstr>
      <vt:lpstr>Sheet2</vt:lpstr>
      <vt:lpstr>success count </vt:lpstr>
    </vt:vector>
  </TitlesOfParts>
  <Company>Flinders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Masoumi</dc:creator>
  <cp:lastModifiedBy>Chetan Singhal</cp:lastModifiedBy>
  <dcterms:created xsi:type="dcterms:W3CDTF">2016-10-21T00:14:30Z</dcterms:created>
  <dcterms:modified xsi:type="dcterms:W3CDTF">2018-06-20T14:37:00Z</dcterms:modified>
</cp:coreProperties>
</file>