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C190894C-3EC7-4E8F-A93C-5BBF559F9DA4}" xr6:coauthVersionLast="47" xr6:coauthVersionMax="47" xr10:uidLastSave="{00000000-0000-0000-0000-000000000000}"/>
  <bookViews>
    <workbookView xWindow="-120" yWindow="-120" windowWidth="20730" windowHeight="11040" firstSheet="1" activeTab="5" xr2:uid="{D3A01991-0666-464D-86AE-9AB7AA831B83}"/>
  </bookViews>
  <sheets>
    <sheet name="Income Statement" sheetId="1" r:id="rId1"/>
    <sheet name="Fixed Asset Schedule" sheetId="4" r:id="rId2"/>
    <sheet name="Working Capital" sheetId="2" r:id="rId3"/>
    <sheet name="Debt Schedule" sheetId="3" r:id="rId4"/>
    <sheet name="Discount Factor" sheetId="5" r:id="rId5"/>
    <sheet name="DCF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6" l="1"/>
  <c r="C27" i="6"/>
  <c r="C26" i="6"/>
  <c r="C24" i="6"/>
  <c r="C23" i="6"/>
  <c r="C22" i="6"/>
  <c r="C21" i="6"/>
  <c r="C19" i="6"/>
  <c r="C18" i="6"/>
  <c r="C17" i="6"/>
  <c r="C13" i="6"/>
  <c r="D10" i="6"/>
  <c r="E10" i="6"/>
  <c r="F10" i="6"/>
  <c r="G10" i="6"/>
  <c r="H10" i="6"/>
  <c r="C10" i="6"/>
  <c r="D9" i="6"/>
  <c r="E9" i="6"/>
  <c r="F9" i="6"/>
  <c r="G9" i="6"/>
  <c r="H9" i="6"/>
  <c r="C9" i="6"/>
  <c r="D8" i="6"/>
  <c r="E8" i="6"/>
  <c r="F8" i="6"/>
  <c r="G8" i="6"/>
  <c r="H8" i="6"/>
  <c r="C8" i="6"/>
  <c r="D7" i="6"/>
  <c r="E7" i="6"/>
  <c r="F7" i="6"/>
  <c r="G7" i="6"/>
  <c r="H7" i="6"/>
  <c r="C7" i="6"/>
  <c r="D6" i="6"/>
  <c r="E6" i="6"/>
  <c r="F6" i="6"/>
  <c r="G6" i="6"/>
  <c r="H6" i="6"/>
  <c r="C6" i="6"/>
  <c r="D5" i="6"/>
  <c r="E5" i="6"/>
  <c r="F5" i="6"/>
  <c r="G5" i="6"/>
  <c r="H5" i="6"/>
  <c r="C5" i="6"/>
  <c r="D4" i="6"/>
  <c r="E4" i="6"/>
  <c r="F4" i="6"/>
  <c r="G4" i="6"/>
  <c r="H4" i="6"/>
  <c r="C4" i="6"/>
  <c r="D3" i="6"/>
  <c r="E3" i="6"/>
  <c r="F3" i="6"/>
  <c r="G3" i="6"/>
  <c r="H3" i="6"/>
  <c r="C3" i="6"/>
  <c r="F17" i="5"/>
  <c r="C24" i="5"/>
  <c r="F14" i="5" s="1"/>
  <c r="K4" i="5"/>
  <c r="K3" i="5"/>
  <c r="I3" i="5"/>
  <c r="J26" i="5"/>
  <c r="J24" i="5"/>
  <c r="J20" i="5"/>
  <c r="B23" i="5"/>
  <c r="F13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F15" i="5"/>
  <c r="F12" i="5"/>
  <c r="F9" i="5"/>
  <c r="F8" i="5"/>
  <c r="F7" i="5"/>
  <c r="F5" i="5"/>
  <c r="I16" i="2"/>
  <c r="I17" i="2" s="1"/>
  <c r="E25" i="2"/>
  <c r="F25" i="2"/>
  <c r="G25" i="2"/>
  <c r="H25" i="2"/>
  <c r="D25" i="2"/>
  <c r="D12" i="2"/>
  <c r="M13" i="2"/>
  <c r="M16" i="2" s="1"/>
  <c r="M17" i="2" s="1"/>
  <c r="J12" i="2"/>
  <c r="J13" i="2" s="1"/>
  <c r="J16" i="2" s="1"/>
  <c r="K12" i="2"/>
  <c r="K13" i="2" s="1"/>
  <c r="K16" i="2" s="1"/>
  <c r="L12" i="2"/>
  <c r="L13" i="2" s="1"/>
  <c r="L16" i="2" s="1"/>
  <c r="L17" i="2" s="1"/>
  <c r="M12" i="2"/>
  <c r="N12" i="2"/>
  <c r="N13" i="2" s="1"/>
  <c r="N16" i="2" s="1"/>
  <c r="N17" i="2" s="1"/>
  <c r="I12" i="2"/>
  <c r="I13" i="2" s="1"/>
  <c r="J11" i="2"/>
  <c r="K11" i="2"/>
  <c r="L11" i="2"/>
  <c r="M11" i="2"/>
  <c r="N11" i="2"/>
  <c r="I11" i="2"/>
  <c r="J25" i="1"/>
  <c r="K25" i="1"/>
  <c r="L25" i="1"/>
  <c r="M25" i="1"/>
  <c r="N25" i="1"/>
  <c r="I25" i="1"/>
  <c r="I4" i="3"/>
  <c r="I6" i="3" s="1"/>
  <c r="J4" i="3" s="1"/>
  <c r="H6" i="3"/>
  <c r="I8" i="3"/>
  <c r="H8" i="3"/>
  <c r="H4" i="3"/>
  <c r="I7" i="2"/>
  <c r="J7" i="2"/>
  <c r="K7" i="2"/>
  <c r="L7" i="2"/>
  <c r="M7" i="2"/>
  <c r="N7" i="2"/>
  <c r="J17" i="1"/>
  <c r="K17" i="1"/>
  <c r="L17" i="1"/>
  <c r="M17" i="1"/>
  <c r="N17" i="1"/>
  <c r="I17" i="1"/>
  <c r="J19" i="1"/>
  <c r="K19" i="1"/>
  <c r="L19" i="1"/>
  <c r="M19" i="1"/>
  <c r="N19" i="1"/>
  <c r="I19" i="1"/>
  <c r="J18" i="1"/>
  <c r="K18" i="1"/>
  <c r="L18" i="1"/>
  <c r="M18" i="1"/>
  <c r="N18" i="1"/>
  <c r="I18" i="1"/>
  <c r="J21" i="4"/>
  <c r="J20" i="4"/>
  <c r="J17" i="4"/>
  <c r="K17" i="4"/>
  <c r="K19" i="4" s="1"/>
  <c r="I21" i="4"/>
  <c r="I20" i="4"/>
  <c r="J19" i="4"/>
  <c r="I19" i="4"/>
  <c r="I17" i="4"/>
  <c r="J23" i="4"/>
  <c r="K23" i="4"/>
  <c r="N23" i="4" s="1"/>
  <c r="L23" i="4"/>
  <c r="M23" i="4"/>
  <c r="I23" i="4"/>
  <c r="E23" i="4"/>
  <c r="F23" i="4"/>
  <c r="G23" i="4"/>
  <c r="H23" i="4"/>
  <c r="D23" i="4"/>
  <c r="E18" i="4"/>
  <c r="F18" i="4"/>
  <c r="G18" i="4"/>
  <c r="H18" i="4"/>
  <c r="D18" i="4"/>
  <c r="E19" i="4"/>
  <c r="F19" i="4"/>
  <c r="G19" i="4"/>
  <c r="H19" i="4"/>
  <c r="D19" i="4"/>
  <c r="E17" i="4"/>
  <c r="F17" i="4"/>
  <c r="G17" i="4"/>
  <c r="H17" i="4"/>
  <c r="D17" i="4"/>
  <c r="J11" i="4"/>
  <c r="K11" i="4"/>
  <c r="N11" i="4" s="1"/>
  <c r="L11" i="4"/>
  <c r="M11" i="4"/>
  <c r="I11" i="4"/>
  <c r="J7" i="4"/>
  <c r="K7" i="4"/>
  <c r="L7" i="4"/>
  <c r="M5" i="4" s="1"/>
  <c r="M7" i="4"/>
  <c r="N5" i="4" s="1"/>
  <c r="N7" i="4"/>
  <c r="I7" i="4"/>
  <c r="J5" i="4" s="1"/>
  <c r="F13" i="4"/>
  <c r="G13" i="4"/>
  <c r="D13" i="4"/>
  <c r="F11" i="4"/>
  <c r="G11" i="4"/>
  <c r="D11" i="4"/>
  <c r="E7" i="4"/>
  <c r="E13" i="4" s="1"/>
  <c r="F7" i="4"/>
  <c r="G7" i="4"/>
  <c r="H7" i="4"/>
  <c r="H13" i="4" s="1"/>
  <c r="D7" i="4"/>
  <c r="E8" i="4"/>
  <c r="F8" i="4"/>
  <c r="G8" i="4"/>
  <c r="H8" i="4"/>
  <c r="D8" i="4"/>
  <c r="F5" i="4"/>
  <c r="G5" i="4"/>
  <c r="G6" i="4" s="1"/>
  <c r="H5" i="4"/>
  <c r="D5" i="4"/>
  <c r="I4" i="5" l="1"/>
  <c r="K5" i="5" s="1"/>
  <c r="K17" i="2"/>
  <c r="J17" i="2"/>
  <c r="J8" i="3"/>
  <c r="J6" i="3"/>
  <c r="K4" i="3" s="1"/>
  <c r="K20" i="4"/>
  <c r="K21" i="4" s="1"/>
  <c r="L17" i="4" s="1"/>
  <c r="L19" i="4" s="1"/>
  <c r="N6" i="4"/>
  <c r="J6" i="4"/>
  <c r="M8" i="4"/>
  <c r="L5" i="4"/>
  <c r="L6" i="4" s="1"/>
  <c r="M6" i="4"/>
  <c r="L8" i="4"/>
  <c r="L9" i="4" s="1"/>
  <c r="K5" i="4"/>
  <c r="K6" i="4" s="1"/>
  <c r="I8" i="4"/>
  <c r="I9" i="4" s="1"/>
  <c r="K8" i="4"/>
  <c r="K9" i="4" s="1"/>
  <c r="M9" i="4"/>
  <c r="N8" i="4"/>
  <c r="N9" i="4" s="1"/>
  <c r="J8" i="4"/>
  <c r="J9" i="4" s="1"/>
  <c r="I5" i="4"/>
  <c r="I6" i="4" s="1"/>
  <c r="H6" i="4"/>
  <c r="H11" i="4"/>
  <c r="E11" i="4"/>
  <c r="F6" i="4"/>
  <c r="K8" i="3" l="1"/>
  <c r="K6" i="3"/>
  <c r="L4" i="3" s="1"/>
  <c r="L20" i="4"/>
  <c r="L21" i="4" s="1"/>
  <c r="M17" i="4" s="1"/>
  <c r="M19" i="4" s="1"/>
  <c r="L6" i="3" l="1"/>
  <c r="M4" i="3" s="1"/>
  <c r="L8" i="3"/>
  <c r="M20" i="4"/>
  <c r="M21" i="4"/>
  <c r="N17" i="4" s="1"/>
  <c r="N19" i="4" s="1"/>
  <c r="M6" i="3" l="1"/>
  <c r="M8" i="3"/>
  <c r="N20" i="4"/>
  <c r="N21" i="4" s="1"/>
  <c r="I9" i="3" l="1"/>
  <c r="J9" i="3"/>
  <c r="M9" i="3" s="1"/>
  <c r="K9" i="3"/>
  <c r="L9" i="3"/>
  <c r="H9" i="3"/>
  <c r="D9" i="3"/>
  <c r="E9" i="3"/>
  <c r="F9" i="3"/>
  <c r="G9" i="3"/>
  <c r="C9" i="3"/>
  <c r="D5" i="3"/>
  <c r="E5" i="3"/>
  <c r="F5" i="3"/>
  <c r="G5" i="3"/>
  <c r="C5" i="3"/>
  <c r="D4" i="3"/>
  <c r="E4" i="3"/>
  <c r="F4" i="3"/>
  <c r="G4" i="3"/>
  <c r="C4" i="3"/>
  <c r="J10" i="2"/>
  <c r="K10" i="2"/>
  <c r="L10" i="2"/>
  <c r="M10" i="2"/>
  <c r="N10" i="2"/>
  <c r="I10" i="2"/>
  <c r="J6" i="2"/>
  <c r="K6" i="2"/>
  <c r="L6" i="2"/>
  <c r="M6" i="2"/>
  <c r="N6" i="2"/>
  <c r="I6" i="2"/>
  <c r="J5" i="2"/>
  <c r="K5" i="2"/>
  <c r="L5" i="2"/>
  <c r="M5" i="2"/>
  <c r="N5" i="2"/>
  <c r="I5" i="2"/>
  <c r="J4" i="2"/>
  <c r="K4" i="2"/>
  <c r="L4" i="2"/>
  <c r="M4" i="2"/>
  <c r="N4" i="2"/>
  <c r="I4" i="2"/>
  <c r="J23" i="2"/>
  <c r="K23" i="2"/>
  <c r="N23" i="2" s="1"/>
  <c r="L23" i="2"/>
  <c r="M23" i="2"/>
  <c r="I23" i="2"/>
  <c r="J21" i="2"/>
  <c r="K21" i="2"/>
  <c r="N21" i="2" s="1"/>
  <c r="L21" i="2"/>
  <c r="M21" i="2"/>
  <c r="I21" i="2"/>
  <c r="J20" i="2"/>
  <c r="K20" i="2" s="1"/>
  <c r="I20" i="2"/>
  <c r="N22" i="2"/>
  <c r="J22" i="2"/>
  <c r="K22" i="2"/>
  <c r="L22" i="2"/>
  <c r="M22" i="2"/>
  <c r="I22" i="2"/>
  <c r="E24" i="2"/>
  <c r="F24" i="2"/>
  <c r="G24" i="2"/>
  <c r="H24" i="2"/>
  <c r="D24" i="2"/>
  <c r="E23" i="2"/>
  <c r="F23" i="2"/>
  <c r="G23" i="2"/>
  <c r="H23" i="2"/>
  <c r="D23" i="2"/>
  <c r="E22" i="2"/>
  <c r="F22" i="2"/>
  <c r="G22" i="2"/>
  <c r="H22" i="2"/>
  <c r="D22" i="2"/>
  <c r="E21" i="2"/>
  <c r="F21" i="2"/>
  <c r="G21" i="2"/>
  <c r="H21" i="2"/>
  <c r="D21" i="2"/>
  <c r="E20" i="2"/>
  <c r="F20" i="2"/>
  <c r="G20" i="2"/>
  <c r="H20" i="2"/>
  <c r="D20" i="2"/>
  <c r="E13" i="2"/>
  <c r="F13" i="2"/>
  <c r="G13" i="2"/>
  <c r="G16" i="2" s="1"/>
  <c r="H13" i="2"/>
  <c r="H16" i="2" s="1"/>
  <c r="H17" i="2" s="1"/>
  <c r="D13" i="2"/>
  <c r="E7" i="2"/>
  <c r="E16" i="2" s="1"/>
  <c r="F7" i="2"/>
  <c r="G7" i="2"/>
  <c r="H7" i="2"/>
  <c r="D7" i="2"/>
  <c r="D16" i="2" l="1"/>
  <c r="E17" i="2" s="1"/>
  <c r="F16" i="2"/>
  <c r="G17" i="2" s="1"/>
  <c r="F17" i="2"/>
  <c r="L20" i="2"/>
  <c r="N20" i="2" s="1"/>
  <c r="M20" i="2"/>
  <c r="J15" i="1" l="1"/>
  <c r="K15" i="1"/>
  <c r="L15" i="1"/>
  <c r="M15" i="1"/>
  <c r="N15" i="1"/>
  <c r="I15" i="1"/>
  <c r="K29" i="1"/>
  <c r="J30" i="1"/>
  <c r="K30" i="1"/>
  <c r="N30" i="1" s="1"/>
  <c r="L30" i="1"/>
  <c r="M30" i="1"/>
  <c r="I30" i="1"/>
  <c r="J28" i="1"/>
  <c r="J29" i="1" s="1"/>
  <c r="K28" i="1"/>
  <c r="L28" i="1"/>
  <c r="L29" i="1" s="1"/>
  <c r="M28" i="1"/>
  <c r="M29" i="1" s="1"/>
  <c r="N28" i="1"/>
  <c r="N29" i="1" s="1"/>
  <c r="I28" i="1"/>
  <c r="I29" i="1" s="1"/>
  <c r="J21" i="1"/>
  <c r="K21" i="1"/>
  <c r="L21" i="1"/>
  <c r="M21" i="1"/>
  <c r="N21" i="1"/>
  <c r="I21" i="1"/>
  <c r="J22" i="1"/>
  <c r="K22" i="1" s="1"/>
  <c r="I22" i="1"/>
  <c r="E30" i="1"/>
  <c r="F30" i="1"/>
  <c r="G30" i="1"/>
  <c r="H30" i="1"/>
  <c r="D30" i="1"/>
  <c r="E22" i="1"/>
  <c r="F22" i="1"/>
  <c r="G22" i="1"/>
  <c r="H22" i="1"/>
  <c r="D22" i="1"/>
  <c r="E17" i="1"/>
  <c r="F17" i="1"/>
  <c r="G17" i="1"/>
  <c r="H17" i="1"/>
  <c r="D17" i="1"/>
  <c r="D4" i="1"/>
  <c r="L22" i="1" l="1"/>
  <c r="M22" i="1" l="1"/>
  <c r="N22" i="1" s="1"/>
  <c r="F4" i="1" l="1"/>
  <c r="G4" i="1"/>
  <c r="H4" i="1"/>
  <c r="E4" i="1"/>
  <c r="E12" i="1"/>
  <c r="E13" i="1" s="1"/>
  <c r="F12" i="1"/>
  <c r="F13" i="1" s="1"/>
  <c r="G12" i="1"/>
  <c r="G13" i="1" s="1"/>
  <c r="H12" i="1"/>
  <c r="H13" i="1" s="1"/>
  <c r="D12" i="1"/>
  <c r="D13" i="1" s="1"/>
  <c r="I13" i="1" l="1"/>
  <c r="J13" i="1" s="1"/>
  <c r="K7" i="1"/>
  <c r="J7" i="1"/>
  <c r="I7" i="1"/>
  <c r="I3" i="1" s="1"/>
  <c r="I12" i="1" s="1"/>
  <c r="F5" i="1"/>
  <c r="E5" i="1"/>
  <c r="D5" i="1"/>
  <c r="K13" i="1" l="1"/>
  <c r="L13" i="1"/>
  <c r="M13" i="1" s="1"/>
  <c r="N13" i="1" s="1"/>
  <c r="I4" i="1"/>
  <c r="J3" i="1"/>
  <c r="J12" i="1" s="1"/>
  <c r="K3" i="1" l="1"/>
  <c r="K12" i="1" s="1"/>
  <c r="J4" i="1"/>
  <c r="H5" i="1" s="1"/>
  <c r="L7" i="1"/>
  <c r="M7" i="1"/>
  <c r="G5" i="1"/>
  <c r="K4" i="1" l="1"/>
  <c r="L3" i="1"/>
  <c r="L12" i="1" s="1"/>
  <c r="M3" i="1" l="1"/>
  <c r="M12" i="1" s="1"/>
  <c r="L4" i="1"/>
  <c r="J5" i="1" s="1"/>
  <c r="N7" i="1"/>
  <c r="I5" i="1"/>
  <c r="N3" i="1" l="1"/>
  <c r="M4" i="1"/>
  <c r="N4" i="1" l="1"/>
  <c r="N5" i="1" s="1"/>
  <c r="N12" i="1"/>
  <c r="M5" i="1"/>
  <c r="K5" i="1"/>
  <c r="L5" i="1"/>
  <c r="E5" i="4"/>
  <c r="E6" i="4" s="1"/>
  <c r="D6" i="4"/>
</calcChain>
</file>

<file path=xl/sharedStrings.xml><?xml version="1.0" encoding="utf-8"?>
<sst xmlns="http://schemas.openxmlformats.org/spreadsheetml/2006/main" count="128" uniqueCount="109">
  <si>
    <t>Figures in $ Mn</t>
  </si>
  <si>
    <t>Historical</t>
  </si>
  <si>
    <t>Projected</t>
  </si>
  <si>
    <t>Sales</t>
  </si>
  <si>
    <t>% Growth Rate</t>
  </si>
  <si>
    <t>Cost of Goods Sold(COGS)</t>
  </si>
  <si>
    <t>Gross Profit</t>
  </si>
  <si>
    <t>% Gross Profit</t>
  </si>
  <si>
    <t>Other operating expenses</t>
  </si>
  <si>
    <t>Depreciation and Amortization</t>
  </si>
  <si>
    <t>Amortization</t>
  </si>
  <si>
    <t>Depreciation</t>
  </si>
  <si>
    <t>Operating Profit(EBIT)</t>
  </si>
  <si>
    <t>% Operating Profit</t>
  </si>
  <si>
    <t>Interest Expenses</t>
  </si>
  <si>
    <t>PBT</t>
  </si>
  <si>
    <t>Tax Expenses</t>
  </si>
  <si>
    <t>Tax Rate</t>
  </si>
  <si>
    <t>3 Year Moving Average</t>
  </si>
  <si>
    <t>Forecasted Growth Rate</t>
  </si>
  <si>
    <t>Current Assets</t>
  </si>
  <si>
    <t>Debtors</t>
  </si>
  <si>
    <t>Inventory</t>
  </si>
  <si>
    <t>Other Current Assets</t>
  </si>
  <si>
    <t>Total Current Assets</t>
  </si>
  <si>
    <t>Current Liabilities</t>
  </si>
  <si>
    <t>Creditors</t>
  </si>
  <si>
    <t>Accrued Income Tax Payable</t>
  </si>
  <si>
    <t>Other accurals</t>
  </si>
  <si>
    <t>Total Current Liabilities</t>
  </si>
  <si>
    <t>Net Working Capital</t>
  </si>
  <si>
    <t>Changes in Working Capital</t>
  </si>
  <si>
    <t>Debtor Days</t>
  </si>
  <si>
    <t>Inventory Days</t>
  </si>
  <si>
    <t>Other current assets as % of revenue</t>
  </si>
  <si>
    <t>Creditor  Days</t>
  </si>
  <si>
    <t>Accrued Income Tax Payable as % of Income tax</t>
  </si>
  <si>
    <t>Other accurals as % of operating expenses</t>
  </si>
  <si>
    <t>Debt Schedule</t>
  </si>
  <si>
    <t>Operating Balance</t>
  </si>
  <si>
    <t>Add/less: Debt taken/repaid</t>
  </si>
  <si>
    <t>Closing Balance</t>
  </si>
  <si>
    <t>% Interest Paid</t>
  </si>
  <si>
    <t>Fixed Assets Schedule</t>
  </si>
  <si>
    <t>Opening Balance</t>
  </si>
  <si>
    <t>Add: Net Purchases</t>
  </si>
  <si>
    <t>Total Fixed Assets</t>
  </si>
  <si>
    <t>Less: Depreciation</t>
  </si>
  <si>
    <t>Rate of Depreciation</t>
  </si>
  <si>
    <t>Fixed Asset Turnover Ratio</t>
  </si>
  <si>
    <t>Other Intangible Assets Schedule</t>
  </si>
  <si>
    <t>Total Intangible Assets</t>
  </si>
  <si>
    <t>Less: Amortization</t>
  </si>
  <si>
    <t>Rate of Amortization</t>
  </si>
  <si>
    <t>Risk-free Rate</t>
  </si>
  <si>
    <t>Cost of Debt</t>
  </si>
  <si>
    <t>Risk Free Rate</t>
  </si>
  <si>
    <t>Add: Company Risk premium</t>
  </si>
  <si>
    <t>Add: Country Risk premium</t>
  </si>
  <si>
    <t>Tax Rates</t>
  </si>
  <si>
    <t>Post-tax cost of debt</t>
  </si>
  <si>
    <t>Cost of Equity</t>
  </si>
  <si>
    <t>Beta</t>
  </si>
  <si>
    <t>Return on Markets</t>
  </si>
  <si>
    <t>Calculation of return on market</t>
  </si>
  <si>
    <t>Start Date</t>
  </si>
  <si>
    <t>Valuation Date</t>
  </si>
  <si>
    <t>Years</t>
  </si>
  <si>
    <t>CAGR</t>
  </si>
  <si>
    <t>Calculation of Beta</t>
  </si>
  <si>
    <t>Last 3 years weekly data</t>
  </si>
  <si>
    <t>Date</t>
  </si>
  <si>
    <t>Adj Close(Market)</t>
  </si>
  <si>
    <t>Return of Market</t>
  </si>
  <si>
    <t>Adjusted Close(Stock)</t>
  </si>
  <si>
    <t>Return of Alphabet</t>
  </si>
  <si>
    <t>Calculation of Market Value Weights</t>
  </si>
  <si>
    <t>Shares Outstanding</t>
  </si>
  <si>
    <t>Price Per share</t>
  </si>
  <si>
    <t>Value of Equity Shares</t>
  </si>
  <si>
    <t>Value of Debt</t>
  </si>
  <si>
    <r>
      <t>K</t>
    </r>
    <r>
      <rPr>
        <sz val="10"/>
        <color theme="1"/>
        <rFont val="Calibri"/>
        <family val="2"/>
        <scheme val="minor"/>
      </rPr>
      <t>d</t>
    </r>
  </si>
  <si>
    <r>
      <t>W</t>
    </r>
    <r>
      <rPr>
        <sz val="10"/>
        <color theme="1"/>
        <rFont val="Calibri"/>
        <family val="2"/>
        <scheme val="minor"/>
      </rPr>
      <t>d</t>
    </r>
  </si>
  <si>
    <r>
      <t>K</t>
    </r>
    <r>
      <rPr>
        <sz val="10"/>
        <color theme="1"/>
        <rFont val="Calibri"/>
        <family val="2"/>
        <scheme val="minor"/>
      </rPr>
      <t>e</t>
    </r>
  </si>
  <si>
    <r>
      <t>W</t>
    </r>
    <r>
      <rPr>
        <sz val="10"/>
        <color theme="1"/>
        <rFont val="Calibri"/>
        <family val="2"/>
        <scheme val="minor"/>
      </rPr>
      <t>e</t>
    </r>
  </si>
  <si>
    <t>WACC</t>
  </si>
  <si>
    <t>EBIT</t>
  </si>
  <si>
    <t>Less: Taxes</t>
  </si>
  <si>
    <t>NOPAT</t>
  </si>
  <si>
    <t>Add: Depreciation &amp; Amortization</t>
  </si>
  <si>
    <t>Add/Less: Working Capital Changes</t>
  </si>
  <si>
    <t>Less: Investments in Fixed assets</t>
  </si>
  <si>
    <t>FCF</t>
  </si>
  <si>
    <t>Discount Factor</t>
  </si>
  <si>
    <t>Present Value of Explicit Period</t>
  </si>
  <si>
    <t>Exit Multiple</t>
  </si>
  <si>
    <t>EV/EBITDA</t>
  </si>
  <si>
    <t>EBITDA</t>
  </si>
  <si>
    <t>Enterprise Value</t>
  </si>
  <si>
    <t>Present Value of Terminal Balue</t>
  </si>
  <si>
    <t>Total Present value of Operations</t>
  </si>
  <si>
    <t>Add: Non operating assets including cash</t>
  </si>
  <si>
    <t>Value of the firm</t>
  </si>
  <si>
    <t>Less: Debt</t>
  </si>
  <si>
    <t>Less: Non controlling Interest</t>
  </si>
  <si>
    <t>Value of equity</t>
  </si>
  <si>
    <t>Shares outstanding</t>
  </si>
  <si>
    <t>Value per share(26/01/2023)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</si>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</sst>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3" fillId="0" borderId="2" xfId="0" applyFont="1" applyBorder="1"/>
    <xf numFmtId="0" fontId="0" fillId="0" borderId="0" xfId="1" applyNumberFormat="1" applyFont="1"/>
    <xf numFmtId="0" fontId="0" fillId="0" borderId="1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2" xfId="0" applyNumberFormat="1" applyBorder="1"/>
    <xf numFmtId="0" fontId="3" fillId="0" borderId="0" xfId="0" applyFont="1"/>
    <xf numFmtId="10" fontId="3" fillId="0" borderId="0" xfId="1" applyNumberFormat="1" applyFont="1"/>
    <xf numFmtId="3" fontId="3" fillId="0" borderId="0" xfId="0" applyNumberFormat="1" applyFont="1"/>
    <xf numFmtId="0" fontId="3" fillId="0" borderId="0" xfId="1" applyNumberFormat="1" applyFont="1"/>
    <xf numFmtId="0" fontId="2" fillId="0" borderId="0" xfId="0" applyFont="1"/>
    <xf numFmtId="2" fontId="0" fillId="0" borderId="0" xfId="0" applyNumberFormat="1"/>
    <xf numFmtId="9" fontId="0" fillId="0" borderId="2" xfId="1" applyFont="1" applyBorder="1"/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0" fontId="2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9" fontId="0" fillId="0" borderId="0" xfId="1" applyFont="1"/>
    <xf numFmtId="164" fontId="0" fillId="0" borderId="2" xfId="0" applyNumberFormat="1" applyBorder="1"/>
    <xf numFmtId="0" fontId="0" fillId="0" borderId="2" xfId="0" applyFont="1" applyBorder="1"/>
    <xf numFmtId="10" fontId="3" fillId="0" borderId="2" xfId="1" applyNumberFormat="1" applyFont="1" applyBorder="1"/>
    <xf numFmtId="2" fontId="3" fillId="0" borderId="0" xfId="0" applyNumberFormat="1" applyFont="1"/>
    <xf numFmtId="164" fontId="3" fillId="0" borderId="2" xfId="1" applyNumberFormat="1" applyFont="1" applyBorder="1"/>
    <xf numFmtId="164" fontId="3" fillId="0" borderId="0" xfId="1" applyNumberFormat="1" applyFont="1"/>
    <xf numFmtId="1" fontId="3" fillId="0" borderId="0" xfId="0" applyNumberFormat="1" applyFont="1"/>
    <xf numFmtId="15" fontId="0" fillId="0" borderId="0" xfId="0" applyNumberFormat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14" fontId="0" fillId="0" borderId="0" xfId="0" applyNumberFormat="1"/>
    <xf numFmtId="0" fontId="0" fillId="0" borderId="4" xfId="0" applyBorder="1"/>
    <xf numFmtId="0" fontId="0" fillId="0" borderId="9" xfId="0" applyBorder="1"/>
    <xf numFmtId="3" fontId="0" fillId="0" borderId="2" xfId="0" applyNumberFormat="1" applyBorder="1"/>
    <xf numFmtId="3" fontId="5" fillId="0" borderId="0" xfId="0" applyNumberFormat="1" applyFont="1"/>
    <xf numFmtId="0" fontId="0" fillId="0" borderId="6" xfId="0" applyBorder="1"/>
    <xf numFmtId="10" fontId="0" fillId="0" borderId="4" xfId="0" applyNumberFormat="1" applyBorder="1"/>
    <xf numFmtId="0" fontId="2" fillId="0" borderId="7" xfId="0" applyFont="1" applyBorder="1"/>
    <xf numFmtId="10" fontId="0" fillId="0" borderId="3" xfId="1" applyNumberFormat="1" applyFont="1" applyBorder="1"/>
    <xf numFmtId="10" fontId="0" fillId="0" borderId="9" xfId="1" applyNumberFormat="1" applyFont="1" applyBorder="1"/>
    <xf numFmtId="15" fontId="0" fillId="0" borderId="0" xfId="0" applyNumberFormat="1" applyBorder="1"/>
    <xf numFmtId="2" fontId="0" fillId="0" borderId="0" xfId="0" applyNumberFormat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8" xfId="0" applyFont="1" applyFill="1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0B3E-A164-4487-9855-82C1E596ACB6}">
  <sheetPr>
    <tabColor theme="4" tint="-0.499984740745262"/>
  </sheetPr>
  <dimension ref="A1:N30"/>
  <sheetViews>
    <sheetView showGridLines="0" workbookViewId="0">
      <selection activeCell="R6" sqref="R6"/>
    </sheetView>
  </sheetViews>
  <sheetFormatPr defaultRowHeight="15" x14ac:dyDescent="0.25"/>
  <cols>
    <col min="1" max="1" width="16.7109375" customWidth="1"/>
    <col min="9" max="14" width="9.5703125" bestFit="1" customWidth="1"/>
  </cols>
  <sheetData>
    <row r="1" spans="1:14" x14ac:dyDescent="0.25">
      <c r="A1" s="14" t="s">
        <v>0</v>
      </c>
      <c r="C1" s="4"/>
      <c r="D1" s="21" t="s">
        <v>1</v>
      </c>
      <c r="E1" s="21"/>
      <c r="F1" s="21"/>
      <c r="G1" s="21"/>
      <c r="H1" s="21"/>
      <c r="I1" s="21"/>
      <c r="J1" s="22" t="s">
        <v>2</v>
      </c>
      <c r="K1" s="22"/>
      <c r="L1" s="22"/>
      <c r="M1" s="22"/>
      <c r="N1" s="22"/>
    </row>
    <row r="2" spans="1:14" x14ac:dyDescent="0.25">
      <c r="A2" s="1"/>
      <c r="B2" s="1"/>
      <c r="C2" s="5"/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</row>
    <row r="3" spans="1:14" x14ac:dyDescent="0.25">
      <c r="A3" s="14" t="s">
        <v>3</v>
      </c>
      <c r="C3" s="4">
        <v>90272</v>
      </c>
      <c r="D3" s="10">
        <v>110855</v>
      </c>
      <c r="E3" s="10">
        <v>136819</v>
      </c>
      <c r="F3" s="10">
        <v>161857</v>
      </c>
      <c r="G3" s="10">
        <v>182527</v>
      </c>
      <c r="H3" s="10">
        <v>257637</v>
      </c>
      <c r="I3" s="18">
        <f>H3*(1+I7)</f>
        <v>307250.3859467709</v>
      </c>
      <c r="J3" s="18">
        <f t="shared" ref="J3:N3" si="0">I3*(1+J7)</f>
        <v>346696.85635819897</v>
      </c>
      <c r="K3" s="18">
        <f t="shared" si="0"/>
        <v>469769.24577018851</v>
      </c>
      <c r="L3" s="18">
        <f t="shared" si="0"/>
        <v>599593.9424640229</v>
      </c>
      <c r="M3" s="18">
        <f t="shared" si="0"/>
        <v>661109.09527137841</v>
      </c>
      <c r="N3" s="18">
        <f t="shared" si="0"/>
        <v>863753.12828498054</v>
      </c>
    </row>
    <row r="4" spans="1:14" x14ac:dyDescent="0.25">
      <c r="A4" t="s">
        <v>4</v>
      </c>
      <c r="C4" s="4"/>
      <c r="D4" s="11">
        <f>D3/C3-1</f>
        <v>0.22801090038993266</v>
      </c>
      <c r="E4" s="11">
        <f>E3/D3-1</f>
        <v>0.23421586757475987</v>
      </c>
      <c r="F4" s="11">
        <f t="shared" ref="F4:H4" si="1">F3/E3-1</f>
        <v>0.18300089899794614</v>
      </c>
      <c r="G4" s="11">
        <f t="shared" si="1"/>
        <v>0.12770532012826141</v>
      </c>
      <c r="H4" s="11">
        <f t="shared" si="1"/>
        <v>0.41150076427049154</v>
      </c>
      <c r="I4" s="7">
        <f t="shared" ref="I4" si="2">I3/H3-1</f>
        <v>0.19257088829155311</v>
      </c>
      <c r="J4" s="7">
        <f t="shared" ref="J4" si="3">J3/I3-1</f>
        <v>0.12838542184373991</v>
      </c>
      <c r="K4" s="7">
        <f t="shared" ref="K4" si="4">K3/J3-1</f>
        <v>0.35498559376850558</v>
      </c>
      <c r="L4" s="7">
        <f t="shared" ref="L4" si="5">L3/K3-1</f>
        <v>0.27635844164508105</v>
      </c>
      <c r="M4" s="7">
        <f t="shared" ref="M4" si="6">M3/L3-1</f>
        <v>0.10259468692188567</v>
      </c>
      <c r="N4" s="7">
        <f t="shared" ref="N4" si="7">N3/M3-1</f>
        <v>0.30652132070640903</v>
      </c>
    </row>
    <row r="5" spans="1:14" x14ac:dyDescent="0.25">
      <c r="A5" t="s">
        <v>18</v>
      </c>
      <c r="C5" s="4"/>
      <c r="D5" s="11">
        <f>AVERAGE(D4:F4)</f>
        <v>0.21507588898754623</v>
      </c>
      <c r="E5" s="11">
        <f t="shared" ref="E5:H5" si="8">AVERAGE(E4:G4)</f>
        <v>0.18164069556698914</v>
      </c>
      <c r="F5" s="11">
        <f t="shared" si="8"/>
        <v>0.24073566113223302</v>
      </c>
      <c r="G5" s="11">
        <f t="shared" si="8"/>
        <v>0.24392565756343534</v>
      </c>
      <c r="H5" s="11">
        <f t="shared" si="8"/>
        <v>0.24415235813526151</v>
      </c>
      <c r="I5" s="7">
        <f t="shared" ref="I5" si="9">AVERAGE(I4:K4)</f>
        <v>0.22531396796793288</v>
      </c>
      <c r="J5" s="7">
        <f t="shared" ref="J5" si="10">AVERAGE(J4:L4)</f>
        <v>0.25324315241910883</v>
      </c>
      <c r="K5" s="7">
        <f t="shared" ref="K5" si="11">AVERAGE(K4:M4)</f>
        <v>0.24464624077849076</v>
      </c>
      <c r="L5" s="7">
        <f t="shared" ref="L5" si="12">AVERAGE(L4:N4)</f>
        <v>0.22849148309112524</v>
      </c>
      <c r="M5" s="7">
        <f t="shared" ref="M5" si="13">AVERAGE(M4:O4)</f>
        <v>0.20455800381414735</v>
      </c>
      <c r="N5" s="7">
        <f t="shared" ref="N5" si="14">AVERAGE(N4:P4)</f>
        <v>0.30652132070640903</v>
      </c>
    </row>
    <row r="6" spans="1:14" x14ac:dyDescent="0.25">
      <c r="C6" s="4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</row>
    <row r="7" spans="1:14" x14ac:dyDescent="0.25">
      <c r="A7" s="14" t="s">
        <v>19</v>
      </c>
      <c r="C7" s="4"/>
      <c r="D7" s="10"/>
      <c r="E7" s="11"/>
      <c r="F7" s="11"/>
      <c r="G7" s="11"/>
      <c r="H7" s="11"/>
      <c r="I7" s="7">
        <f>FORECAST(I6,D4:F4,G6:I6)</f>
        <v>0.192570888291553</v>
      </c>
      <c r="J7" s="7">
        <f t="shared" ref="J7:N7" si="15">FORECAST(J6,E4:G4,H6:J6)</f>
        <v>0.12838542184373991</v>
      </c>
      <c r="K7" s="7">
        <f t="shared" si="15"/>
        <v>0.35498559376850569</v>
      </c>
      <c r="L7" s="7">
        <f t="shared" si="15"/>
        <v>0.27635844164508117</v>
      </c>
      <c r="M7" s="7">
        <f t="shared" si="15"/>
        <v>0.10259468692188567</v>
      </c>
      <c r="N7" s="7">
        <f t="shared" si="15"/>
        <v>0.30652132070640914</v>
      </c>
    </row>
    <row r="8" spans="1:14" x14ac:dyDescent="0.25">
      <c r="C8" s="4"/>
      <c r="D8" s="10"/>
      <c r="E8" s="11"/>
      <c r="F8" s="11"/>
      <c r="G8" s="11"/>
      <c r="H8" s="13"/>
      <c r="K8" s="3"/>
      <c r="N8" s="3"/>
    </row>
    <row r="9" spans="1:14" x14ac:dyDescent="0.25">
      <c r="C9" s="4"/>
      <c r="D9" s="10"/>
      <c r="E9" s="11"/>
      <c r="F9" s="11"/>
      <c r="G9" s="11"/>
      <c r="H9" s="11"/>
    </row>
    <row r="10" spans="1:14" x14ac:dyDescent="0.25">
      <c r="C10" s="4"/>
      <c r="D10" s="10"/>
      <c r="E10" s="10"/>
      <c r="F10" s="10"/>
      <c r="G10" s="10"/>
      <c r="H10" s="10"/>
    </row>
    <row r="11" spans="1:14" x14ac:dyDescent="0.25">
      <c r="A11" t="s">
        <v>5</v>
      </c>
      <c r="C11" s="4"/>
      <c r="D11" s="10">
        <v>45583</v>
      </c>
      <c r="E11" s="10">
        <v>59549</v>
      </c>
      <c r="F11" s="10">
        <v>71896</v>
      </c>
      <c r="G11" s="10">
        <v>84732</v>
      </c>
      <c r="H11" s="10">
        <v>110939</v>
      </c>
      <c r="I11">
        <v>137146</v>
      </c>
      <c r="J11">
        <v>163353</v>
      </c>
      <c r="K11">
        <v>189560</v>
      </c>
      <c r="L11">
        <v>215767</v>
      </c>
      <c r="M11">
        <v>241974</v>
      </c>
      <c r="N11">
        <v>268181</v>
      </c>
    </row>
    <row r="12" spans="1:14" x14ac:dyDescent="0.25">
      <c r="A12" s="14" t="s">
        <v>6</v>
      </c>
      <c r="C12" s="4"/>
      <c r="D12" s="12">
        <f>D3-D11</f>
        <v>65272</v>
      </c>
      <c r="E12" s="12">
        <f t="shared" ref="E12:H12" si="16">E3-E11</f>
        <v>77270</v>
      </c>
      <c r="F12" s="12">
        <f t="shared" si="16"/>
        <v>89961</v>
      </c>
      <c r="G12" s="12">
        <f t="shared" si="16"/>
        <v>97795</v>
      </c>
      <c r="H12" s="12">
        <f t="shared" si="16"/>
        <v>146698</v>
      </c>
      <c r="I12" s="6">
        <f>I3*I13</f>
        <v>172954.50816951663</v>
      </c>
      <c r="J12" s="6">
        <f t="shared" ref="J12:N12" si="17">J3*J13</f>
        <v>193363.83270226303</v>
      </c>
      <c r="K12" s="6">
        <f t="shared" si="17"/>
        <v>261344.80361124992</v>
      </c>
      <c r="L12" s="6">
        <f t="shared" si="17"/>
        <v>333632.06133716734</v>
      </c>
      <c r="M12" s="6">
        <f t="shared" si="17"/>
        <v>370590.8242043248</v>
      </c>
      <c r="N12" s="6">
        <f t="shared" si="17"/>
        <v>482657.90993802861</v>
      </c>
    </row>
    <row r="13" spans="1:14" x14ac:dyDescent="0.25">
      <c r="A13" t="s">
        <v>7</v>
      </c>
      <c r="C13" s="4"/>
      <c r="D13" s="11">
        <f>D12/D3</f>
        <v>0.58880519597672631</v>
      </c>
      <c r="E13" s="11">
        <f t="shared" ref="E13:H13" si="18">E12/E3</f>
        <v>0.5647607422945643</v>
      </c>
      <c r="F13" s="11">
        <f t="shared" si="18"/>
        <v>0.5558054331910266</v>
      </c>
      <c r="G13" s="11">
        <f t="shared" si="18"/>
        <v>0.53578374706207854</v>
      </c>
      <c r="H13" s="11">
        <f t="shared" si="18"/>
        <v>0.5693980290098084</v>
      </c>
      <c r="I13" s="7">
        <f>AVERAGE(D13:H13)</f>
        <v>0.5629106295068409</v>
      </c>
      <c r="J13" s="7">
        <f t="shared" ref="J13:N13" si="19">AVERAGE(E13:I13)</f>
        <v>0.55773171621286377</v>
      </c>
      <c r="K13" s="7">
        <f t="shared" si="19"/>
        <v>0.55632591099652362</v>
      </c>
      <c r="L13" s="7">
        <f t="shared" si="19"/>
        <v>0.55643000655762309</v>
      </c>
      <c r="M13" s="7">
        <f t="shared" si="19"/>
        <v>0.56055925845673193</v>
      </c>
      <c r="N13" s="7">
        <f t="shared" si="19"/>
        <v>0.55879150434611669</v>
      </c>
    </row>
    <row r="14" spans="1:14" x14ac:dyDescent="0.25">
      <c r="C14" s="4"/>
      <c r="D14" s="11"/>
      <c r="E14" s="11"/>
      <c r="F14" s="11"/>
      <c r="G14" s="11"/>
      <c r="H14" s="11"/>
      <c r="I14" s="7"/>
      <c r="J14" s="7"/>
      <c r="K14" s="7"/>
      <c r="L14" s="7"/>
      <c r="M14" s="7"/>
      <c r="N14" s="7"/>
    </row>
    <row r="15" spans="1:14" x14ac:dyDescent="0.25">
      <c r="A15" s="14" t="s">
        <v>8</v>
      </c>
      <c r="C15" s="4"/>
      <c r="D15" s="10">
        <v>1047</v>
      </c>
      <c r="E15" s="10">
        <v>8592</v>
      </c>
      <c r="F15" s="10">
        <v>5394</v>
      </c>
      <c r="G15" s="10">
        <v>6858</v>
      </c>
      <c r="H15" s="10">
        <v>12020</v>
      </c>
      <c r="I15" s="6">
        <f>I12-I17-I21</f>
        <v>62451.981029594506</v>
      </c>
      <c r="J15" s="6">
        <f t="shared" ref="J15:N15" si="20">J12-J17-J21</f>
        <v>69105.049068580527</v>
      </c>
      <c r="K15" s="6">
        <f t="shared" si="20"/>
        <v>89299.228796037889</v>
      </c>
      <c r="L15" s="6">
        <f t="shared" si="20"/>
        <v>111448.18172928461</v>
      </c>
      <c r="M15" s="6">
        <f t="shared" si="20"/>
        <v>124227.10314001903</v>
      </c>
      <c r="N15" s="6">
        <f t="shared" si="20"/>
        <v>167929.47151891098</v>
      </c>
    </row>
    <row r="16" spans="1:14" x14ac:dyDescent="0.25">
      <c r="C16" s="4"/>
      <c r="D16" s="10"/>
      <c r="E16" s="10"/>
      <c r="F16" s="10"/>
      <c r="G16" s="10"/>
      <c r="H16" s="10"/>
    </row>
    <row r="17" spans="1:14" x14ac:dyDescent="0.25">
      <c r="A17" s="14" t="s">
        <v>9</v>
      </c>
      <c r="C17" s="4"/>
      <c r="D17" s="10">
        <f>D18+D19</f>
        <v>6825</v>
      </c>
      <c r="E17" s="10">
        <f t="shared" ref="E17:H17" si="21">E18+E19</f>
        <v>9035</v>
      </c>
      <c r="F17" s="10">
        <f t="shared" si="21"/>
        <v>11781</v>
      </c>
      <c r="G17" s="10">
        <f t="shared" si="21"/>
        <v>13697</v>
      </c>
      <c r="H17" s="10">
        <f t="shared" si="21"/>
        <v>12441</v>
      </c>
      <c r="I17" s="18">
        <f>I19+I18</f>
        <v>38504.205700239763</v>
      </c>
      <c r="J17" s="18">
        <f t="shared" ref="J17:N17" si="22">J19+J18</f>
        <v>43122.777353465404</v>
      </c>
      <c r="K17" s="18">
        <f t="shared" si="22"/>
        <v>58194.50846794276</v>
      </c>
      <c r="L17" s="18">
        <f t="shared" si="22"/>
        <v>73234.359597560382</v>
      </c>
      <c r="M17" s="18">
        <f t="shared" si="22"/>
        <v>79149.080332075275</v>
      </c>
      <c r="N17" s="18">
        <f t="shared" si="22"/>
        <v>105344.31637430118</v>
      </c>
    </row>
    <row r="18" spans="1:14" x14ac:dyDescent="0.25">
      <c r="A18" t="s">
        <v>10</v>
      </c>
      <c r="C18" s="4"/>
      <c r="D18" s="10">
        <v>812</v>
      </c>
      <c r="E18" s="10">
        <v>871</v>
      </c>
      <c r="F18" s="10">
        <v>925</v>
      </c>
      <c r="G18" s="10">
        <v>792</v>
      </c>
      <c r="H18" s="10">
        <v>886</v>
      </c>
      <c r="I18" s="18">
        <f>'Fixed Asset Schedule'!I20</f>
        <v>958.71582015396336</v>
      </c>
      <c r="J18" s="18">
        <f>'Fixed Asset Schedule'!J20</f>
        <v>898.96326170253701</v>
      </c>
      <c r="K18" s="18">
        <f>'Fixed Asset Schedule'!K20</f>
        <v>838.74696025317769</v>
      </c>
      <c r="L18" s="18">
        <f>'Fixed Asset Schedule'!L20</f>
        <v>792.55372305528522</v>
      </c>
      <c r="M18" s="18">
        <f>'Fixed Asset Schedule'!M20</f>
        <v>773.48575837532792</v>
      </c>
      <c r="N18" s="18">
        <f>'Fixed Asset Schedule'!N20</f>
        <v>752.3680391473091</v>
      </c>
    </row>
    <row r="19" spans="1:14" x14ac:dyDescent="0.25">
      <c r="A19" t="s">
        <v>11</v>
      </c>
      <c r="C19" s="4"/>
      <c r="D19" s="10">
        <v>6013</v>
      </c>
      <c r="E19" s="10">
        <v>8164</v>
      </c>
      <c r="F19" s="10">
        <v>10856</v>
      </c>
      <c r="G19" s="10">
        <v>12905</v>
      </c>
      <c r="H19" s="10">
        <v>11555</v>
      </c>
      <c r="I19" s="18">
        <f>'Fixed Asset Schedule'!I8</f>
        <v>37545.489880085799</v>
      </c>
      <c r="J19" s="18">
        <f>'Fixed Asset Schedule'!J8</f>
        <v>42223.81409176287</v>
      </c>
      <c r="K19" s="18">
        <f>'Fixed Asset Schedule'!K8</f>
        <v>57355.761507689582</v>
      </c>
      <c r="L19" s="18">
        <f>'Fixed Asset Schedule'!L8</f>
        <v>72441.805874505095</v>
      </c>
      <c r="M19" s="18">
        <f>'Fixed Asset Schedule'!M8</f>
        <v>78375.594573699942</v>
      </c>
      <c r="N19" s="18">
        <f>'Fixed Asset Schedule'!N8</f>
        <v>104591.94833515388</v>
      </c>
    </row>
    <row r="20" spans="1:14" x14ac:dyDescent="0.25">
      <c r="C20" s="4"/>
      <c r="D20" s="10"/>
      <c r="E20" s="10"/>
      <c r="F20" s="10"/>
      <c r="G20" s="10"/>
      <c r="H20" s="10"/>
    </row>
    <row r="21" spans="1:14" x14ac:dyDescent="0.25">
      <c r="A21" s="14" t="s">
        <v>12</v>
      </c>
      <c r="C21" s="4"/>
      <c r="D21" s="10">
        <v>26146</v>
      </c>
      <c r="E21" s="10">
        <v>26321</v>
      </c>
      <c r="F21" s="10">
        <v>34321</v>
      </c>
      <c r="G21" s="10">
        <v>41224</v>
      </c>
      <c r="H21" s="10">
        <v>78714</v>
      </c>
      <c r="I21">
        <f>I3*I22</f>
        <v>71998.321439682375</v>
      </c>
      <c r="J21">
        <f t="shared" ref="J21:N21" si="23">J3*J22</f>
        <v>81136.006280217087</v>
      </c>
      <c r="K21">
        <f t="shared" si="23"/>
        <v>113851.06634726927</v>
      </c>
      <c r="L21">
        <f t="shared" si="23"/>
        <v>148949.52001032236</v>
      </c>
      <c r="M21">
        <f t="shared" si="23"/>
        <v>167214.64073223047</v>
      </c>
      <c r="N21">
        <f t="shared" si="23"/>
        <v>209384.12204481647</v>
      </c>
    </row>
    <row r="22" spans="1:14" x14ac:dyDescent="0.25">
      <c r="A22" t="s">
        <v>13</v>
      </c>
      <c r="C22" s="4"/>
      <c r="D22" s="11">
        <f>D21/D3</f>
        <v>0.23585765188760091</v>
      </c>
      <c r="E22" s="11">
        <f t="shared" ref="E22:H22" si="24">E21/E3</f>
        <v>0.19237825155862856</v>
      </c>
      <c r="F22" s="11">
        <f t="shared" si="24"/>
        <v>0.21204520039293945</v>
      </c>
      <c r="G22" s="11">
        <f t="shared" si="24"/>
        <v>0.22585151785763202</v>
      </c>
      <c r="H22" s="11">
        <f t="shared" si="24"/>
        <v>0.3055228868524319</v>
      </c>
      <c r="I22" s="8">
        <f>AVERAGE(D22:H22)</f>
        <v>0.23433110170984656</v>
      </c>
      <c r="J22" s="8">
        <f t="shared" ref="J22:N22" si="25">AVERAGE(E22:I22)</f>
        <v>0.23402579167429569</v>
      </c>
      <c r="K22" s="8">
        <f t="shared" si="25"/>
        <v>0.24235529969742911</v>
      </c>
      <c r="L22" s="8">
        <f t="shared" si="25"/>
        <v>0.24841731955832708</v>
      </c>
      <c r="M22" s="8">
        <f t="shared" si="25"/>
        <v>0.25293047989846607</v>
      </c>
      <c r="N22" s="8">
        <f t="shared" si="25"/>
        <v>0.24241199850767287</v>
      </c>
    </row>
    <row r="23" spans="1:14" x14ac:dyDescent="0.25">
      <c r="C23" s="4"/>
      <c r="D23" s="10"/>
      <c r="E23" s="10"/>
      <c r="F23" s="10"/>
      <c r="G23" s="10"/>
      <c r="H23" s="10"/>
    </row>
    <row r="24" spans="1:14" x14ac:dyDescent="0.25">
      <c r="C24" s="4"/>
      <c r="D24" s="10"/>
      <c r="E24" s="10"/>
      <c r="F24" s="10"/>
      <c r="G24" s="10"/>
      <c r="H24" s="10"/>
    </row>
    <row r="25" spans="1:14" x14ac:dyDescent="0.25">
      <c r="A25" t="s">
        <v>14</v>
      </c>
      <c r="C25" s="4"/>
      <c r="D25" s="10">
        <v>109</v>
      </c>
      <c r="E25" s="10">
        <v>114</v>
      </c>
      <c r="F25" s="10">
        <v>100</v>
      </c>
      <c r="G25" s="10">
        <v>135</v>
      </c>
      <c r="H25" s="10">
        <v>346</v>
      </c>
      <c r="I25" s="18">
        <f>'Debt Schedule'!H8</f>
        <v>402.51012518989432</v>
      </c>
      <c r="J25" s="18">
        <f>'Debt Schedule'!I8</f>
        <v>395.86565671846154</v>
      </c>
      <c r="K25" s="18">
        <f>'Debt Schedule'!J8</f>
        <v>387.09451311873937</v>
      </c>
      <c r="L25" s="18">
        <f>'Debt Schedule'!K8</f>
        <v>360.91763982857748</v>
      </c>
      <c r="M25" s="18">
        <f>'Debt Schedule'!L8</f>
        <v>323.22014756717283</v>
      </c>
      <c r="N25" s="18">
        <f>'Debt Schedule'!M8</f>
        <v>269.1649091056176</v>
      </c>
    </row>
    <row r="26" spans="1:14" x14ac:dyDescent="0.25">
      <c r="C26" s="4"/>
      <c r="D26" s="10"/>
      <c r="E26" s="10"/>
      <c r="F26" s="10"/>
      <c r="G26" s="10"/>
      <c r="H26" s="10"/>
    </row>
    <row r="27" spans="1:14" x14ac:dyDescent="0.25">
      <c r="C27" s="4"/>
      <c r="D27" s="10"/>
      <c r="E27" s="10"/>
      <c r="F27" s="10"/>
      <c r="G27" s="10"/>
      <c r="H27" s="10"/>
    </row>
    <row r="28" spans="1:14" x14ac:dyDescent="0.25">
      <c r="A28" t="s">
        <v>15</v>
      </c>
      <c r="C28" s="4"/>
      <c r="D28" s="10">
        <v>27193</v>
      </c>
      <c r="E28" s="10">
        <v>34913</v>
      </c>
      <c r="F28" s="10">
        <v>39625</v>
      </c>
      <c r="G28" s="10">
        <v>48082</v>
      </c>
      <c r="H28" s="10">
        <v>90734</v>
      </c>
      <c r="I28">
        <f>I21+I25</f>
        <v>72400.831564872264</v>
      </c>
      <c r="J28">
        <f t="shared" ref="J28:N28" si="26">J21+J25</f>
        <v>81531.871936935553</v>
      </c>
      <c r="K28">
        <f t="shared" si="26"/>
        <v>114238.160860388</v>
      </c>
      <c r="L28">
        <f t="shared" si="26"/>
        <v>149310.43765015094</v>
      </c>
      <c r="M28">
        <f t="shared" si="26"/>
        <v>167537.86087979763</v>
      </c>
      <c r="N28">
        <f t="shared" si="26"/>
        <v>209653.2869539221</v>
      </c>
    </row>
    <row r="29" spans="1:14" x14ac:dyDescent="0.25">
      <c r="A29" t="s">
        <v>16</v>
      </c>
      <c r="C29" s="4"/>
      <c r="D29" s="10">
        <v>14531</v>
      </c>
      <c r="E29" s="10">
        <v>4177</v>
      </c>
      <c r="F29" s="10">
        <v>5282</v>
      </c>
      <c r="G29" s="10">
        <v>7813</v>
      </c>
      <c r="H29" s="10">
        <v>14701</v>
      </c>
      <c r="I29">
        <f>I28*I30</f>
        <v>10452.077816165191</v>
      </c>
      <c r="J29">
        <f t="shared" ref="J29:N29" si="27">J28*J30</f>
        <v>12274.216460436173</v>
      </c>
      <c r="K29">
        <f t="shared" si="27"/>
        <v>17690.503607659848</v>
      </c>
      <c r="L29">
        <f t="shared" si="27"/>
        <v>22836.600861254636</v>
      </c>
      <c r="M29">
        <f t="shared" si="27"/>
        <v>25244.291779714982</v>
      </c>
      <c r="N29">
        <f t="shared" si="27"/>
        <v>31921.107046256944</v>
      </c>
    </row>
    <row r="30" spans="1:14" x14ac:dyDescent="0.25">
      <c r="A30" s="1" t="s">
        <v>17</v>
      </c>
      <c r="B30" s="1"/>
      <c r="C30" s="5"/>
      <c r="D30" s="30">
        <f>D29/D28</f>
        <v>0.53436546169970212</v>
      </c>
      <c r="E30" s="30">
        <f t="shared" ref="E30:H30" si="28">E29/E28</f>
        <v>0.1196402486179933</v>
      </c>
      <c r="F30" s="30">
        <f t="shared" si="28"/>
        <v>0.13329968454258675</v>
      </c>
      <c r="G30" s="30">
        <f t="shared" si="28"/>
        <v>0.16249324071378063</v>
      </c>
      <c r="H30" s="30">
        <f t="shared" si="28"/>
        <v>0.16202305640663919</v>
      </c>
      <c r="I30" s="9">
        <f>AVERAGE(E30:H30)</f>
        <v>0.14436405757024998</v>
      </c>
      <c r="J30" s="9">
        <f t="shared" ref="J30:N30" si="29">AVERAGE(F30:I30)</f>
        <v>0.15054500980831412</v>
      </c>
      <c r="K30" s="9">
        <f t="shared" si="29"/>
        <v>0.15485634112474597</v>
      </c>
      <c r="L30" s="9">
        <f t="shared" si="29"/>
        <v>0.15294711622748733</v>
      </c>
      <c r="M30" s="9">
        <f t="shared" si="29"/>
        <v>0.15067813118269935</v>
      </c>
      <c r="N30" s="9">
        <f t="shared" si="29"/>
        <v>0.1522566495858117</v>
      </c>
    </row>
  </sheetData>
  <mergeCells count="2">
    <mergeCell ref="D1:I1"/>
    <mergeCell ref="J1:N1"/>
  </mergeCells>
  <pageMargins left="0.7" right="0.7" top="0.75" bottom="0.75" header="0.3" footer="0.3"/>
  <ignoredErrors>
    <ignoredError sqref="I7:N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16AE-C40A-49DA-B710-F9A9398E920C}">
  <sheetPr>
    <tabColor theme="9" tint="-0.249977111117893"/>
  </sheetPr>
  <dimension ref="A1:N23"/>
  <sheetViews>
    <sheetView showGridLines="0" workbookViewId="0">
      <selection activeCell="D25" sqref="D25"/>
    </sheetView>
  </sheetViews>
  <sheetFormatPr defaultRowHeight="15" x14ac:dyDescent="0.25"/>
  <cols>
    <col min="1" max="1" width="25.28515625" customWidth="1"/>
    <col min="9" max="9" width="9.5703125" customWidth="1"/>
    <col min="10" max="10" width="7.5703125" customWidth="1"/>
    <col min="11" max="11" width="8.28515625" customWidth="1"/>
    <col min="12" max="14" width="7" bestFit="1" customWidth="1"/>
  </cols>
  <sheetData>
    <row r="1" spans="1:14" x14ac:dyDescent="0.25">
      <c r="A1" s="25" t="s">
        <v>0</v>
      </c>
      <c r="B1" s="26"/>
      <c r="C1" s="4"/>
      <c r="D1" s="21" t="s">
        <v>1</v>
      </c>
      <c r="E1" s="21"/>
      <c r="F1" s="21"/>
      <c r="G1" s="21"/>
      <c r="H1" s="21"/>
      <c r="I1" s="21"/>
      <c r="J1" s="22" t="s">
        <v>2</v>
      </c>
      <c r="K1" s="22"/>
      <c r="L1" s="22"/>
      <c r="M1" s="22"/>
      <c r="N1" s="22"/>
    </row>
    <row r="2" spans="1:14" x14ac:dyDescent="0.25">
      <c r="A2" s="20"/>
      <c r="B2" s="1"/>
      <c r="C2" s="5"/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2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</row>
    <row r="3" spans="1:14" x14ac:dyDescent="0.25">
      <c r="A3" s="26"/>
      <c r="B3" s="26"/>
      <c r="C3" s="4"/>
    </row>
    <row r="4" spans="1:14" x14ac:dyDescent="0.25">
      <c r="A4" s="25" t="s">
        <v>43</v>
      </c>
      <c r="B4" s="26"/>
      <c r="C4" s="4"/>
    </row>
    <row r="5" spans="1:14" x14ac:dyDescent="0.25">
      <c r="A5" s="26" t="s">
        <v>44</v>
      </c>
      <c r="B5" s="26"/>
      <c r="C5" s="4"/>
      <c r="D5" s="10">
        <f>C9</f>
        <v>34234</v>
      </c>
      <c r="E5" s="10">
        <f t="shared" ref="E5:I5" si="0">D9</f>
        <v>42383</v>
      </c>
      <c r="F5" s="10">
        <f t="shared" si="0"/>
        <v>59719</v>
      </c>
      <c r="G5" s="10">
        <f t="shared" si="0"/>
        <v>73646</v>
      </c>
      <c r="H5" s="10">
        <f t="shared" si="0"/>
        <v>84749</v>
      </c>
      <c r="I5" s="18">
        <f>H7</f>
        <v>109154</v>
      </c>
      <c r="J5" s="18">
        <f t="shared" ref="J5:N5" si="1">I7</f>
        <v>307250.3859467709</v>
      </c>
      <c r="K5" s="18">
        <f t="shared" si="1"/>
        <v>346696.85635819897</v>
      </c>
      <c r="L5" s="18">
        <f t="shared" si="1"/>
        <v>469769.24577018851</v>
      </c>
      <c r="M5" s="18">
        <f t="shared" si="1"/>
        <v>599593.9424640229</v>
      </c>
      <c r="N5" s="18">
        <f t="shared" si="1"/>
        <v>661109.09527137841</v>
      </c>
    </row>
    <row r="6" spans="1:14" x14ac:dyDescent="0.25">
      <c r="A6" s="20" t="s">
        <v>45</v>
      </c>
      <c r="B6" s="1"/>
      <c r="C6" s="5"/>
      <c r="D6" s="2">
        <f>D7-D5</f>
        <v>14162</v>
      </c>
      <c r="E6" s="2">
        <f t="shared" ref="E6:H6" si="2">E7-E5</f>
        <v>25500</v>
      </c>
      <c r="F6" s="2">
        <f t="shared" si="2"/>
        <v>24783</v>
      </c>
      <c r="G6" s="2">
        <f t="shared" si="2"/>
        <v>24008</v>
      </c>
      <c r="H6" s="2">
        <f t="shared" si="2"/>
        <v>24405</v>
      </c>
      <c r="I6" s="19">
        <f>I7-I5</f>
        <v>198096.3859467709</v>
      </c>
      <c r="J6" s="19">
        <f t="shared" ref="J6:N6" si="3">J7-J5</f>
        <v>39446.470411428076</v>
      </c>
      <c r="K6" s="19">
        <f t="shared" si="3"/>
        <v>123072.38941198954</v>
      </c>
      <c r="L6" s="19">
        <f t="shared" si="3"/>
        <v>129824.69669383438</v>
      </c>
      <c r="M6" s="19">
        <f t="shared" si="3"/>
        <v>61515.152807355509</v>
      </c>
      <c r="N6" s="19">
        <f t="shared" si="3"/>
        <v>202644.03301360214</v>
      </c>
    </row>
    <row r="7" spans="1:14" x14ac:dyDescent="0.25">
      <c r="A7" s="25" t="s">
        <v>46</v>
      </c>
      <c r="B7" s="26"/>
      <c r="C7" s="4"/>
      <c r="D7" s="10">
        <f>D9+D8</f>
        <v>48396</v>
      </c>
      <c r="E7" s="10">
        <f t="shared" ref="E7:H7" si="4">E9+E8</f>
        <v>67883</v>
      </c>
      <c r="F7" s="10">
        <f t="shared" si="4"/>
        <v>84502</v>
      </c>
      <c r="G7" s="10">
        <f t="shared" si="4"/>
        <v>97654</v>
      </c>
      <c r="H7" s="10">
        <f t="shared" si="4"/>
        <v>109154</v>
      </c>
      <c r="I7" s="18">
        <f>'Income Statement'!I3/'Fixed Asset Schedule'!I13</f>
        <v>307250.3859467709</v>
      </c>
      <c r="J7" s="18">
        <f>'Income Statement'!J3/'Fixed Asset Schedule'!J13</f>
        <v>346696.85635819897</v>
      </c>
      <c r="K7" s="18">
        <f>'Income Statement'!K3/'Fixed Asset Schedule'!K13</f>
        <v>469769.24577018851</v>
      </c>
      <c r="L7" s="18">
        <f>'Income Statement'!L3/'Fixed Asset Schedule'!L13</f>
        <v>599593.9424640229</v>
      </c>
      <c r="M7" s="18">
        <f>'Income Statement'!M3/'Fixed Asset Schedule'!M13</f>
        <v>661109.09527137841</v>
      </c>
      <c r="N7" s="18">
        <f>'Income Statement'!N3/'Fixed Asset Schedule'!N13</f>
        <v>863753.12828498054</v>
      </c>
    </row>
    <row r="8" spans="1:14" x14ac:dyDescent="0.25">
      <c r="A8" s="1" t="s">
        <v>47</v>
      </c>
      <c r="B8" s="1"/>
      <c r="C8" s="5"/>
      <c r="D8" s="2">
        <f>'Income Statement'!D19</f>
        <v>6013</v>
      </c>
      <c r="E8" s="2">
        <f>'Income Statement'!E19</f>
        <v>8164</v>
      </c>
      <c r="F8" s="2">
        <f>'Income Statement'!F19</f>
        <v>10856</v>
      </c>
      <c r="G8" s="2">
        <f>'Income Statement'!G19</f>
        <v>12905</v>
      </c>
      <c r="H8" s="2">
        <f>'Income Statement'!H19</f>
        <v>11555</v>
      </c>
      <c r="I8" s="19">
        <f>I7*I11</f>
        <v>37545.489880085799</v>
      </c>
      <c r="J8" s="19">
        <f t="shared" ref="J8:N8" si="5">J7*J11</f>
        <v>42223.81409176287</v>
      </c>
      <c r="K8" s="19">
        <f t="shared" si="5"/>
        <v>57355.761507689582</v>
      </c>
      <c r="L8" s="19">
        <f t="shared" si="5"/>
        <v>72441.805874505095</v>
      </c>
      <c r="M8" s="19">
        <f t="shared" si="5"/>
        <v>78375.594573699942</v>
      </c>
      <c r="N8" s="19">
        <f t="shared" si="5"/>
        <v>104591.94833515388</v>
      </c>
    </row>
    <row r="9" spans="1:14" x14ac:dyDescent="0.25">
      <c r="A9" s="25" t="s">
        <v>41</v>
      </c>
      <c r="B9" s="26"/>
      <c r="C9" s="4">
        <v>34234</v>
      </c>
      <c r="D9" s="10">
        <v>42383</v>
      </c>
      <c r="E9" s="10">
        <v>59719</v>
      </c>
      <c r="F9" s="10">
        <v>73646</v>
      </c>
      <c r="G9" s="10">
        <v>84749</v>
      </c>
      <c r="H9" s="10">
        <v>97599</v>
      </c>
      <c r="I9" s="18">
        <f>I7-I8</f>
        <v>269704.89606668509</v>
      </c>
      <c r="J9" s="18">
        <f t="shared" ref="J9:N9" si="6">J7-J8</f>
        <v>304473.0422664361</v>
      </c>
      <c r="K9" s="18">
        <f t="shared" si="6"/>
        <v>412413.48426249891</v>
      </c>
      <c r="L9" s="18">
        <f t="shared" si="6"/>
        <v>527152.13658951782</v>
      </c>
      <c r="M9" s="18">
        <f t="shared" si="6"/>
        <v>582733.50069767842</v>
      </c>
      <c r="N9" s="18">
        <f t="shared" si="6"/>
        <v>759161.17994982668</v>
      </c>
    </row>
    <row r="10" spans="1:14" x14ac:dyDescent="0.25">
      <c r="D10" s="10"/>
      <c r="E10" s="10"/>
      <c r="F10" s="10"/>
      <c r="G10" s="10"/>
      <c r="H10" s="10"/>
    </row>
    <row r="11" spans="1:14" x14ac:dyDescent="0.25">
      <c r="A11" s="14" t="s">
        <v>48</v>
      </c>
      <c r="D11" s="11">
        <f>D8/D7</f>
        <v>0.12424580543846599</v>
      </c>
      <c r="E11" s="11">
        <f t="shared" ref="E11:H11" si="7">E8/E7</f>
        <v>0.12026575136632146</v>
      </c>
      <c r="F11" s="11">
        <f t="shared" si="7"/>
        <v>0.12847033206314643</v>
      </c>
      <c r="G11" s="11">
        <f t="shared" si="7"/>
        <v>0.13215024474163883</v>
      </c>
      <c r="H11" s="11">
        <f t="shared" si="7"/>
        <v>0.10585961119152756</v>
      </c>
      <c r="I11" s="27">
        <f>AVERAGE(D11:H11)</f>
        <v>0.12219834896022004</v>
      </c>
      <c r="J11" s="27">
        <f t="shared" ref="J11:N11" si="8">AVERAGE(E11:I11)</f>
        <v>0.12178885766457088</v>
      </c>
      <c r="K11" s="27">
        <f t="shared" si="8"/>
        <v>0.12209347892422073</v>
      </c>
      <c r="L11" s="27">
        <f t="shared" si="8"/>
        <v>0.12081810829643561</v>
      </c>
      <c r="M11" s="27">
        <f t="shared" si="8"/>
        <v>0.11855168100739497</v>
      </c>
      <c r="N11" s="27">
        <f t="shared" si="8"/>
        <v>0.12109009497056844</v>
      </c>
    </row>
    <row r="12" spans="1:14" x14ac:dyDescent="0.25">
      <c r="D12" s="10"/>
      <c r="E12" s="10"/>
      <c r="F12" s="10"/>
      <c r="G12" s="10"/>
      <c r="H12" s="10"/>
    </row>
    <row r="13" spans="1:14" x14ac:dyDescent="0.25">
      <c r="A13" s="14" t="s">
        <v>49</v>
      </c>
      <c r="D13" s="31">
        <f>'Income Statement'!D12/'Fixed Asset Schedule'!D7</f>
        <v>1.3487065046698075</v>
      </c>
      <c r="E13" s="31">
        <f>'Income Statement'!E12/'Fixed Asset Schedule'!E7</f>
        <v>1.1382820441052988</v>
      </c>
      <c r="F13" s="31">
        <f>'Income Statement'!F12/'Fixed Asset Schedule'!F7</f>
        <v>1.0646020212539349</v>
      </c>
      <c r="G13" s="31">
        <f>'Income Statement'!G12/'Fixed Asset Schedule'!G7</f>
        <v>1.00144387326684</v>
      </c>
      <c r="H13" s="31">
        <f>'Income Statement'!H12/'Fixed Asset Schedule'!H7</f>
        <v>1.3439544130311303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5">
      <c r="D14" s="10"/>
      <c r="E14" s="10"/>
      <c r="F14" s="10"/>
      <c r="G14" s="10"/>
      <c r="H14" s="10"/>
    </row>
    <row r="15" spans="1:14" x14ac:dyDescent="0.25">
      <c r="A15" s="25" t="s">
        <v>50</v>
      </c>
      <c r="B15" s="26"/>
      <c r="C15" s="26"/>
      <c r="D15" s="10"/>
      <c r="E15" s="10"/>
      <c r="F15" s="10"/>
      <c r="G15" s="10"/>
      <c r="H15" s="10"/>
    </row>
    <row r="16" spans="1:14" x14ac:dyDescent="0.25">
      <c r="A16" s="25" t="s">
        <v>43</v>
      </c>
      <c r="B16" s="26"/>
      <c r="C16" s="26"/>
      <c r="D16" s="10"/>
      <c r="E16" s="10"/>
      <c r="F16" s="10"/>
      <c r="G16" s="10"/>
      <c r="H16" s="10"/>
    </row>
    <row r="17" spans="1:14" x14ac:dyDescent="0.25">
      <c r="A17" s="26" t="s">
        <v>44</v>
      </c>
      <c r="B17" s="26"/>
      <c r="C17" s="4"/>
      <c r="D17" s="10">
        <f>C21</f>
        <v>3307</v>
      </c>
      <c r="E17" s="10">
        <f t="shared" ref="E17:I17" si="9">D21</f>
        <v>16747</v>
      </c>
      <c r="F17" s="10">
        <f t="shared" si="9"/>
        <v>17888</v>
      </c>
      <c r="G17" s="10">
        <f t="shared" si="9"/>
        <v>20624</v>
      </c>
      <c r="H17" s="10">
        <f t="shared" si="9"/>
        <v>21175</v>
      </c>
      <c r="I17">
        <f>H21</f>
        <v>22956</v>
      </c>
      <c r="J17">
        <f t="shared" ref="J17:N17" si="10">I21</f>
        <v>21997.284179846036</v>
      </c>
      <c r="K17">
        <f t="shared" si="10"/>
        <v>21098.320918143498</v>
      </c>
      <c r="L17">
        <f t="shared" si="10"/>
        <v>20259.573957890319</v>
      </c>
      <c r="M17">
        <f t="shared" si="10"/>
        <v>19467.020234835036</v>
      </c>
      <c r="N17">
        <f t="shared" si="10"/>
        <v>18693.534476459707</v>
      </c>
    </row>
    <row r="18" spans="1:14" x14ac:dyDescent="0.25">
      <c r="A18" s="20" t="s">
        <v>45</v>
      </c>
      <c r="B18" s="1"/>
      <c r="C18" s="5"/>
      <c r="D18" s="2">
        <f>D19-D17</f>
        <v>14252</v>
      </c>
      <c r="E18" s="2">
        <f t="shared" ref="E18:H18" si="11">E19-E17</f>
        <v>2012</v>
      </c>
      <c r="F18" s="2">
        <f t="shared" si="11"/>
        <v>3661</v>
      </c>
      <c r="G18" s="2">
        <f t="shared" si="11"/>
        <v>1343</v>
      </c>
      <c r="H18" s="2">
        <f t="shared" si="11"/>
        <v>2667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25">
      <c r="A19" s="25" t="s">
        <v>51</v>
      </c>
      <c r="B19" s="26"/>
      <c r="C19" s="4"/>
      <c r="D19" s="10">
        <f>D21+D20</f>
        <v>17559</v>
      </c>
      <c r="E19" s="10">
        <f t="shared" ref="E19:I19" si="12">E21+E20</f>
        <v>18759</v>
      </c>
      <c r="F19" s="10">
        <f t="shared" si="12"/>
        <v>21549</v>
      </c>
      <c r="G19" s="10">
        <f t="shared" si="12"/>
        <v>21967</v>
      </c>
      <c r="H19" s="10">
        <f t="shared" si="12"/>
        <v>23842</v>
      </c>
      <c r="I19">
        <f>SUM(I17:I18)</f>
        <v>22956</v>
      </c>
      <c r="J19">
        <f t="shared" ref="J19:N19" si="13">SUM(J17:J18)</f>
        <v>21997.284179846036</v>
      </c>
      <c r="K19">
        <f t="shared" si="13"/>
        <v>21098.320918143498</v>
      </c>
      <c r="L19">
        <f t="shared" si="13"/>
        <v>20259.573957890319</v>
      </c>
      <c r="M19">
        <f t="shared" si="13"/>
        <v>19467.020234835036</v>
      </c>
      <c r="N19">
        <f t="shared" si="13"/>
        <v>18693.534476459707</v>
      </c>
    </row>
    <row r="20" spans="1:14" x14ac:dyDescent="0.25">
      <c r="A20" s="1" t="s">
        <v>52</v>
      </c>
      <c r="B20" s="1"/>
      <c r="C20" s="5"/>
      <c r="D20" s="2">
        <v>812</v>
      </c>
      <c r="E20" s="2">
        <v>871</v>
      </c>
      <c r="F20" s="2">
        <v>925</v>
      </c>
      <c r="G20" s="2">
        <v>792</v>
      </c>
      <c r="H20" s="2">
        <v>886</v>
      </c>
      <c r="I20" s="19">
        <f>I19*I23</f>
        <v>958.71582015396336</v>
      </c>
      <c r="J20" s="19">
        <f t="shared" ref="J20:N20" si="14">J19*J23</f>
        <v>898.96326170253701</v>
      </c>
      <c r="K20" s="19">
        <f t="shared" si="14"/>
        <v>838.74696025317769</v>
      </c>
      <c r="L20" s="19">
        <f t="shared" si="14"/>
        <v>792.55372305528522</v>
      </c>
      <c r="M20" s="19">
        <f t="shared" si="14"/>
        <v>773.48575837532792</v>
      </c>
      <c r="N20" s="19">
        <f t="shared" si="14"/>
        <v>752.3680391473091</v>
      </c>
    </row>
    <row r="21" spans="1:14" x14ac:dyDescent="0.25">
      <c r="A21" s="25" t="s">
        <v>41</v>
      </c>
      <c r="B21" s="26"/>
      <c r="C21" s="4">
        <v>3307</v>
      </c>
      <c r="D21" s="10">
        <v>16747</v>
      </c>
      <c r="E21" s="10">
        <v>17888</v>
      </c>
      <c r="F21" s="10">
        <v>20624</v>
      </c>
      <c r="G21" s="10">
        <v>21175</v>
      </c>
      <c r="H21" s="10">
        <v>22956</v>
      </c>
      <c r="I21" s="18">
        <f>I19-I20</f>
        <v>21997.284179846036</v>
      </c>
      <c r="J21" s="18">
        <f t="shared" ref="J21:N21" si="15">J19-J20</f>
        <v>21098.320918143498</v>
      </c>
      <c r="K21" s="18">
        <f t="shared" si="15"/>
        <v>20259.573957890319</v>
      </c>
      <c r="L21" s="18">
        <f t="shared" si="15"/>
        <v>19467.020234835036</v>
      </c>
      <c r="M21" s="18">
        <f t="shared" si="15"/>
        <v>18693.534476459707</v>
      </c>
      <c r="N21" s="18">
        <f t="shared" si="15"/>
        <v>17941.166437312397</v>
      </c>
    </row>
    <row r="22" spans="1:14" x14ac:dyDescent="0.25">
      <c r="A22" s="26"/>
      <c r="B22" s="26"/>
      <c r="C22" s="4"/>
      <c r="D22" s="10"/>
      <c r="E22" s="10"/>
      <c r="F22" s="10"/>
      <c r="G22" s="10"/>
      <c r="H22" s="10"/>
    </row>
    <row r="23" spans="1:14" x14ac:dyDescent="0.25">
      <c r="A23" s="20" t="s">
        <v>53</v>
      </c>
      <c r="B23" s="1"/>
      <c r="C23" s="5"/>
      <c r="D23" s="32">
        <f>D20/D19</f>
        <v>4.624409134916567E-2</v>
      </c>
      <c r="E23" s="32">
        <f t="shared" ref="E23:H23" si="16">E20/E19</f>
        <v>4.6431046431046431E-2</v>
      </c>
      <c r="F23" s="32">
        <f t="shared" si="16"/>
        <v>4.2925425773817812E-2</v>
      </c>
      <c r="G23" s="32">
        <f t="shared" si="16"/>
        <v>3.6054081121682527E-2</v>
      </c>
      <c r="H23" s="32">
        <f t="shared" si="16"/>
        <v>3.7161311970472274E-2</v>
      </c>
      <c r="I23" s="28">
        <f>AVERAGE(D23:H23)</f>
        <v>4.1763191329236948E-2</v>
      </c>
      <c r="J23" s="28">
        <f t="shared" ref="J23:N23" si="17">AVERAGE(E23:I23)</f>
        <v>4.0867011325251203E-2</v>
      </c>
      <c r="K23" s="28">
        <f t="shared" si="17"/>
        <v>3.9754204304092149E-2</v>
      </c>
      <c r="L23" s="28">
        <f t="shared" si="17"/>
        <v>3.9119960010147017E-2</v>
      </c>
      <c r="M23" s="28">
        <f t="shared" si="17"/>
        <v>3.9733135787839921E-2</v>
      </c>
      <c r="N23" s="28">
        <f t="shared" si="17"/>
        <v>4.0247500551313452E-2</v>
      </c>
    </row>
  </sheetData>
  <mergeCells count="2">
    <mergeCell ref="D1:I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DBE9-5BF8-4E90-8B57-34A20E2EED7B}">
  <sheetPr>
    <tabColor theme="7" tint="-0.499984740745262"/>
  </sheetPr>
  <dimension ref="A1:O25"/>
  <sheetViews>
    <sheetView showGridLines="0" workbookViewId="0">
      <selection activeCell="Q22" sqref="Q22"/>
    </sheetView>
  </sheetViews>
  <sheetFormatPr defaultRowHeight="15" x14ac:dyDescent="0.25"/>
  <cols>
    <col min="1" max="1" width="24.7109375" customWidth="1"/>
    <col min="4" max="8" width="10.5703125" bestFit="1" customWidth="1"/>
  </cols>
  <sheetData>
    <row r="1" spans="1:14" x14ac:dyDescent="0.25">
      <c r="A1" s="14" t="s">
        <v>0</v>
      </c>
      <c r="C1" s="4"/>
      <c r="D1" s="21" t="s">
        <v>1</v>
      </c>
      <c r="E1" s="21"/>
      <c r="F1" s="21"/>
      <c r="G1" s="21"/>
      <c r="H1" s="21"/>
      <c r="I1" s="21"/>
      <c r="J1" s="22" t="s">
        <v>2</v>
      </c>
      <c r="K1" s="22"/>
      <c r="L1" s="22"/>
      <c r="M1" s="22"/>
      <c r="N1" s="22"/>
    </row>
    <row r="2" spans="1:14" x14ac:dyDescent="0.25">
      <c r="A2" s="1"/>
      <c r="B2" s="1"/>
      <c r="C2" s="5"/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</row>
    <row r="3" spans="1:14" x14ac:dyDescent="0.25">
      <c r="A3" s="14" t="s">
        <v>20</v>
      </c>
      <c r="C3" s="4"/>
    </row>
    <row r="4" spans="1:14" x14ac:dyDescent="0.25">
      <c r="A4" t="s">
        <v>21</v>
      </c>
      <c r="C4" s="4"/>
      <c r="D4" s="10">
        <v>18336</v>
      </c>
      <c r="E4" s="10">
        <v>20838</v>
      </c>
      <c r="F4" s="10">
        <v>25326</v>
      </c>
      <c r="G4" s="10">
        <v>30930</v>
      </c>
      <c r="H4" s="10">
        <v>39304</v>
      </c>
      <c r="I4" s="18">
        <f>('Income Statement'!I3*'Working Capital'!I20)/365</f>
        <v>48925.951102873914</v>
      </c>
      <c r="J4" s="18">
        <f>('Income Statement'!J3*'Working Capital'!J20)/365</f>
        <v>54779.699296625753</v>
      </c>
      <c r="K4" s="18">
        <f>('Income Statement'!K3*'Working Capital'!K20)/365</f>
        <v>74761.352618284131</v>
      </c>
      <c r="L4" s="18">
        <f>('Income Statement'!L3*'Working Capital'!L20)/365</f>
        <v>95742.873126768172</v>
      </c>
      <c r="M4" s="18">
        <f>('Income Statement'!M3*'Working Capital'!M20)/365</f>
        <v>104273.13321740754</v>
      </c>
      <c r="N4" s="18">
        <f>('Income Statement'!N3*'Working Capital'!N20)/365</f>
        <v>137127.98867444697</v>
      </c>
    </row>
    <row r="5" spans="1:14" x14ac:dyDescent="0.25">
      <c r="A5" t="s">
        <v>22</v>
      </c>
      <c r="C5" s="4"/>
      <c r="D5" s="10">
        <v>749</v>
      </c>
      <c r="E5" s="10">
        <v>1107</v>
      </c>
      <c r="F5" s="10">
        <v>999</v>
      </c>
      <c r="G5" s="10">
        <v>728</v>
      </c>
      <c r="H5" s="10">
        <v>1170</v>
      </c>
      <c r="I5" s="18">
        <f>('Income Statement'!I11*'Working Capital'!I21)/365</f>
        <v>1866.6804767018202</v>
      </c>
      <c r="J5" s="18">
        <f>('Income Statement'!J11*'Working Capital'!J21)/365</f>
        <v>2131.22852837756</v>
      </c>
      <c r="K5" s="18">
        <f>('Income Statement'!K11*'Working Capital'!K21)/365</f>
        <v>2263.0002302474654</v>
      </c>
      <c r="L5" s="18">
        <f>('Income Statement'!L11*'Working Capital'!L21)/365</f>
        <v>2491.4171998954571</v>
      </c>
      <c r="M5" s="18">
        <f>('Income Statement'!M11*'Working Capital'!M21)/365</f>
        <v>2937.030635168413</v>
      </c>
      <c r="N5" s="18">
        <f>('Income Statement'!N11*'Working Capital'!N21)/365</f>
        <v>3340.4855703976923</v>
      </c>
    </row>
    <row r="6" spans="1:14" x14ac:dyDescent="0.25">
      <c r="A6" s="1" t="s">
        <v>23</v>
      </c>
      <c r="B6" s="1"/>
      <c r="C6" s="5"/>
      <c r="D6" s="2">
        <v>2983</v>
      </c>
      <c r="E6" s="2">
        <v>4236</v>
      </c>
      <c r="F6" s="2">
        <v>4412</v>
      </c>
      <c r="G6" s="2">
        <v>5490</v>
      </c>
      <c r="H6" s="2">
        <v>7054</v>
      </c>
      <c r="I6" s="19">
        <f>'Income Statement'!I3*'Working Capital'!I22</f>
        <v>8761.8971520482064</v>
      </c>
      <c r="J6" s="19">
        <f>'Income Statement'!J3*'Working Capital'!J22</f>
        <v>9998.3015208133093</v>
      </c>
      <c r="K6" s="19">
        <f>'Income Statement'!K3*'Working Capital'!K22</f>
        <v>13348.19673947786</v>
      </c>
      <c r="L6" s="19">
        <f>'Income Statement'!L3*'Working Capital'!L22</f>
        <v>17175.6784776739</v>
      </c>
      <c r="M6" s="19">
        <f>'Income Statement'!M3*'Working Capital'!M22</f>
        <v>18748.440450395174</v>
      </c>
      <c r="N6" s="19">
        <f>'Income Statement'!N3*'Working Capital'!N22</f>
        <v>24664.440246332386</v>
      </c>
    </row>
    <row r="7" spans="1:14" x14ac:dyDescent="0.25">
      <c r="A7" s="14" t="s">
        <v>24</v>
      </c>
      <c r="C7" s="4"/>
      <c r="D7" s="10">
        <f>SUM(D3:D6)</f>
        <v>22068</v>
      </c>
      <c r="E7" s="10">
        <f t="shared" ref="E7:N7" si="0">SUM(E3:E6)</f>
        <v>26181</v>
      </c>
      <c r="F7" s="10">
        <f t="shared" si="0"/>
        <v>30737</v>
      </c>
      <c r="G7" s="10">
        <f t="shared" si="0"/>
        <v>37148</v>
      </c>
      <c r="H7" s="10">
        <f t="shared" si="0"/>
        <v>47528</v>
      </c>
      <c r="I7" s="18">
        <f t="shared" si="0"/>
        <v>59554.528731623941</v>
      </c>
      <c r="J7" s="18">
        <f t="shared" si="0"/>
        <v>66909.229345816624</v>
      </c>
      <c r="K7" s="18">
        <f t="shared" si="0"/>
        <v>90372.549588009453</v>
      </c>
      <c r="L7" s="18">
        <f t="shared" si="0"/>
        <v>115409.96880433752</v>
      </c>
      <c r="M7" s="18">
        <f t="shared" si="0"/>
        <v>125958.60430297113</v>
      </c>
      <c r="N7" s="18">
        <f t="shared" si="0"/>
        <v>165132.91449117704</v>
      </c>
    </row>
    <row r="8" spans="1:14" x14ac:dyDescent="0.25">
      <c r="C8" s="4"/>
      <c r="D8" s="10"/>
      <c r="E8" s="10"/>
      <c r="F8" s="10"/>
      <c r="G8" s="10"/>
      <c r="H8" s="10"/>
    </row>
    <row r="9" spans="1:14" x14ac:dyDescent="0.25">
      <c r="A9" s="14" t="s">
        <v>25</v>
      </c>
      <c r="C9" s="4"/>
      <c r="D9" s="10"/>
      <c r="E9" s="10"/>
      <c r="F9" s="10"/>
      <c r="G9" s="10"/>
      <c r="H9" s="10"/>
    </row>
    <row r="10" spans="1:14" x14ac:dyDescent="0.25">
      <c r="A10" t="s">
        <v>26</v>
      </c>
      <c r="C10" s="4"/>
      <c r="D10" s="10">
        <v>3137</v>
      </c>
      <c r="E10" s="10">
        <v>4378</v>
      </c>
      <c r="F10" s="10">
        <v>5561</v>
      </c>
      <c r="G10" s="10">
        <v>5589</v>
      </c>
      <c r="H10" s="10">
        <v>6037</v>
      </c>
      <c r="I10" s="18">
        <f>('Income Statement'!I11*'Working Capital'!I23)/365</f>
        <v>9327.7065884978765</v>
      </c>
      <c r="J10" s="18">
        <f>('Income Statement'!J11*'Working Capital'!J23)/365</f>
        <v>11083.772066216448</v>
      </c>
      <c r="K10" s="18">
        <f>('Income Statement'!K11*'Working Capital'!K23)/365</f>
        <v>12647.089399955685</v>
      </c>
      <c r="L10" s="18">
        <f>('Income Statement'!L11*'Working Capital'!L23)/365</f>
        <v>13936.863735975312</v>
      </c>
      <c r="M10" s="18">
        <f>('Income Statement'!M11*'Working Capital'!M23)/365</f>
        <v>15563.392463150449</v>
      </c>
      <c r="N10" s="18">
        <f>('Income Statement'!N11*'Working Capital'!N23)/365</f>
        <v>17780.046500467517</v>
      </c>
    </row>
    <row r="11" spans="1:14" x14ac:dyDescent="0.25">
      <c r="A11" t="s">
        <v>27</v>
      </c>
      <c r="C11" s="4"/>
      <c r="D11" s="10">
        <v>881</v>
      </c>
      <c r="E11" s="10">
        <v>69</v>
      </c>
      <c r="F11" s="10">
        <v>274</v>
      </c>
      <c r="G11" s="10">
        <v>1485</v>
      </c>
      <c r="H11" s="10">
        <v>808</v>
      </c>
      <c r="I11" s="18">
        <f>'Income Statement'!I25*'Working Capital'!I24</f>
        <v>1207.530375569683</v>
      </c>
      <c r="J11" s="18">
        <f>'Income Statement'!J25*'Working Capital'!J24</f>
        <v>1187.5969701553845</v>
      </c>
      <c r="K11" s="18">
        <f>'Income Statement'!K25*'Working Capital'!K24</f>
        <v>1161.2835393562182</v>
      </c>
      <c r="L11" s="18">
        <f>'Income Statement'!L25*'Working Capital'!L24</f>
        <v>1082.7529194857325</v>
      </c>
      <c r="M11" s="18">
        <f>'Income Statement'!M25*'Working Capital'!M24</f>
        <v>969.66044270151849</v>
      </c>
      <c r="N11" s="18">
        <f>'Income Statement'!N25*'Working Capital'!N24</f>
        <v>807.49472731685273</v>
      </c>
    </row>
    <row r="12" spans="1:14" x14ac:dyDescent="0.25">
      <c r="A12" s="1" t="s">
        <v>28</v>
      </c>
      <c r="B12" s="1"/>
      <c r="C12" s="5"/>
      <c r="D12" s="2">
        <f>10177</f>
        <v>10177</v>
      </c>
      <c r="E12" s="2">
        <v>16958</v>
      </c>
      <c r="F12" s="2">
        <v>23067</v>
      </c>
      <c r="G12" s="2">
        <v>28631</v>
      </c>
      <c r="H12" s="2">
        <v>31236</v>
      </c>
      <c r="I12" s="19">
        <f>'Income Statement'!I15*'Working Capital'!I25</f>
        <v>124903.96205918901</v>
      </c>
      <c r="J12" s="19">
        <f>'Income Statement'!J15*'Working Capital'!J25</f>
        <v>138210.09813716105</v>
      </c>
      <c r="K12" s="19">
        <f>'Income Statement'!K15*'Working Capital'!K25</f>
        <v>178598.45759207578</v>
      </c>
      <c r="L12" s="19">
        <f>'Income Statement'!L15*'Working Capital'!L25</f>
        <v>222896.36345856922</v>
      </c>
      <c r="M12" s="19">
        <f>'Income Statement'!M15*'Working Capital'!M25</f>
        <v>248454.20628003805</v>
      </c>
      <c r="N12" s="19">
        <f>'Income Statement'!N15*'Working Capital'!N25</f>
        <v>335858.94303782197</v>
      </c>
    </row>
    <row r="13" spans="1:14" x14ac:dyDescent="0.25">
      <c r="A13" s="14" t="s">
        <v>29</v>
      </c>
      <c r="C13" s="4"/>
      <c r="D13" s="10">
        <f>SUM(D9:D12)</f>
        <v>14195</v>
      </c>
      <c r="E13" s="10">
        <f t="shared" ref="E13:N13" si="1">SUM(E9:E12)</f>
        <v>21405</v>
      </c>
      <c r="F13" s="10">
        <f t="shared" si="1"/>
        <v>28902</v>
      </c>
      <c r="G13" s="10">
        <f t="shared" si="1"/>
        <v>35705</v>
      </c>
      <c r="H13" s="10">
        <f t="shared" si="1"/>
        <v>38081</v>
      </c>
      <c r="I13" s="34">
        <f t="shared" si="1"/>
        <v>135439.19902325657</v>
      </c>
      <c r="J13" s="34">
        <f t="shared" si="1"/>
        <v>150481.46717353287</v>
      </c>
      <c r="K13" s="34">
        <f t="shared" si="1"/>
        <v>192406.83053138768</v>
      </c>
      <c r="L13" s="34">
        <f t="shared" si="1"/>
        <v>237915.98011403027</v>
      </c>
      <c r="M13" s="34">
        <f t="shared" si="1"/>
        <v>264987.25918589003</v>
      </c>
      <c r="N13" s="34">
        <f t="shared" si="1"/>
        <v>354446.48426560633</v>
      </c>
    </row>
    <row r="14" spans="1:14" x14ac:dyDescent="0.25">
      <c r="C14" s="4"/>
      <c r="D14" s="10"/>
      <c r="E14" s="10"/>
      <c r="F14" s="10"/>
      <c r="G14" s="10"/>
      <c r="H14" s="10"/>
    </row>
    <row r="15" spans="1:14" x14ac:dyDescent="0.25">
      <c r="C15" s="4"/>
      <c r="D15" s="10"/>
      <c r="E15" s="10"/>
      <c r="F15" s="10"/>
      <c r="G15" s="10"/>
      <c r="H15" s="10"/>
    </row>
    <row r="16" spans="1:14" x14ac:dyDescent="0.25">
      <c r="A16" s="14" t="s">
        <v>30</v>
      </c>
      <c r="C16" s="4"/>
      <c r="D16" s="10">
        <f>D7-D13</f>
        <v>7873</v>
      </c>
      <c r="E16" s="10">
        <f t="shared" ref="E16:N16" si="2">E7-E13</f>
        <v>4776</v>
      </c>
      <c r="F16" s="10">
        <f t="shared" si="2"/>
        <v>1835</v>
      </c>
      <c r="G16" s="10">
        <f t="shared" si="2"/>
        <v>1443</v>
      </c>
      <c r="H16" s="10">
        <f t="shared" si="2"/>
        <v>9447</v>
      </c>
      <c r="I16" s="10">
        <f t="shared" si="2"/>
        <v>-75884.670291632632</v>
      </c>
      <c r="J16" s="10">
        <f t="shared" si="2"/>
        <v>-83572.23782771625</v>
      </c>
      <c r="K16" s="10">
        <f t="shared" si="2"/>
        <v>-102034.28094337822</v>
      </c>
      <c r="L16" s="10">
        <f t="shared" si="2"/>
        <v>-122506.01130969275</v>
      </c>
      <c r="M16" s="10">
        <f t="shared" si="2"/>
        <v>-139028.6548829189</v>
      </c>
      <c r="N16" s="10">
        <f t="shared" si="2"/>
        <v>-189313.56977442928</v>
      </c>
    </row>
    <row r="17" spans="1:15" x14ac:dyDescent="0.25">
      <c r="A17" s="14" t="s">
        <v>31</v>
      </c>
      <c r="C17" s="4"/>
      <c r="D17" s="10"/>
      <c r="E17" s="10">
        <f>E16-D16</f>
        <v>-3097</v>
      </c>
      <c r="F17" s="10">
        <f t="shared" ref="F17:H17" si="3">F16-E16</f>
        <v>-2941</v>
      </c>
      <c r="G17" s="10">
        <f t="shared" si="3"/>
        <v>-392</v>
      </c>
      <c r="H17" s="10">
        <f t="shared" si="3"/>
        <v>8004</v>
      </c>
      <c r="I17" s="10">
        <f t="shared" ref="I17" si="4">I16-H16</f>
        <v>-85331.670291632632</v>
      </c>
      <c r="J17" s="10">
        <f t="shared" ref="J17" si="5">J16-I16</f>
        <v>-7687.5675360836176</v>
      </c>
      <c r="K17" s="10">
        <f t="shared" ref="K17" si="6">K16-J16</f>
        <v>-18462.043115661974</v>
      </c>
      <c r="L17" s="10">
        <f t="shared" ref="L17" si="7">L16-K16</f>
        <v>-20471.730366314529</v>
      </c>
      <c r="M17" s="10">
        <f t="shared" ref="M17" si="8">M16-L16</f>
        <v>-16522.643573226145</v>
      </c>
      <c r="N17" s="10">
        <f t="shared" ref="N17" si="9">N16-M16</f>
        <v>-50284.914891510387</v>
      </c>
    </row>
    <row r="18" spans="1:15" x14ac:dyDescent="0.25">
      <c r="C18" s="4"/>
      <c r="D18" s="10"/>
      <c r="E18" s="10"/>
      <c r="F18" s="10"/>
      <c r="G18" s="10"/>
      <c r="H18" s="10"/>
    </row>
    <row r="19" spans="1:15" x14ac:dyDescent="0.25">
      <c r="C19" s="4"/>
      <c r="D19" s="10"/>
      <c r="E19" s="10"/>
      <c r="F19" s="10"/>
      <c r="G19" s="10"/>
      <c r="H19" s="10"/>
    </row>
    <row r="20" spans="1:15" x14ac:dyDescent="0.25">
      <c r="A20" t="s">
        <v>32</v>
      </c>
      <c r="C20" s="4"/>
      <c r="D20" s="31">
        <f>365/('Income Statement'!D3/'Working Capital'!D4)</f>
        <v>60.372919579631045</v>
      </c>
      <c r="E20" s="31">
        <f>365/('Income Statement'!E3/'Working Capital'!E4)</f>
        <v>55.590743975617421</v>
      </c>
      <c r="F20" s="31">
        <f>365/('Income Statement'!F3/'Working Capital'!F4)</f>
        <v>57.112080416664092</v>
      </c>
      <c r="G20" s="31">
        <f>365/('Income Statement'!G3/'Working Capital'!G4)</f>
        <v>61.850849463367062</v>
      </c>
      <c r="H20" s="31">
        <f>365/('Income Statement'!H3/'Working Capital'!H4)</f>
        <v>55.682840585785428</v>
      </c>
      <c r="I20" s="15">
        <f>AVERAGE(D20:H20)</f>
        <v>58.121886804213013</v>
      </c>
      <c r="J20" s="15">
        <f t="shared" ref="J20:N20" si="10">AVERAGE(E20:I20)</f>
        <v>57.671680249129409</v>
      </c>
      <c r="K20" s="15">
        <f t="shared" si="10"/>
        <v>58.087867503831795</v>
      </c>
      <c r="L20" s="15">
        <f t="shared" si="10"/>
        <v>58.283024921265337</v>
      </c>
      <c r="M20" s="15">
        <f t="shared" si="10"/>
        <v>57.569460012844999</v>
      </c>
      <c r="N20" s="15">
        <f t="shared" si="10"/>
        <v>57.946783898256911</v>
      </c>
    </row>
    <row r="21" spans="1:15" x14ac:dyDescent="0.25">
      <c r="A21" t="s">
        <v>33</v>
      </c>
      <c r="C21" s="4"/>
      <c r="D21" s="31">
        <f>365/('Income Statement'!D11/'Working Capital'!D5)</f>
        <v>5.9975210056380668</v>
      </c>
      <c r="E21" s="31">
        <f>365/('Income Statement'!E11/'Working Capital'!E5)</f>
        <v>6.7852524811499766</v>
      </c>
      <c r="F21" s="31">
        <f>365/('Income Statement'!F11/'Working Capital'!F5)</f>
        <v>5.0717007900300439</v>
      </c>
      <c r="G21" s="31">
        <f>365/('Income Statement'!G11/'Working Capital'!G5)</f>
        <v>3.136005287258651</v>
      </c>
      <c r="H21" s="31">
        <f>365/('Income Statement'!H11/'Working Capital'!H5)</f>
        <v>3.8494127403347789</v>
      </c>
      <c r="I21" s="15">
        <f>AVERAGE(D21:H21)</f>
        <v>4.9679784608823034</v>
      </c>
      <c r="J21" s="15">
        <f t="shared" ref="J21:N21" si="11">AVERAGE(E21:I21)</f>
        <v>4.7620699519311511</v>
      </c>
      <c r="K21" s="15">
        <f t="shared" si="11"/>
        <v>4.357433446087386</v>
      </c>
      <c r="L21" s="15">
        <f t="shared" si="11"/>
        <v>4.2145799772988539</v>
      </c>
      <c r="M21" s="15">
        <f t="shared" si="11"/>
        <v>4.4302949153068951</v>
      </c>
      <c r="N21" s="15">
        <f t="shared" si="11"/>
        <v>4.5464713503013181</v>
      </c>
    </row>
    <row r="22" spans="1:15" x14ac:dyDescent="0.25">
      <c r="A22" t="s">
        <v>34</v>
      </c>
      <c r="C22" s="4"/>
      <c r="D22" s="11">
        <f>D6/'Income Statement'!D3</f>
        <v>2.6909025303324161E-2</v>
      </c>
      <c r="E22" s="11">
        <f>E6/'Income Statement'!E3</f>
        <v>3.0960612195674576E-2</v>
      </c>
      <c r="F22" s="11">
        <f>F6/'Income Statement'!F3</f>
        <v>2.7258629531005763E-2</v>
      </c>
      <c r="G22" s="11">
        <f>G6/'Income Statement'!G3</f>
        <v>3.0077741923112744E-2</v>
      </c>
      <c r="H22" s="11">
        <f>H6/'Income Statement'!H3</f>
        <v>2.7379607742676712E-2</v>
      </c>
      <c r="I22" s="8">
        <f>AVERAGE(D22:H22)</f>
        <v>2.851712333915879E-2</v>
      </c>
      <c r="J22" s="8">
        <f t="shared" ref="J22:M22" si="12">AVERAGE(E22:I22)</f>
        <v>2.8838742946325713E-2</v>
      </c>
      <c r="K22" s="8">
        <f t="shared" si="12"/>
        <v>2.8414369096455942E-2</v>
      </c>
      <c r="L22" s="8">
        <f t="shared" si="12"/>
        <v>2.8645517009545977E-2</v>
      </c>
      <c r="M22" s="8">
        <f t="shared" si="12"/>
        <v>2.8359072026832625E-2</v>
      </c>
      <c r="N22" s="8">
        <f>AVERAGE(I22:M22)</f>
        <v>2.8554964883663814E-2</v>
      </c>
      <c r="O22" s="8"/>
    </row>
    <row r="23" spans="1:15" x14ac:dyDescent="0.25">
      <c r="A23" t="s">
        <v>35</v>
      </c>
      <c r="C23" s="4"/>
      <c r="D23" s="31">
        <f>365/('Income Statement'!D11/'Working Capital'!D10)</f>
        <v>25.119123357392009</v>
      </c>
      <c r="E23" s="31">
        <f>365/('Income Statement'!E11/'Working Capital'!E10)</f>
        <v>26.834539622831617</v>
      </c>
      <c r="F23" s="31">
        <f>365/('Income Statement'!F11/'Working Capital'!F10)</f>
        <v>28.231960053410482</v>
      </c>
      <c r="G23" s="31">
        <f>365/('Income Statement'!G11/'Working Capital'!G10)</f>
        <v>24.075732899022803</v>
      </c>
      <c r="H23" s="31">
        <f>365/('Income Statement'!H11/'Working Capital'!H10)</f>
        <v>19.862311720855605</v>
      </c>
      <c r="I23" s="15">
        <f>AVERAGE(D23:H23)</f>
        <v>24.824733530702499</v>
      </c>
      <c r="J23" s="15">
        <f t="shared" ref="J23:N23" si="13">AVERAGE(E23:I23)</f>
        <v>24.7658555653646</v>
      </c>
      <c r="K23" s="15">
        <f t="shared" si="13"/>
        <v>24.352118753871199</v>
      </c>
      <c r="L23" s="15">
        <f t="shared" si="13"/>
        <v>23.576150493963343</v>
      </c>
      <c r="M23" s="15">
        <f t="shared" si="13"/>
        <v>23.476234012951448</v>
      </c>
      <c r="N23" s="15">
        <f t="shared" si="13"/>
        <v>24.199018471370618</v>
      </c>
    </row>
    <row r="24" spans="1:15" x14ac:dyDescent="0.25">
      <c r="A24" t="s">
        <v>36</v>
      </c>
      <c r="C24" s="4"/>
      <c r="D24" s="33">
        <f>D11/'Income Statement'!D25</f>
        <v>8.0825688073394488</v>
      </c>
      <c r="E24" s="33">
        <f>E11/'Income Statement'!E25</f>
        <v>0.60526315789473684</v>
      </c>
      <c r="F24" s="33">
        <f>F11/'Income Statement'!F25</f>
        <v>2.74</v>
      </c>
      <c r="G24" s="33">
        <f>G11/'Income Statement'!G25</f>
        <v>11</v>
      </c>
      <c r="H24" s="33">
        <f>H11/'Income Statement'!H25</f>
        <v>2.3352601156069364</v>
      </c>
      <c r="I24" s="17">
        <v>3</v>
      </c>
      <c r="J24" s="17">
        <v>3</v>
      </c>
      <c r="K24" s="17">
        <v>3</v>
      </c>
      <c r="L24" s="17">
        <v>3</v>
      </c>
      <c r="M24" s="17">
        <v>3</v>
      </c>
      <c r="N24" s="17">
        <v>3</v>
      </c>
    </row>
    <row r="25" spans="1:15" x14ac:dyDescent="0.25">
      <c r="A25" s="1" t="s">
        <v>37</v>
      </c>
      <c r="B25" s="1"/>
      <c r="C25" s="5"/>
      <c r="D25" s="30">
        <f>D12/'Income Statement'!D15</f>
        <v>9.7201528175740215</v>
      </c>
      <c r="E25" s="30">
        <f>E12/'Income Statement'!E15</f>
        <v>1.9736964618249535</v>
      </c>
      <c r="F25" s="30">
        <f>F12/'Income Statement'!F15</f>
        <v>4.2764182424916575</v>
      </c>
      <c r="G25" s="30">
        <f>G12/'Income Statement'!G15</f>
        <v>4.1748323126275881</v>
      </c>
      <c r="H25" s="30">
        <f>H12/'Income Statement'!H15</f>
        <v>2.5986688851913478</v>
      </c>
      <c r="I25" s="16">
        <v>2</v>
      </c>
      <c r="J25" s="16">
        <v>2</v>
      </c>
      <c r="K25" s="16">
        <v>2</v>
      </c>
      <c r="L25" s="16">
        <v>2</v>
      </c>
      <c r="M25" s="16">
        <v>2</v>
      </c>
      <c r="N25" s="16">
        <v>2</v>
      </c>
    </row>
  </sheetData>
  <mergeCells count="2">
    <mergeCell ref="D1:I1"/>
    <mergeCell ref="J1:N1"/>
  </mergeCells>
  <pageMargins left="0.7" right="0.7" top="0.75" bottom="0.75" header="0.3" footer="0.3"/>
  <ignoredErrors>
    <ignoredError sqref="D7:H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F01A-2898-4E35-897D-8B54878780EB}">
  <sheetPr>
    <tabColor theme="5" tint="-0.499984740745262"/>
  </sheetPr>
  <dimension ref="A1:M9"/>
  <sheetViews>
    <sheetView showGridLines="0" workbookViewId="0">
      <selection activeCell="L12" sqref="L12"/>
    </sheetView>
  </sheetViews>
  <sheetFormatPr defaultRowHeight="15" x14ac:dyDescent="0.25"/>
  <cols>
    <col min="1" max="1" width="18.7109375" customWidth="1"/>
    <col min="8" max="8" width="9.5703125" bestFit="1" customWidth="1"/>
  </cols>
  <sheetData>
    <row r="1" spans="1:13" x14ac:dyDescent="0.25">
      <c r="A1" s="14" t="s">
        <v>0</v>
      </c>
      <c r="B1" s="4"/>
      <c r="C1" s="21" t="s">
        <v>1</v>
      </c>
      <c r="D1" s="21"/>
      <c r="E1" s="21"/>
      <c r="F1" s="21"/>
      <c r="G1" s="21"/>
      <c r="H1" s="21"/>
      <c r="I1" s="22" t="s">
        <v>2</v>
      </c>
      <c r="J1" s="22"/>
      <c r="K1" s="22"/>
      <c r="L1" s="22"/>
      <c r="M1" s="22"/>
    </row>
    <row r="2" spans="1:13" x14ac:dyDescent="0.25">
      <c r="A2" s="23" t="s">
        <v>38</v>
      </c>
      <c r="B2" s="24"/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9">
        <v>2022</v>
      </c>
      <c r="I2" s="1">
        <v>2023</v>
      </c>
      <c r="J2" s="1">
        <v>2024</v>
      </c>
      <c r="K2" s="1">
        <v>2025</v>
      </c>
      <c r="L2" s="1">
        <v>2026</v>
      </c>
      <c r="M2" s="1">
        <v>2027</v>
      </c>
    </row>
    <row r="3" spans="1:13" x14ac:dyDescent="0.25">
      <c r="B3" s="4"/>
    </row>
    <row r="4" spans="1:13" x14ac:dyDescent="0.25">
      <c r="A4" t="s">
        <v>39</v>
      </c>
      <c r="B4" s="4"/>
      <c r="C4" s="10">
        <f>B6</f>
        <v>3935</v>
      </c>
      <c r="D4" s="10">
        <f t="shared" ref="D4:G4" si="0">C6</f>
        <v>3969</v>
      </c>
      <c r="E4" s="10">
        <f t="shared" si="0"/>
        <v>4012</v>
      </c>
      <c r="F4" s="10">
        <f t="shared" si="0"/>
        <v>4554</v>
      </c>
      <c r="G4" s="10">
        <f t="shared" si="0"/>
        <v>13932</v>
      </c>
      <c r="H4">
        <f>G6</f>
        <v>14817</v>
      </c>
      <c r="I4">
        <f t="shared" ref="I4:M4" si="1">H6</f>
        <v>14630</v>
      </c>
      <c r="J4">
        <f t="shared" si="1"/>
        <v>14484</v>
      </c>
      <c r="K4">
        <f t="shared" si="1"/>
        <v>13325</v>
      </c>
      <c r="L4">
        <f t="shared" si="1"/>
        <v>12163</v>
      </c>
      <c r="M4">
        <f t="shared" si="1"/>
        <v>9998</v>
      </c>
    </row>
    <row r="5" spans="1:13" x14ac:dyDescent="0.25">
      <c r="A5" t="s">
        <v>40</v>
      </c>
      <c r="B5" s="4"/>
      <c r="C5" s="10">
        <f>C4-C6</f>
        <v>-34</v>
      </c>
      <c r="D5" s="10">
        <f t="shared" ref="D5:G5" si="2">D4-D6</f>
        <v>-43</v>
      </c>
      <c r="E5" s="10">
        <f t="shared" si="2"/>
        <v>-542</v>
      </c>
      <c r="F5" s="10">
        <f t="shared" si="2"/>
        <v>-9378</v>
      </c>
      <c r="G5" s="10">
        <f t="shared" si="2"/>
        <v>-885</v>
      </c>
      <c r="H5">
        <v>-187</v>
      </c>
      <c r="I5">
        <v>-146</v>
      </c>
      <c r="J5">
        <v>-1159</v>
      </c>
      <c r="K5">
        <v>-1162</v>
      </c>
      <c r="L5">
        <v>-2165</v>
      </c>
      <c r="M5">
        <v>-10621</v>
      </c>
    </row>
    <row r="6" spans="1:13" x14ac:dyDescent="0.25">
      <c r="A6" s="14" t="s">
        <v>41</v>
      </c>
      <c r="B6" s="4">
        <v>3935</v>
      </c>
      <c r="C6" s="10">
        <v>3969</v>
      </c>
      <c r="D6" s="10">
        <v>4012</v>
      </c>
      <c r="E6" s="10">
        <v>4554</v>
      </c>
      <c r="F6" s="10">
        <v>13932</v>
      </c>
      <c r="G6" s="10">
        <v>14817</v>
      </c>
      <c r="H6">
        <f>H4+H5</f>
        <v>14630</v>
      </c>
      <c r="I6">
        <f t="shared" ref="I6:M6" si="3">I4+I5</f>
        <v>14484</v>
      </c>
      <c r="J6">
        <f t="shared" si="3"/>
        <v>13325</v>
      </c>
      <c r="K6">
        <f t="shared" si="3"/>
        <v>12163</v>
      </c>
      <c r="L6">
        <f t="shared" si="3"/>
        <v>9998</v>
      </c>
      <c r="M6">
        <f t="shared" si="3"/>
        <v>-623</v>
      </c>
    </row>
    <row r="7" spans="1:13" x14ac:dyDescent="0.25">
      <c r="B7" s="4"/>
      <c r="C7" s="10"/>
      <c r="D7" s="10"/>
      <c r="E7" s="10"/>
      <c r="F7" s="10"/>
      <c r="G7" s="10"/>
    </row>
    <row r="8" spans="1:13" x14ac:dyDescent="0.25">
      <c r="A8" s="14" t="s">
        <v>14</v>
      </c>
      <c r="B8" s="4"/>
      <c r="C8" s="10">
        <v>109</v>
      </c>
      <c r="D8" s="10">
        <v>114</v>
      </c>
      <c r="E8" s="10">
        <v>100</v>
      </c>
      <c r="F8" s="10">
        <v>135</v>
      </c>
      <c r="G8" s="10">
        <v>346</v>
      </c>
      <c r="H8" s="18">
        <f>H4*H9</f>
        <v>402.51012518989432</v>
      </c>
      <c r="I8" s="18">
        <f t="shared" ref="I8:M8" si="4">I4*I9</f>
        <v>395.86565671846154</v>
      </c>
      <c r="J8" s="18">
        <f t="shared" si="4"/>
        <v>387.09451311873937</v>
      </c>
      <c r="K8" s="18">
        <f t="shared" si="4"/>
        <v>360.91763982857748</v>
      </c>
      <c r="L8" s="18">
        <f t="shared" si="4"/>
        <v>323.22014756717283</v>
      </c>
      <c r="M8" s="18">
        <f t="shared" si="4"/>
        <v>269.1649091056176</v>
      </c>
    </row>
    <row r="9" spans="1:13" x14ac:dyDescent="0.25">
      <c r="A9" s="20" t="s">
        <v>42</v>
      </c>
      <c r="B9" s="5"/>
      <c r="C9" s="30">
        <f>C8/C4</f>
        <v>2.770012706480305E-2</v>
      </c>
      <c r="D9" s="30">
        <f t="shared" ref="D9:G9" si="5">D8/D4</f>
        <v>2.872260015117158E-2</v>
      </c>
      <c r="E9" s="30">
        <f t="shared" si="5"/>
        <v>2.4925224327018942E-2</v>
      </c>
      <c r="F9" s="30">
        <f t="shared" si="5"/>
        <v>2.9644268774703556E-2</v>
      </c>
      <c r="G9" s="30">
        <f t="shared" si="5"/>
        <v>2.4834912431811657E-2</v>
      </c>
      <c r="H9" s="9">
        <f>AVERAGE(C9:G9)</f>
        <v>2.7165426549901756E-2</v>
      </c>
      <c r="I9" s="9">
        <f t="shared" ref="I9:M9" si="6">AVERAGE(D9:H9)</f>
        <v>2.7058486446921499E-2</v>
      </c>
      <c r="J9" s="9">
        <f t="shared" si="6"/>
        <v>2.6725663706071483E-2</v>
      </c>
      <c r="K9" s="9">
        <f t="shared" si="6"/>
        <v>2.7085751581881989E-2</v>
      </c>
      <c r="L9" s="9">
        <f t="shared" si="6"/>
        <v>2.6574048143317673E-2</v>
      </c>
      <c r="M9" s="9">
        <f t="shared" si="6"/>
        <v>2.6921875285618881E-2</v>
      </c>
    </row>
  </sheetData>
  <mergeCells count="3">
    <mergeCell ref="C1:H1"/>
    <mergeCell ref="I1:M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B8FF-6B4E-4429-9638-C57E4A41538F}">
  <sheetPr>
    <tabColor theme="7"/>
  </sheetPr>
  <dimension ref="A1:K187"/>
  <sheetViews>
    <sheetView showGridLines="0" topLeftCell="A2" workbookViewId="0">
      <selection activeCell="I13" sqref="I13"/>
    </sheetView>
  </sheetViews>
  <sheetFormatPr defaultRowHeight="15" x14ac:dyDescent="0.25"/>
  <cols>
    <col min="1" max="1" width="19.42578125" customWidth="1"/>
    <col min="2" max="2" width="16.85546875" customWidth="1"/>
    <col min="3" max="3" width="16.28515625" customWidth="1"/>
    <col min="4" max="4" width="20.7109375" bestFit="1" customWidth="1"/>
    <col min="5" max="5" width="17.7109375" bestFit="1" customWidth="1"/>
    <col min="9" max="9" width="19" customWidth="1"/>
    <col min="10" max="10" width="11.28515625" bestFit="1" customWidth="1"/>
  </cols>
  <sheetData>
    <row r="1" spans="1:11" x14ac:dyDescent="0.25">
      <c r="A1" t="s">
        <v>54</v>
      </c>
      <c r="C1" s="35">
        <v>44954</v>
      </c>
    </row>
    <row r="3" spans="1:11" x14ac:dyDescent="0.25">
      <c r="A3" s="53" t="s">
        <v>55</v>
      </c>
      <c r="B3" s="52"/>
      <c r="C3" s="52"/>
      <c r="D3" s="52"/>
      <c r="E3" s="52"/>
      <c r="F3" s="52"/>
      <c r="H3" s="45" t="s">
        <v>81</v>
      </c>
      <c r="I3" s="46">
        <f>F9</f>
        <v>6.4444057570249985E-2</v>
      </c>
      <c r="J3" s="41" t="s">
        <v>82</v>
      </c>
      <c r="K3" s="49">
        <f>J26/(J24+J26)</f>
        <v>0.32569717508201962</v>
      </c>
    </row>
    <row r="4" spans="1:11" x14ac:dyDescent="0.25">
      <c r="A4" t="s">
        <v>56</v>
      </c>
      <c r="F4" s="8">
        <v>3.5069999999999997E-2</v>
      </c>
      <c r="H4" s="38" t="s">
        <v>83</v>
      </c>
      <c r="I4" s="9">
        <f>F17</f>
        <v>0.65285961389838643</v>
      </c>
      <c r="J4" s="1" t="s">
        <v>84</v>
      </c>
      <c r="K4" s="48">
        <f>J24/(J24+J26)</f>
        <v>0.67430282491798044</v>
      </c>
    </row>
    <row r="5" spans="1:11" x14ac:dyDescent="0.25">
      <c r="A5" t="s">
        <v>57</v>
      </c>
      <c r="F5" s="7">
        <f>0.85%+0.69%/2</f>
        <v>1.1950000000000001E-2</v>
      </c>
      <c r="H5" s="47" t="s">
        <v>85</v>
      </c>
      <c r="I5" s="1"/>
      <c r="J5" s="1"/>
      <c r="K5" s="48">
        <f>SUMPRODUCT(K3:K4,I3:I4)</f>
        <v>0.46121432942799745</v>
      </c>
    </row>
    <row r="6" spans="1:11" x14ac:dyDescent="0.25">
      <c r="A6" t="s">
        <v>58</v>
      </c>
      <c r="F6" s="8">
        <v>3.2899999999999999E-2</v>
      </c>
    </row>
    <row r="7" spans="1:11" x14ac:dyDescent="0.25">
      <c r="A7" s="14" t="s">
        <v>55</v>
      </c>
      <c r="F7" s="8">
        <f>SUM(F4:F6)</f>
        <v>7.9919999999999991E-2</v>
      </c>
    </row>
    <row r="8" spans="1:11" x14ac:dyDescent="0.25">
      <c r="A8" s="1" t="s">
        <v>59</v>
      </c>
      <c r="F8" s="8">
        <f>'Income Statement'!I30</f>
        <v>0.14436405757024998</v>
      </c>
    </row>
    <row r="9" spans="1:11" x14ac:dyDescent="0.25">
      <c r="A9" s="14" t="s">
        <v>60</v>
      </c>
      <c r="F9" s="8">
        <f>F8-F7</f>
        <v>6.4444057570249985E-2</v>
      </c>
    </row>
    <row r="11" spans="1:11" x14ac:dyDescent="0.25">
      <c r="A11" s="53" t="s">
        <v>61</v>
      </c>
      <c r="B11" s="52"/>
      <c r="C11" s="52"/>
      <c r="D11" s="52"/>
      <c r="E11" s="52"/>
      <c r="F11" s="52"/>
    </row>
    <row r="12" spans="1:11" x14ac:dyDescent="0.25">
      <c r="A12" s="36" t="s">
        <v>56</v>
      </c>
      <c r="F12" s="8">
        <f>F4</f>
        <v>3.5069999999999997E-2</v>
      </c>
    </row>
    <row r="13" spans="1:11" x14ac:dyDescent="0.25">
      <c r="A13" s="36" t="s">
        <v>62</v>
      </c>
      <c r="F13" s="15">
        <f>SLOPE(E31:E187,C31:C187)</f>
        <v>0.81748959146447575</v>
      </c>
    </row>
    <row r="14" spans="1:11" x14ac:dyDescent="0.25">
      <c r="A14" s="36" t="s">
        <v>63</v>
      </c>
      <c r="F14" s="8">
        <f>C24</f>
        <v>0.79078557160949203</v>
      </c>
    </row>
    <row r="15" spans="1:11" x14ac:dyDescent="0.25">
      <c r="A15" s="36" t="s">
        <v>56</v>
      </c>
      <c r="F15" s="8">
        <f>F12</f>
        <v>3.5069999999999997E-2</v>
      </c>
    </row>
    <row r="17" spans="1:11" x14ac:dyDescent="0.25">
      <c r="A17" s="14" t="s">
        <v>61</v>
      </c>
      <c r="F17" s="8">
        <f>F12+F13*(F14-F15)</f>
        <v>0.65285961389838643</v>
      </c>
    </row>
    <row r="18" spans="1:11" x14ac:dyDescent="0.25">
      <c r="A18" s="14"/>
    </row>
    <row r="19" spans="1:11" x14ac:dyDescent="0.25">
      <c r="A19" s="14"/>
      <c r="I19" s="37" t="s">
        <v>76</v>
      </c>
      <c r="J19" s="41"/>
      <c r="K19" s="42"/>
    </row>
    <row r="20" spans="1:11" x14ac:dyDescent="0.25">
      <c r="A20" s="37" t="s">
        <v>64</v>
      </c>
      <c r="B20" s="41"/>
      <c r="C20" s="42"/>
      <c r="I20" s="36" t="s">
        <v>77</v>
      </c>
      <c r="J20" s="44">
        <f>300754904/(10^6)</f>
        <v>300.75490400000001</v>
      </c>
      <c r="K20" s="4"/>
    </row>
    <row r="21" spans="1:11" x14ac:dyDescent="0.25">
      <c r="A21" s="36" t="s">
        <v>65</v>
      </c>
      <c r="B21" s="50">
        <v>38230</v>
      </c>
      <c r="C21" s="4">
        <v>3.23</v>
      </c>
      <c r="I21" s="36" t="s">
        <v>78</v>
      </c>
      <c r="J21">
        <v>100.71</v>
      </c>
      <c r="K21" s="4"/>
    </row>
    <row r="22" spans="1:11" x14ac:dyDescent="0.25">
      <c r="A22" s="36" t="s">
        <v>66</v>
      </c>
      <c r="B22" s="50">
        <v>44954</v>
      </c>
      <c r="C22" s="4">
        <v>100.71</v>
      </c>
      <c r="I22" s="36"/>
      <c r="K22" s="4"/>
    </row>
    <row r="23" spans="1:11" x14ac:dyDescent="0.25">
      <c r="A23" s="36" t="s">
        <v>67</v>
      </c>
      <c r="B23" s="51">
        <f>YEARFRAC(B21,B22)</f>
        <v>18.411111111111111</v>
      </c>
      <c r="C23" s="4"/>
      <c r="I23" s="36"/>
      <c r="K23" s="4"/>
    </row>
    <row r="24" spans="1:11" x14ac:dyDescent="0.25">
      <c r="A24" s="38" t="s">
        <v>68</v>
      </c>
      <c r="B24" s="1"/>
      <c r="C24" s="48">
        <f>(C22/C21)*(1/(B23-1))-1</f>
        <v>0.79078557160949203</v>
      </c>
      <c r="I24" s="36" t="s">
        <v>79</v>
      </c>
      <c r="J24" s="18">
        <f>J20*J21</f>
        <v>30289.026381839998</v>
      </c>
      <c r="K24" s="4"/>
    </row>
    <row r="25" spans="1:11" x14ac:dyDescent="0.25">
      <c r="I25" s="36"/>
      <c r="K25" s="4"/>
    </row>
    <row r="26" spans="1:11" x14ac:dyDescent="0.25">
      <c r="I26" s="38" t="s">
        <v>80</v>
      </c>
      <c r="J26" s="43">
        <f>'Debt Schedule'!H6</f>
        <v>14630</v>
      </c>
      <c r="K26" s="5"/>
    </row>
    <row r="27" spans="1:11" x14ac:dyDescent="0.25">
      <c r="A27" s="14" t="s">
        <v>69</v>
      </c>
    </row>
    <row r="28" spans="1:11" x14ac:dyDescent="0.25">
      <c r="A28" t="s">
        <v>70</v>
      </c>
    </row>
    <row r="29" spans="1:11" x14ac:dyDescent="0.25">
      <c r="A29" s="39" t="s">
        <v>71</v>
      </c>
      <c r="B29" s="39" t="s">
        <v>72</v>
      </c>
      <c r="C29" s="39" t="s">
        <v>73</v>
      </c>
      <c r="D29" s="39" t="s">
        <v>74</v>
      </c>
      <c r="E29" s="39" t="s">
        <v>75</v>
      </c>
    </row>
    <row r="30" spans="1:11" x14ac:dyDescent="0.25">
      <c r="A30" s="40">
        <v>43857</v>
      </c>
      <c r="B30">
        <v>13614.099609000001</v>
      </c>
      <c r="D30">
        <v>71.711501999999996</v>
      </c>
    </row>
    <row r="31" spans="1:11" x14ac:dyDescent="0.25">
      <c r="A31" s="40">
        <v>43864</v>
      </c>
      <c r="B31">
        <v>13931.929688</v>
      </c>
      <c r="C31" s="7">
        <f>B31/B30-1</f>
        <v>2.3345655469561022E-2</v>
      </c>
      <c r="D31">
        <v>73.961501999999996</v>
      </c>
      <c r="E31" s="7">
        <f>D31/D30-1</f>
        <v>3.1375719894975784E-2</v>
      </c>
    </row>
    <row r="32" spans="1:11" x14ac:dyDescent="0.25">
      <c r="A32" s="40">
        <v>43871</v>
      </c>
      <c r="B32">
        <v>14097.339844</v>
      </c>
      <c r="C32" s="7">
        <f t="shared" ref="C32:C95" si="0">B32/B31-1</f>
        <v>1.1872738357449064E-2</v>
      </c>
      <c r="D32">
        <v>76.037002999999999</v>
      </c>
      <c r="E32" s="7">
        <f t="shared" ref="E32:E95" si="1">D32/D31-1</f>
        <v>2.8061909829792286E-2</v>
      </c>
    </row>
    <row r="33" spans="1:5" x14ac:dyDescent="0.25">
      <c r="A33" s="40">
        <v>43878</v>
      </c>
      <c r="B33">
        <v>13975.780273</v>
      </c>
      <c r="C33" s="7">
        <f t="shared" si="0"/>
        <v>-8.6228729920090341E-3</v>
      </c>
      <c r="D33">
        <v>74.255500999999995</v>
      </c>
      <c r="E33" s="7">
        <f t="shared" si="1"/>
        <v>-2.3429408442097621E-2</v>
      </c>
    </row>
    <row r="34" spans="1:5" x14ac:dyDescent="0.25">
      <c r="A34" s="40">
        <v>43885</v>
      </c>
      <c r="B34">
        <v>12380.969727</v>
      </c>
      <c r="C34" s="7">
        <f t="shared" si="0"/>
        <v>-0.11411245131558323</v>
      </c>
      <c r="D34">
        <v>66.966498999999999</v>
      </c>
      <c r="E34" s="7">
        <f t="shared" si="1"/>
        <v>-9.8161104589409409E-2</v>
      </c>
    </row>
    <row r="35" spans="1:5" x14ac:dyDescent="0.25">
      <c r="A35" s="40">
        <v>43892</v>
      </c>
      <c r="B35">
        <v>12352.030273</v>
      </c>
      <c r="C35" s="7">
        <f t="shared" si="0"/>
        <v>-2.3374141636812729E-3</v>
      </c>
      <c r="D35">
        <v>64.920501999999999</v>
      </c>
      <c r="E35" s="7">
        <f t="shared" si="1"/>
        <v>-3.0552545385417296E-2</v>
      </c>
    </row>
    <row r="36" spans="1:5" x14ac:dyDescent="0.25">
      <c r="A36" s="40">
        <v>43899</v>
      </c>
      <c r="B36">
        <v>10851.740234000001</v>
      </c>
      <c r="C36" s="7">
        <f t="shared" si="0"/>
        <v>-0.12146100728715392</v>
      </c>
      <c r="D36">
        <v>60.986499999999999</v>
      </c>
      <c r="E36" s="7">
        <f t="shared" si="1"/>
        <v>-6.0597220890251324E-2</v>
      </c>
    </row>
    <row r="37" spans="1:5" x14ac:dyDescent="0.25">
      <c r="A37" s="40">
        <v>43906</v>
      </c>
      <c r="B37">
        <v>9133.1601559999999</v>
      </c>
      <c r="C37" s="7">
        <f t="shared" si="0"/>
        <v>-0.15836907638237152</v>
      </c>
      <c r="D37">
        <v>53.616000999999997</v>
      </c>
      <c r="E37" s="7">
        <f t="shared" si="1"/>
        <v>-0.12085459896862427</v>
      </c>
    </row>
    <row r="38" spans="1:5" x14ac:dyDescent="0.25">
      <c r="A38" s="40">
        <v>43913</v>
      </c>
      <c r="B38">
        <v>10187.209961</v>
      </c>
      <c r="C38" s="7">
        <f t="shared" si="0"/>
        <v>0.11540910123070014</v>
      </c>
      <c r="D38">
        <v>55.535499999999999</v>
      </c>
      <c r="E38" s="7">
        <f t="shared" si="1"/>
        <v>3.5800861015352625E-2</v>
      </c>
    </row>
    <row r="39" spans="1:5" x14ac:dyDescent="0.25">
      <c r="A39" s="40">
        <v>43920</v>
      </c>
      <c r="B39">
        <v>9880.6298829999996</v>
      </c>
      <c r="C39" s="7">
        <f t="shared" si="0"/>
        <v>-3.0094606783770073E-2</v>
      </c>
      <c r="D39">
        <v>54.894001000000003</v>
      </c>
      <c r="E39" s="7">
        <f t="shared" si="1"/>
        <v>-1.1551151965859652E-2</v>
      </c>
    </row>
    <row r="40" spans="1:5" x14ac:dyDescent="0.25">
      <c r="A40" s="40">
        <v>43927</v>
      </c>
      <c r="B40">
        <v>11136.610352</v>
      </c>
      <c r="C40" s="7">
        <f t="shared" si="0"/>
        <v>0.12711542521807861</v>
      </c>
      <c r="D40">
        <v>60.572498000000003</v>
      </c>
      <c r="E40" s="7">
        <f t="shared" si="1"/>
        <v>0.1034447643923786</v>
      </c>
    </row>
    <row r="41" spans="1:5" x14ac:dyDescent="0.25">
      <c r="A41" s="40">
        <v>43934</v>
      </c>
      <c r="B41">
        <v>11208.290039</v>
      </c>
      <c r="C41" s="7">
        <f t="shared" si="0"/>
        <v>6.4364007300594661E-3</v>
      </c>
      <c r="D41">
        <v>64.162497999999999</v>
      </c>
      <c r="E41" s="7">
        <f t="shared" si="1"/>
        <v>5.9267821512000385E-2</v>
      </c>
    </row>
    <row r="42" spans="1:5" x14ac:dyDescent="0.25">
      <c r="A42" s="40">
        <v>43941</v>
      </c>
      <c r="B42">
        <v>11017.900390999999</v>
      </c>
      <c r="C42" s="7">
        <f t="shared" si="0"/>
        <v>-1.6986502609900977E-2</v>
      </c>
      <c r="D42">
        <v>63.965499999999999</v>
      </c>
      <c r="E42" s="7">
        <f t="shared" si="1"/>
        <v>-3.0702981670072127E-3</v>
      </c>
    </row>
    <row r="43" spans="1:5" x14ac:dyDescent="0.25">
      <c r="A43" s="40">
        <v>43948</v>
      </c>
      <c r="B43">
        <v>11058.570313</v>
      </c>
      <c r="C43" s="7">
        <f t="shared" si="0"/>
        <v>3.6912588203485974E-3</v>
      </c>
      <c r="D43">
        <v>66.030501999999998</v>
      </c>
      <c r="E43" s="7">
        <f t="shared" si="1"/>
        <v>3.2283058836404033E-2</v>
      </c>
    </row>
    <row r="44" spans="1:5" x14ac:dyDescent="0.25">
      <c r="A44" s="40">
        <v>43955</v>
      </c>
      <c r="B44">
        <v>11354.339844</v>
      </c>
      <c r="C44" s="7">
        <f t="shared" si="0"/>
        <v>2.6745729567980936E-2</v>
      </c>
      <c r="D44">
        <v>69.418503000000001</v>
      </c>
      <c r="E44" s="7">
        <f t="shared" si="1"/>
        <v>5.130963565898683E-2</v>
      </c>
    </row>
    <row r="45" spans="1:5" x14ac:dyDescent="0.25">
      <c r="A45" s="40">
        <v>43962</v>
      </c>
      <c r="B45">
        <v>10947.320313</v>
      </c>
      <c r="C45" s="7">
        <f t="shared" si="0"/>
        <v>-3.5847044970657826E-2</v>
      </c>
      <c r="D45">
        <v>68.659499999999994</v>
      </c>
      <c r="E45" s="7">
        <f t="shared" si="1"/>
        <v>-1.0933727568282592E-2</v>
      </c>
    </row>
    <row r="46" spans="1:5" x14ac:dyDescent="0.25">
      <c r="A46" s="40">
        <v>43969</v>
      </c>
      <c r="B46">
        <v>11331.969727</v>
      </c>
      <c r="C46" s="7">
        <f t="shared" si="0"/>
        <v>3.513639895447529E-2</v>
      </c>
      <c r="D46">
        <v>70.521004000000005</v>
      </c>
      <c r="E46" s="7">
        <f t="shared" si="1"/>
        <v>2.7112111215491064E-2</v>
      </c>
    </row>
    <row r="47" spans="1:5" x14ac:dyDescent="0.25">
      <c r="A47" s="40">
        <v>43976</v>
      </c>
      <c r="B47">
        <v>11802.950194999999</v>
      </c>
      <c r="C47" s="7">
        <f t="shared" si="0"/>
        <v>4.1562100795047296E-2</v>
      </c>
      <c r="D47">
        <v>71.445999</v>
      </c>
      <c r="E47" s="7">
        <f t="shared" si="1"/>
        <v>1.3116588640740279E-2</v>
      </c>
    </row>
    <row r="48" spans="1:5" x14ac:dyDescent="0.25">
      <c r="A48" s="40">
        <v>43983</v>
      </c>
      <c r="B48">
        <v>12641.440430000001</v>
      </c>
      <c r="C48" s="7">
        <f t="shared" si="0"/>
        <v>7.1040733134263734E-2</v>
      </c>
      <c r="D48">
        <v>71.919501999999994</v>
      </c>
      <c r="E48" s="7">
        <f t="shared" si="1"/>
        <v>6.6274250010835978E-3</v>
      </c>
    </row>
    <row r="49" spans="1:5" x14ac:dyDescent="0.25">
      <c r="A49" s="40">
        <v>43990</v>
      </c>
      <c r="B49">
        <v>11867.169921999999</v>
      </c>
      <c r="C49" s="7">
        <f t="shared" si="0"/>
        <v>-6.1248598392517284E-2</v>
      </c>
      <c r="D49">
        <v>70.658996999999999</v>
      </c>
      <c r="E49" s="7">
        <f t="shared" si="1"/>
        <v>-1.7526609124740578E-2</v>
      </c>
    </row>
    <row r="50" spans="1:5" x14ac:dyDescent="0.25">
      <c r="A50" s="40">
        <v>43997</v>
      </c>
      <c r="B50">
        <v>11980.120117</v>
      </c>
      <c r="C50" s="7">
        <f t="shared" si="0"/>
        <v>9.5178712146530842E-3</v>
      </c>
      <c r="D50">
        <v>71.585999000000001</v>
      </c>
      <c r="E50" s="7">
        <f t="shared" si="1"/>
        <v>1.3119376715749365E-2</v>
      </c>
    </row>
    <row r="51" spans="1:5" x14ac:dyDescent="0.25">
      <c r="A51" s="40">
        <v>44004</v>
      </c>
      <c r="B51">
        <v>11604.429688</v>
      </c>
      <c r="C51" s="7">
        <f t="shared" si="0"/>
        <v>-3.1359487662138585E-2</v>
      </c>
      <c r="D51">
        <v>67.995002999999997</v>
      </c>
      <c r="E51" s="7">
        <f t="shared" si="1"/>
        <v>-5.0163384602623262E-2</v>
      </c>
    </row>
    <row r="52" spans="1:5" x14ac:dyDescent="0.25">
      <c r="A52" s="40">
        <v>44011</v>
      </c>
      <c r="B52">
        <v>11991.519531</v>
      </c>
      <c r="C52" s="7">
        <f t="shared" si="0"/>
        <v>3.3357075996615748E-2</v>
      </c>
      <c r="D52">
        <v>73.235000999999997</v>
      </c>
      <c r="E52" s="7">
        <f t="shared" si="1"/>
        <v>7.7064457221952098E-2</v>
      </c>
    </row>
    <row r="53" spans="1:5" x14ac:dyDescent="0.25">
      <c r="A53" s="40">
        <v>44018</v>
      </c>
      <c r="B53">
        <v>12075.580078000001</v>
      </c>
      <c r="C53" s="7">
        <f t="shared" si="0"/>
        <v>7.0099995903514234E-3</v>
      </c>
      <c r="D53">
        <v>77.086997999999994</v>
      </c>
      <c r="E53" s="7">
        <f t="shared" si="1"/>
        <v>5.2597759915371523E-2</v>
      </c>
    </row>
    <row r="54" spans="1:5" x14ac:dyDescent="0.25">
      <c r="A54" s="40">
        <v>44025</v>
      </c>
      <c r="B54">
        <v>12402.740234000001</v>
      </c>
      <c r="C54" s="7">
        <f t="shared" si="0"/>
        <v>2.7092707256029858E-2</v>
      </c>
      <c r="D54">
        <v>75.777495999999999</v>
      </c>
      <c r="E54" s="7">
        <f t="shared" si="1"/>
        <v>-1.6987326449007578E-2</v>
      </c>
    </row>
    <row r="55" spans="1:5" x14ac:dyDescent="0.25">
      <c r="A55" s="40">
        <v>44032</v>
      </c>
      <c r="B55">
        <v>12461.780273</v>
      </c>
      <c r="C55" s="7">
        <f t="shared" si="0"/>
        <v>4.7602415180922897E-3</v>
      </c>
      <c r="D55">
        <v>75.593497999999997</v>
      </c>
      <c r="E55" s="7">
        <f t="shared" si="1"/>
        <v>-2.4281351286666863E-3</v>
      </c>
    </row>
    <row r="56" spans="1:5" x14ac:dyDescent="0.25">
      <c r="A56" s="40">
        <v>44039</v>
      </c>
      <c r="B56">
        <v>12465.049805000001</v>
      </c>
      <c r="C56" s="7">
        <f t="shared" si="0"/>
        <v>2.6236476076246795E-4</v>
      </c>
      <c r="D56">
        <v>74.148003000000003</v>
      </c>
      <c r="E56" s="7">
        <f t="shared" si="1"/>
        <v>-1.9121948821577139E-2</v>
      </c>
    </row>
    <row r="57" spans="1:5" x14ac:dyDescent="0.25">
      <c r="A57" s="40">
        <v>44046</v>
      </c>
      <c r="B57">
        <v>12765.839844</v>
      </c>
      <c r="C57" s="7">
        <f t="shared" si="0"/>
        <v>2.4130672857748614E-2</v>
      </c>
      <c r="D57">
        <v>74.724502999999999</v>
      </c>
      <c r="E57" s="7">
        <f t="shared" si="1"/>
        <v>7.774990244848512E-3</v>
      </c>
    </row>
    <row r="58" spans="1:5" x14ac:dyDescent="0.25">
      <c r="A58" s="40">
        <v>44053</v>
      </c>
      <c r="B58">
        <v>12902.5</v>
      </c>
      <c r="C58" s="7">
        <f t="shared" si="0"/>
        <v>1.0705144171476499E-2</v>
      </c>
      <c r="D58">
        <v>75.386497000000006</v>
      </c>
      <c r="E58" s="7">
        <f t="shared" si="1"/>
        <v>8.8591288455943662E-3</v>
      </c>
    </row>
    <row r="59" spans="1:5" x14ac:dyDescent="0.25">
      <c r="A59" s="40">
        <v>44060</v>
      </c>
      <c r="B59">
        <v>12809.070313</v>
      </c>
      <c r="C59" s="7">
        <f t="shared" si="0"/>
        <v>-7.2412080604533635E-3</v>
      </c>
      <c r="D59">
        <v>79.021004000000005</v>
      </c>
      <c r="E59" s="7">
        <f t="shared" si="1"/>
        <v>4.8211644586695579E-2</v>
      </c>
    </row>
    <row r="60" spans="1:5" x14ac:dyDescent="0.25">
      <c r="A60" s="40">
        <v>44067</v>
      </c>
      <c r="B60">
        <v>13170.959961</v>
      </c>
      <c r="C60" s="7">
        <f t="shared" si="0"/>
        <v>2.8252608437375537E-2</v>
      </c>
      <c r="D60">
        <v>82.220496999999995</v>
      </c>
      <c r="E60" s="7">
        <f t="shared" si="1"/>
        <v>4.0489146404669718E-2</v>
      </c>
    </row>
    <row r="61" spans="1:5" x14ac:dyDescent="0.25">
      <c r="A61" s="40">
        <v>44074</v>
      </c>
      <c r="B61">
        <v>12966.139648</v>
      </c>
      <c r="C61" s="7">
        <f t="shared" si="0"/>
        <v>-1.5550902410035872E-2</v>
      </c>
      <c r="D61">
        <v>79.552002000000002</v>
      </c>
      <c r="E61" s="7">
        <f t="shared" si="1"/>
        <v>-3.2455349911105436E-2</v>
      </c>
    </row>
    <row r="62" spans="1:5" x14ac:dyDescent="0.25">
      <c r="A62" s="40">
        <v>44081</v>
      </c>
      <c r="B62">
        <v>12773.040039</v>
      </c>
      <c r="C62" s="7">
        <f t="shared" si="0"/>
        <v>-1.489260599084985E-2</v>
      </c>
      <c r="D62">
        <v>76.036002999999994</v>
      </c>
      <c r="E62" s="7">
        <f t="shared" si="1"/>
        <v>-4.4197492352235357E-2</v>
      </c>
    </row>
    <row r="63" spans="1:5" x14ac:dyDescent="0.25">
      <c r="A63" s="40">
        <v>44088</v>
      </c>
      <c r="B63">
        <v>12833.570313</v>
      </c>
      <c r="C63" s="7">
        <f t="shared" si="0"/>
        <v>4.7389089688267827E-3</v>
      </c>
      <c r="D63">
        <v>72.999495999999994</v>
      </c>
      <c r="E63" s="7">
        <f t="shared" si="1"/>
        <v>-3.9935121260911144E-2</v>
      </c>
    </row>
    <row r="64" spans="1:5" x14ac:dyDescent="0.25">
      <c r="A64" s="40">
        <v>44095</v>
      </c>
      <c r="B64">
        <v>12485.379883</v>
      </c>
      <c r="C64" s="7">
        <f t="shared" si="0"/>
        <v>-2.7131220814467727E-2</v>
      </c>
      <c r="D64">
        <v>72.248001000000002</v>
      </c>
      <c r="E64" s="7">
        <f t="shared" si="1"/>
        <v>-1.0294523129310229E-2</v>
      </c>
    </row>
    <row r="65" spans="1:5" x14ac:dyDescent="0.25">
      <c r="A65" s="40">
        <v>44102</v>
      </c>
      <c r="B65">
        <v>12749.790039</v>
      </c>
      <c r="C65" s="7">
        <f t="shared" si="0"/>
        <v>2.117758197810371E-2</v>
      </c>
      <c r="D65">
        <v>72.920997999999997</v>
      </c>
      <c r="E65" s="7">
        <f t="shared" si="1"/>
        <v>9.3150950986171654E-3</v>
      </c>
    </row>
    <row r="66" spans="1:5" x14ac:dyDescent="0.25">
      <c r="A66" s="40">
        <v>44109</v>
      </c>
      <c r="B66">
        <v>13252.620117</v>
      </c>
      <c r="C66" s="7">
        <f t="shared" si="0"/>
        <v>3.9438302627879063E-2</v>
      </c>
      <c r="D66">
        <v>75.761002000000005</v>
      </c>
      <c r="E66" s="7">
        <f t="shared" si="1"/>
        <v>3.8946312830222096E-2</v>
      </c>
    </row>
    <row r="67" spans="1:5" x14ac:dyDescent="0.25">
      <c r="A67" s="40">
        <v>44116</v>
      </c>
      <c r="B67">
        <v>13169.320313</v>
      </c>
      <c r="C67" s="7">
        <f t="shared" si="0"/>
        <v>-6.285534729328468E-3</v>
      </c>
      <c r="D67">
        <v>78.650497000000001</v>
      </c>
      <c r="E67" s="7">
        <f t="shared" si="1"/>
        <v>3.8139609082783688E-2</v>
      </c>
    </row>
    <row r="68" spans="1:5" x14ac:dyDescent="0.25">
      <c r="A68" s="40">
        <v>44123</v>
      </c>
      <c r="B68">
        <v>13199.860352</v>
      </c>
      <c r="C68" s="7">
        <f t="shared" si="0"/>
        <v>2.3190292493571185E-3</v>
      </c>
      <c r="D68">
        <v>82.050003000000004</v>
      </c>
      <c r="E68" s="7">
        <f t="shared" si="1"/>
        <v>4.3222943651582968E-2</v>
      </c>
    </row>
    <row r="69" spans="1:5" x14ac:dyDescent="0.25">
      <c r="A69" s="40">
        <v>44130</v>
      </c>
      <c r="B69">
        <v>12429.330078000001</v>
      </c>
      <c r="C69" s="7">
        <f t="shared" si="0"/>
        <v>-5.8374123168905334E-2</v>
      </c>
      <c r="D69">
        <v>81.050499000000002</v>
      </c>
      <c r="E69" s="7">
        <f t="shared" si="1"/>
        <v>-1.218164489281004E-2</v>
      </c>
    </row>
    <row r="70" spans="1:5" x14ac:dyDescent="0.25">
      <c r="A70" s="40">
        <v>44137</v>
      </c>
      <c r="B70">
        <v>13218.669921999999</v>
      </c>
      <c r="C70" s="7">
        <f t="shared" si="0"/>
        <v>6.3506225922596915E-2</v>
      </c>
      <c r="D70">
        <v>88.087502000000001</v>
      </c>
      <c r="E70" s="7">
        <f t="shared" si="1"/>
        <v>8.6822451272015044E-2</v>
      </c>
    </row>
    <row r="71" spans="1:5" x14ac:dyDescent="0.25">
      <c r="A71" s="40">
        <v>44144</v>
      </c>
      <c r="B71">
        <v>13761.320313</v>
      </c>
      <c r="C71" s="7">
        <f t="shared" si="0"/>
        <v>4.1051814910429085E-2</v>
      </c>
      <c r="D71">
        <v>88.850998000000004</v>
      </c>
      <c r="E71" s="7">
        <f t="shared" si="1"/>
        <v>8.6674724866191433E-3</v>
      </c>
    </row>
    <row r="72" spans="1:5" x14ac:dyDescent="0.25">
      <c r="A72" s="40">
        <v>44151</v>
      </c>
      <c r="B72">
        <v>13827</v>
      </c>
      <c r="C72" s="7">
        <f t="shared" si="0"/>
        <v>4.7727751048678435E-3</v>
      </c>
      <c r="D72">
        <v>87.109497000000005</v>
      </c>
      <c r="E72" s="7">
        <f t="shared" si="1"/>
        <v>-1.9600241293856957E-2</v>
      </c>
    </row>
    <row r="73" spans="1:5" x14ac:dyDescent="0.25">
      <c r="A73" s="40">
        <v>44158</v>
      </c>
      <c r="B73">
        <v>14198.5</v>
      </c>
      <c r="C73" s="7">
        <f t="shared" si="0"/>
        <v>2.6867722571779939E-2</v>
      </c>
      <c r="D73">
        <v>89.659499999999994</v>
      </c>
      <c r="E73" s="7">
        <f t="shared" si="1"/>
        <v>2.9273536041655612E-2</v>
      </c>
    </row>
    <row r="74" spans="1:5" x14ac:dyDescent="0.25">
      <c r="A74" s="40">
        <v>44165</v>
      </c>
      <c r="B74">
        <v>14417.330078000001</v>
      </c>
      <c r="C74" s="7">
        <f t="shared" si="0"/>
        <v>1.5412196922210075E-2</v>
      </c>
      <c r="D74">
        <v>91.399497999999994</v>
      </c>
      <c r="E74" s="7">
        <f t="shared" si="1"/>
        <v>1.940673325191411E-2</v>
      </c>
    </row>
    <row r="75" spans="1:5" x14ac:dyDescent="0.25">
      <c r="A75" s="40">
        <v>44172</v>
      </c>
      <c r="B75">
        <v>14355.290039</v>
      </c>
      <c r="C75" s="7">
        <f t="shared" si="0"/>
        <v>-4.3031572880939395E-3</v>
      </c>
      <c r="D75">
        <v>89.088500999999994</v>
      </c>
      <c r="E75" s="7">
        <f t="shared" si="1"/>
        <v>-2.5284569943699209E-2</v>
      </c>
    </row>
    <row r="76" spans="1:5" x14ac:dyDescent="0.25">
      <c r="A76" s="40">
        <v>44179</v>
      </c>
      <c r="B76">
        <v>14467.820313</v>
      </c>
      <c r="C76" s="7">
        <f t="shared" si="0"/>
        <v>7.8389411634514072E-3</v>
      </c>
      <c r="D76">
        <v>86.550499000000002</v>
      </c>
      <c r="E76" s="7">
        <f t="shared" si="1"/>
        <v>-2.8488547584833546E-2</v>
      </c>
    </row>
    <row r="77" spans="1:5" x14ac:dyDescent="0.25">
      <c r="A77" s="40">
        <v>44186</v>
      </c>
      <c r="B77">
        <v>14382.5</v>
      </c>
      <c r="C77" s="7">
        <f t="shared" si="0"/>
        <v>-5.8972472116850527E-3</v>
      </c>
      <c r="D77">
        <v>86.942497000000003</v>
      </c>
      <c r="E77" s="7">
        <f t="shared" si="1"/>
        <v>4.5291246674383778E-3</v>
      </c>
    </row>
    <row r="78" spans="1:5" x14ac:dyDescent="0.25">
      <c r="A78" s="40">
        <v>44193</v>
      </c>
      <c r="B78">
        <v>14524.799805000001</v>
      </c>
      <c r="C78" s="7">
        <f t="shared" si="0"/>
        <v>9.8939548061880433E-3</v>
      </c>
      <c r="D78">
        <v>87.594002000000003</v>
      </c>
      <c r="E78" s="7">
        <f t="shared" si="1"/>
        <v>7.4935160879954221E-3</v>
      </c>
    </row>
    <row r="79" spans="1:5" x14ac:dyDescent="0.25">
      <c r="A79" s="40">
        <v>44200</v>
      </c>
      <c r="B79">
        <v>14966.830078000001</v>
      </c>
      <c r="C79" s="7">
        <f t="shared" si="0"/>
        <v>3.0432796247410909E-2</v>
      </c>
      <c r="D79">
        <v>90.360496999999995</v>
      </c>
      <c r="E79" s="7">
        <f t="shared" si="1"/>
        <v>3.1583155659447915E-2</v>
      </c>
    </row>
    <row r="80" spans="1:5" x14ac:dyDescent="0.25">
      <c r="A80" s="40">
        <v>44207</v>
      </c>
      <c r="B80">
        <v>14894.169921999999</v>
      </c>
      <c r="C80" s="7">
        <f t="shared" si="0"/>
        <v>-4.8547458360475026E-3</v>
      </c>
      <c r="D80">
        <v>86.809501999999995</v>
      </c>
      <c r="E80" s="7">
        <f t="shared" si="1"/>
        <v>-3.929809062471179E-2</v>
      </c>
    </row>
    <row r="81" spans="1:5" x14ac:dyDescent="0.25">
      <c r="A81" s="40">
        <v>44214</v>
      </c>
      <c r="B81">
        <v>14951.839844</v>
      </c>
      <c r="C81" s="7">
        <f t="shared" si="0"/>
        <v>3.8719795934929468E-3</v>
      </c>
      <c r="D81">
        <v>95.052498</v>
      </c>
      <c r="E81" s="7">
        <f t="shared" si="1"/>
        <v>9.4954996977174355E-2</v>
      </c>
    </row>
    <row r="82" spans="1:5" x14ac:dyDescent="0.25">
      <c r="A82" s="40">
        <v>44221</v>
      </c>
      <c r="B82">
        <v>14397.200194999999</v>
      </c>
      <c r="C82" s="7">
        <f t="shared" si="0"/>
        <v>-3.7095076912729952E-2</v>
      </c>
      <c r="D82">
        <v>91.787002999999999</v>
      </c>
      <c r="E82" s="7">
        <f t="shared" si="1"/>
        <v>-3.4354646839475977E-2</v>
      </c>
    </row>
    <row r="83" spans="1:5" x14ac:dyDescent="0.25">
      <c r="A83" s="40">
        <v>44228</v>
      </c>
      <c r="B83">
        <v>15069.599609000001</v>
      </c>
      <c r="C83" s="7">
        <f t="shared" si="0"/>
        <v>4.6703484350625324E-2</v>
      </c>
      <c r="D83">
        <v>104.900002</v>
      </c>
      <c r="E83" s="7">
        <f t="shared" si="1"/>
        <v>0.14286335288668273</v>
      </c>
    </row>
    <row r="84" spans="1:5" x14ac:dyDescent="0.25">
      <c r="A84" s="40">
        <v>44235</v>
      </c>
      <c r="B84">
        <v>15369.599609000001</v>
      </c>
      <c r="C84" s="7">
        <f t="shared" si="0"/>
        <v>1.99076291198097E-2</v>
      </c>
      <c r="D84">
        <v>105.20549800000001</v>
      </c>
      <c r="E84" s="7">
        <f t="shared" si="1"/>
        <v>2.9122592390418145E-3</v>
      </c>
    </row>
    <row r="85" spans="1:5" x14ac:dyDescent="0.25">
      <c r="A85" s="40">
        <v>44242</v>
      </c>
      <c r="B85">
        <v>15362.690430000001</v>
      </c>
      <c r="C85" s="7">
        <f t="shared" si="0"/>
        <v>-4.495353929685475E-4</v>
      </c>
      <c r="D85">
        <v>105.056999</v>
      </c>
      <c r="E85" s="7">
        <f t="shared" si="1"/>
        <v>-1.4115136834388364E-3</v>
      </c>
    </row>
    <row r="86" spans="1:5" x14ac:dyDescent="0.25">
      <c r="A86" s="40">
        <v>44249</v>
      </c>
      <c r="B86">
        <v>15010.469727</v>
      </c>
      <c r="C86" s="7">
        <f t="shared" si="0"/>
        <v>-2.2927019496024603E-2</v>
      </c>
      <c r="D86">
        <v>101.843002</v>
      </c>
      <c r="E86" s="7">
        <f t="shared" si="1"/>
        <v>-3.0592887961705451E-2</v>
      </c>
    </row>
    <row r="87" spans="1:5" x14ac:dyDescent="0.25">
      <c r="A87" s="40">
        <v>44256</v>
      </c>
      <c r="B87">
        <v>15251.830078000001</v>
      </c>
      <c r="C87" s="7">
        <f t="shared" si="0"/>
        <v>1.6079466891422811E-2</v>
      </c>
      <c r="D87">
        <v>105.427002</v>
      </c>
      <c r="E87" s="7">
        <f t="shared" si="1"/>
        <v>3.5191421399773715E-2</v>
      </c>
    </row>
    <row r="88" spans="1:5" x14ac:dyDescent="0.25">
      <c r="A88" s="40">
        <v>44263</v>
      </c>
      <c r="B88">
        <v>15715.209961</v>
      </c>
      <c r="C88" s="7">
        <f t="shared" si="0"/>
        <v>3.0381920112551031E-2</v>
      </c>
      <c r="D88">
        <v>103.096001</v>
      </c>
      <c r="E88" s="7">
        <f t="shared" si="1"/>
        <v>-2.2110094717480488E-2</v>
      </c>
    </row>
    <row r="89" spans="1:5" x14ac:dyDescent="0.25">
      <c r="A89" s="40">
        <v>44270</v>
      </c>
      <c r="B89">
        <v>15562.259765999999</v>
      </c>
      <c r="C89" s="7">
        <f t="shared" si="0"/>
        <v>-9.7326217963090711E-3</v>
      </c>
      <c r="D89">
        <v>102.160004</v>
      </c>
      <c r="E89" s="7">
        <f t="shared" si="1"/>
        <v>-9.0788875506432332E-3</v>
      </c>
    </row>
    <row r="90" spans="1:5" x14ac:dyDescent="0.25">
      <c r="A90" s="40">
        <v>44277</v>
      </c>
      <c r="B90">
        <v>15682.540039</v>
      </c>
      <c r="C90" s="7">
        <f t="shared" si="0"/>
        <v>7.7289721935360767E-3</v>
      </c>
      <c r="D90">
        <v>101.777496</v>
      </c>
      <c r="E90" s="7">
        <f t="shared" si="1"/>
        <v>-3.7442050217617595E-3</v>
      </c>
    </row>
    <row r="91" spans="1:5" x14ac:dyDescent="0.25">
      <c r="A91" s="40">
        <v>44284</v>
      </c>
      <c r="B91">
        <v>15751.700194999999</v>
      </c>
      <c r="C91" s="7">
        <f t="shared" si="0"/>
        <v>4.4100098471300253E-3</v>
      </c>
      <c r="D91">
        <v>106.887497</v>
      </c>
      <c r="E91" s="7">
        <f t="shared" si="1"/>
        <v>5.0207572408737633E-2</v>
      </c>
    </row>
    <row r="92" spans="1:5" x14ac:dyDescent="0.25">
      <c r="A92" s="40">
        <v>44291</v>
      </c>
      <c r="B92">
        <v>15956.370117</v>
      </c>
      <c r="C92" s="7">
        <f t="shared" si="0"/>
        <v>1.299351304724361E-2</v>
      </c>
      <c r="D92">
        <v>114.293999</v>
      </c>
      <c r="E92" s="7">
        <f t="shared" si="1"/>
        <v>6.9292501067734769E-2</v>
      </c>
    </row>
    <row r="93" spans="1:5" x14ac:dyDescent="0.25">
      <c r="A93" s="40">
        <v>44298</v>
      </c>
      <c r="B93">
        <v>16186.290039</v>
      </c>
      <c r="C93" s="7">
        <f t="shared" si="0"/>
        <v>1.4409287345061195E-2</v>
      </c>
      <c r="D93">
        <v>114.88800000000001</v>
      </c>
      <c r="E93" s="7">
        <f t="shared" si="1"/>
        <v>5.1971320034047697E-3</v>
      </c>
    </row>
    <row r="94" spans="1:5" x14ac:dyDescent="0.25">
      <c r="A94" s="40">
        <v>44305</v>
      </c>
      <c r="B94">
        <v>16206</v>
      </c>
      <c r="C94" s="7">
        <f t="shared" si="0"/>
        <v>1.2176947869160237E-3</v>
      </c>
      <c r="D94">
        <v>115.764999</v>
      </c>
      <c r="E94" s="7">
        <f t="shared" si="1"/>
        <v>7.6335126383957341E-3</v>
      </c>
    </row>
    <row r="95" spans="1:5" x14ac:dyDescent="0.25">
      <c r="A95" s="40">
        <v>44312</v>
      </c>
      <c r="B95">
        <v>16219.330078000001</v>
      </c>
      <c r="C95" s="7">
        <f t="shared" si="0"/>
        <v>8.2253967666301442E-4</v>
      </c>
      <c r="D95">
        <v>120.50599699999999</v>
      </c>
      <c r="E95" s="7">
        <f t="shared" si="1"/>
        <v>4.0953639191064983E-2</v>
      </c>
    </row>
    <row r="96" spans="1:5" x14ac:dyDescent="0.25">
      <c r="A96" s="40">
        <v>44319</v>
      </c>
      <c r="B96">
        <v>16590.429688</v>
      </c>
      <c r="C96" s="7">
        <f t="shared" ref="C96:C159" si="2">B96/B95-1</f>
        <v>2.2880082482775288E-2</v>
      </c>
      <c r="D96">
        <v>119.93450199999999</v>
      </c>
      <c r="E96" s="7">
        <f t="shared" ref="E96:E159" si="3">D96/D95-1</f>
        <v>-4.7424610743646012E-3</v>
      </c>
    </row>
    <row r="97" spans="1:5" x14ac:dyDescent="0.25">
      <c r="A97" s="40">
        <v>44326</v>
      </c>
      <c r="B97">
        <v>16415.359375</v>
      </c>
      <c r="C97" s="7">
        <f t="shared" si="2"/>
        <v>-1.0552488168924845E-2</v>
      </c>
      <c r="D97">
        <v>115.807999</v>
      </c>
      <c r="E97" s="7">
        <f t="shared" si="3"/>
        <v>-3.4406304534453258E-2</v>
      </c>
    </row>
    <row r="98" spans="1:5" x14ac:dyDescent="0.25">
      <c r="A98" s="40">
        <v>44333</v>
      </c>
      <c r="B98">
        <v>16375</v>
      </c>
      <c r="C98" s="7">
        <f t="shared" si="2"/>
        <v>-2.4586348722566154E-3</v>
      </c>
      <c r="D98">
        <v>117.254997</v>
      </c>
      <c r="E98" s="7">
        <f t="shared" si="3"/>
        <v>1.2494801848704773E-2</v>
      </c>
    </row>
    <row r="99" spans="1:5" x14ac:dyDescent="0.25">
      <c r="A99" s="40">
        <v>44340</v>
      </c>
      <c r="B99">
        <v>16555.660156000002</v>
      </c>
      <c r="C99" s="7">
        <f t="shared" si="2"/>
        <v>1.1032681282442836E-2</v>
      </c>
      <c r="D99">
        <v>120.578003</v>
      </c>
      <c r="E99" s="7">
        <f t="shared" si="3"/>
        <v>2.8339994755191444E-2</v>
      </c>
    </row>
    <row r="100" spans="1:5" x14ac:dyDescent="0.25">
      <c r="A100" s="40">
        <v>44347</v>
      </c>
      <c r="B100">
        <v>16708.740234000001</v>
      </c>
      <c r="C100" s="7">
        <f t="shared" si="2"/>
        <v>9.2463892443770401E-3</v>
      </c>
      <c r="D100">
        <v>122.587997</v>
      </c>
      <c r="E100" s="7">
        <f t="shared" si="3"/>
        <v>1.6669657400114835E-2</v>
      </c>
    </row>
    <row r="101" spans="1:5" x14ac:dyDescent="0.25">
      <c r="A101" s="40">
        <v>44354</v>
      </c>
      <c r="B101">
        <v>16694.929688</v>
      </c>
      <c r="C101" s="7">
        <f t="shared" si="2"/>
        <v>-8.2654621512989745E-4</v>
      </c>
      <c r="D101">
        <v>125.69650300000001</v>
      </c>
      <c r="E101" s="7">
        <f t="shared" si="3"/>
        <v>2.5357343916794672E-2</v>
      </c>
    </row>
    <row r="102" spans="1:5" x14ac:dyDescent="0.25">
      <c r="A102" s="40">
        <v>44361</v>
      </c>
      <c r="B102">
        <v>16143.950194999999</v>
      </c>
      <c r="C102" s="7">
        <f t="shared" si="2"/>
        <v>-3.3002804042716938E-2</v>
      </c>
      <c r="D102">
        <v>125.567497</v>
      </c>
      <c r="E102" s="7">
        <f t="shared" si="3"/>
        <v>-1.0263292686830683E-3</v>
      </c>
    </row>
    <row r="103" spans="1:5" x14ac:dyDescent="0.25">
      <c r="A103" s="40">
        <v>44368</v>
      </c>
      <c r="B103">
        <v>16658.789063</v>
      </c>
      <c r="C103" s="7">
        <f t="shared" si="2"/>
        <v>3.1890513894142991E-2</v>
      </c>
      <c r="D103">
        <v>126.995003</v>
      </c>
      <c r="E103" s="7">
        <f t="shared" si="3"/>
        <v>1.1368435575330516E-2</v>
      </c>
    </row>
    <row r="104" spans="1:5" x14ac:dyDescent="0.25">
      <c r="A104" s="40">
        <v>44375</v>
      </c>
      <c r="B104">
        <v>16674.849609000001</v>
      </c>
      <c r="C104" s="7">
        <f t="shared" si="2"/>
        <v>9.6408844239892488E-4</v>
      </c>
      <c r="D104">
        <v>128.71899400000001</v>
      </c>
      <c r="E104" s="7">
        <f t="shared" si="3"/>
        <v>1.3575266422096943E-2</v>
      </c>
    </row>
    <row r="105" spans="1:5" x14ac:dyDescent="0.25">
      <c r="A105" s="40">
        <v>44382</v>
      </c>
      <c r="B105">
        <v>16633.300781000002</v>
      </c>
      <c r="C105" s="7">
        <f t="shared" si="2"/>
        <v>-2.4917063106568715E-3</v>
      </c>
      <c r="D105">
        <v>129.57449299999999</v>
      </c>
      <c r="E105" s="7">
        <f t="shared" si="3"/>
        <v>6.6462529997708408E-3</v>
      </c>
    </row>
    <row r="106" spans="1:5" x14ac:dyDescent="0.25">
      <c r="A106" s="40">
        <v>44389</v>
      </c>
      <c r="B106">
        <v>16364.660156</v>
      </c>
      <c r="C106" s="7">
        <f t="shared" si="2"/>
        <v>-1.6150770585887986E-2</v>
      </c>
      <c r="D106">
        <v>131.845505</v>
      </c>
      <c r="E106" s="7">
        <f t="shared" si="3"/>
        <v>1.752669022598452E-2</v>
      </c>
    </row>
    <row r="107" spans="1:5" x14ac:dyDescent="0.25">
      <c r="A107" s="40">
        <v>44396</v>
      </c>
      <c r="B107">
        <v>16552.380859000001</v>
      </c>
      <c r="C107" s="7">
        <f t="shared" si="2"/>
        <v>1.1471103048307008E-2</v>
      </c>
      <c r="D107">
        <v>137.81599399999999</v>
      </c>
      <c r="E107" s="7">
        <f t="shared" si="3"/>
        <v>4.5283978395774582E-2</v>
      </c>
    </row>
    <row r="108" spans="1:5" x14ac:dyDescent="0.25">
      <c r="A108" s="40">
        <v>44403</v>
      </c>
      <c r="B108">
        <v>16602.289063</v>
      </c>
      <c r="C108" s="7">
        <f t="shared" si="2"/>
        <v>3.0151676924992099E-3</v>
      </c>
      <c r="D108">
        <v>135.22099299999999</v>
      </c>
      <c r="E108" s="7">
        <f t="shared" si="3"/>
        <v>-1.8829461840256356E-2</v>
      </c>
    </row>
    <row r="109" spans="1:5" x14ac:dyDescent="0.25">
      <c r="A109" s="40">
        <v>44410</v>
      </c>
      <c r="B109">
        <v>16748.080077999999</v>
      </c>
      <c r="C109" s="7">
        <f t="shared" si="2"/>
        <v>8.7813803534424473E-3</v>
      </c>
      <c r="D109">
        <v>137.03599500000001</v>
      </c>
      <c r="E109" s="7">
        <f t="shared" si="3"/>
        <v>1.3422486847142201E-2</v>
      </c>
    </row>
    <row r="110" spans="1:5" x14ac:dyDescent="0.25">
      <c r="A110" s="40">
        <v>44417</v>
      </c>
      <c r="B110">
        <v>16868.109375</v>
      </c>
      <c r="C110" s="7">
        <f t="shared" si="2"/>
        <v>7.1667496477803017E-3</v>
      </c>
      <c r="D110">
        <v>138.40600599999999</v>
      </c>
      <c r="E110" s="7">
        <f t="shared" si="3"/>
        <v>9.9974535887448202E-3</v>
      </c>
    </row>
    <row r="111" spans="1:5" x14ac:dyDescent="0.25">
      <c r="A111" s="40">
        <v>44424</v>
      </c>
      <c r="B111">
        <v>16516.679688</v>
      </c>
      <c r="C111" s="7">
        <f t="shared" si="2"/>
        <v>-2.0833970137806301E-2</v>
      </c>
      <c r="D111">
        <v>138.43699599999999</v>
      </c>
      <c r="E111" s="7">
        <f t="shared" si="3"/>
        <v>2.2390646833647665E-4</v>
      </c>
    </row>
    <row r="112" spans="1:5" x14ac:dyDescent="0.25">
      <c r="A112" s="40">
        <v>44431</v>
      </c>
      <c r="B112">
        <v>16844.75</v>
      </c>
      <c r="C112" s="7">
        <f t="shared" si="2"/>
        <v>1.9862969930836361E-2</v>
      </c>
      <c r="D112">
        <v>144.55050700000001</v>
      </c>
      <c r="E112" s="7">
        <f t="shared" si="3"/>
        <v>4.4160962579685048E-2</v>
      </c>
    </row>
    <row r="113" spans="1:5" x14ac:dyDescent="0.25">
      <c r="A113" s="40">
        <v>44438</v>
      </c>
      <c r="B113">
        <v>16909.720702999999</v>
      </c>
      <c r="C113" s="7">
        <f t="shared" si="2"/>
        <v>3.8570298164115613E-3</v>
      </c>
      <c r="D113">
        <v>144.77499399999999</v>
      </c>
      <c r="E113" s="7">
        <f t="shared" si="3"/>
        <v>1.5530004332671155E-3</v>
      </c>
    </row>
    <row r="114" spans="1:5" x14ac:dyDescent="0.25">
      <c r="A114" s="40">
        <v>44445</v>
      </c>
      <c r="B114">
        <v>16563.480468999998</v>
      </c>
      <c r="C114" s="7">
        <f t="shared" si="2"/>
        <v>-2.0475810338994704E-2</v>
      </c>
      <c r="D114">
        <v>141.92100500000001</v>
      </c>
      <c r="E114" s="7">
        <f t="shared" si="3"/>
        <v>-1.9713273136105158E-2</v>
      </c>
    </row>
    <row r="115" spans="1:5" x14ac:dyDescent="0.25">
      <c r="A115" s="40">
        <v>44452</v>
      </c>
      <c r="B115">
        <v>16460.349609000001</v>
      </c>
      <c r="C115" s="7">
        <f t="shared" si="2"/>
        <v>-6.22640031441557E-3</v>
      </c>
      <c r="D115">
        <v>141.46350100000001</v>
      </c>
      <c r="E115" s="7">
        <f t="shared" si="3"/>
        <v>-3.2236524818859413E-3</v>
      </c>
    </row>
    <row r="116" spans="1:5" x14ac:dyDescent="0.25">
      <c r="A116" s="40">
        <v>44459</v>
      </c>
      <c r="B116">
        <v>16539.150390999999</v>
      </c>
      <c r="C116" s="7">
        <f t="shared" si="2"/>
        <v>4.7873091320558281E-3</v>
      </c>
      <c r="D116">
        <v>142.63299599999999</v>
      </c>
      <c r="E116" s="7">
        <f t="shared" si="3"/>
        <v>8.2671147803698997E-3</v>
      </c>
    </row>
    <row r="117" spans="1:5" x14ac:dyDescent="0.25">
      <c r="A117" s="40">
        <v>44466</v>
      </c>
      <c r="B117">
        <v>16323.740234000001</v>
      </c>
      <c r="C117" s="7">
        <f t="shared" si="2"/>
        <v>-1.3024257710191445E-2</v>
      </c>
      <c r="D117">
        <v>136.46249399999999</v>
      </c>
      <c r="E117" s="7">
        <f t="shared" si="3"/>
        <v>-4.3261392335893989E-2</v>
      </c>
    </row>
    <row r="118" spans="1:5" x14ac:dyDescent="0.25">
      <c r="A118" s="40">
        <v>44473</v>
      </c>
      <c r="B118">
        <v>16517.230468999998</v>
      </c>
      <c r="C118" s="7">
        <f t="shared" si="2"/>
        <v>1.1853302749634809E-2</v>
      </c>
      <c r="D118">
        <v>140.05600000000001</v>
      </c>
      <c r="E118" s="7">
        <f t="shared" si="3"/>
        <v>2.6333286859025362E-2</v>
      </c>
    </row>
    <row r="119" spans="1:5" x14ac:dyDescent="0.25">
      <c r="A119" s="40">
        <v>44480</v>
      </c>
      <c r="B119">
        <v>16871.740234000001</v>
      </c>
      <c r="C119" s="7">
        <f t="shared" si="2"/>
        <v>2.1463027089520637E-2</v>
      </c>
      <c r="D119">
        <v>141.675003</v>
      </c>
      <c r="E119" s="7">
        <f t="shared" si="3"/>
        <v>1.1559683269549259E-2</v>
      </c>
    </row>
    <row r="120" spans="1:5" x14ac:dyDescent="0.25">
      <c r="A120" s="40">
        <v>44487</v>
      </c>
      <c r="B120">
        <v>17122.240234000001</v>
      </c>
      <c r="C120" s="7">
        <f t="shared" si="2"/>
        <v>1.4847312519380207E-2</v>
      </c>
      <c r="D120">
        <v>138.625</v>
      </c>
      <c r="E120" s="7">
        <f t="shared" si="3"/>
        <v>-2.15281661225728E-2</v>
      </c>
    </row>
    <row r="121" spans="1:5" x14ac:dyDescent="0.25">
      <c r="A121" s="40">
        <v>44494</v>
      </c>
      <c r="B121">
        <v>17016.410156000002</v>
      </c>
      <c r="C121" s="7">
        <f t="shared" si="2"/>
        <v>-6.1808546401451725E-3</v>
      </c>
      <c r="D121">
        <v>148.27049299999999</v>
      </c>
      <c r="E121" s="7">
        <f t="shared" si="3"/>
        <v>6.9579751127141432E-2</v>
      </c>
    </row>
    <row r="122" spans="1:5" x14ac:dyDescent="0.25">
      <c r="A122" s="40">
        <v>44501</v>
      </c>
      <c r="B122">
        <v>17242.359375</v>
      </c>
      <c r="C122" s="7">
        <f t="shared" si="2"/>
        <v>1.3278312930199876E-2</v>
      </c>
      <c r="D122">
        <v>149.24099699999999</v>
      </c>
      <c r="E122" s="7">
        <f t="shared" si="3"/>
        <v>6.5454965473137339E-3</v>
      </c>
    </row>
    <row r="123" spans="1:5" x14ac:dyDescent="0.25">
      <c r="A123" s="40">
        <v>44508</v>
      </c>
      <c r="B123">
        <v>17297.660156000002</v>
      </c>
      <c r="C123" s="7">
        <f t="shared" si="2"/>
        <v>3.2072629851447321E-3</v>
      </c>
      <c r="D123">
        <v>149.64549299999999</v>
      </c>
      <c r="E123" s="7">
        <f t="shared" si="3"/>
        <v>2.7103544477125041E-3</v>
      </c>
    </row>
    <row r="124" spans="1:5" x14ac:dyDescent="0.25">
      <c r="A124" s="40">
        <v>44515</v>
      </c>
      <c r="B124">
        <v>16973.960938</v>
      </c>
      <c r="C124" s="7">
        <f t="shared" si="2"/>
        <v>-1.8713468473810946E-2</v>
      </c>
      <c r="D124">
        <v>149.95249899999999</v>
      </c>
      <c r="E124" s="7">
        <f t="shared" si="3"/>
        <v>2.051555271363803E-3</v>
      </c>
    </row>
    <row r="125" spans="1:5" x14ac:dyDescent="0.25">
      <c r="A125" s="40">
        <v>44522</v>
      </c>
      <c r="B125">
        <v>16624.869140999999</v>
      </c>
      <c r="C125" s="7">
        <f t="shared" si="2"/>
        <v>-2.0566313206158093E-2</v>
      </c>
      <c r="D125">
        <v>142.80600000000001</v>
      </c>
      <c r="E125" s="7">
        <f t="shared" si="3"/>
        <v>-4.7658418817014714E-2</v>
      </c>
    </row>
    <row r="126" spans="1:5" x14ac:dyDescent="0.25">
      <c r="A126" s="40">
        <v>44529</v>
      </c>
      <c r="B126">
        <v>16347.870117</v>
      </c>
      <c r="C126" s="7">
        <f t="shared" si="2"/>
        <v>-1.6661726576654212E-2</v>
      </c>
      <c r="D126">
        <v>142.52049299999999</v>
      </c>
      <c r="E126" s="7">
        <f t="shared" si="3"/>
        <v>-1.9992647367759186E-3</v>
      </c>
    </row>
    <row r="127" spans="1:5" x14ac:dyDescent="0.25">
      <c r="A127" s="40">
        <v>44536</v>
      </c>
      <c r="B127">
        <v>16856.630859000001</v>
      </c>
      <c r="C127" s="7">
        <f t="shared" si="2"/>
        <v>3.1120919016290882E-2</v>
      </c>
      <c r="D127">
        <v>148.675003</v>
      </c>
      <c r="E127" s="7">
        <f t="shared" si="3"/>
        <v>4.3183333641710231E-2</v>
      </c>
    </row>
    <row r="128" spans="1:5" x14ac:dyDescent="0.25">
      <c r="A128" s="40">
        <v>44543</v>
      </c>
      <c r="B128">
        <v>16668.640625</v>
      </c>
      <c r="C128" s="7">
        <f t="shared" si="2"/>
        <v>-1.1152301760207872E-2</v>
      </c>
      <c r="D128">
        <v>142.80299400000001</v>
      </c>
      <c r="E128" s="7">
        <f t="shared" si="3"/>
        <v>-3.9495603709521987E-2</v>
      </c>
    </row>
    <row r="129" spans="1:5" x14ac:dyDescent="0.25">
      <c r="A129" s="40">
        <v>44550</v>
      </c>
      <c r="B129">
        <v>16963.439452999999</v>
      </c>
      <c r="C129" s="7">
        <f t="shared" si="2"/>
        <v>1.7685835013915518E-2</v>
      </c>
      <c r="D129">
        <v>147.14250200000001</v>
      </c>
      <c r="E129" s="7">
        <f t="shared" si="3"/>
        <v>3.0388074356480166E-2</v>
      </c>
    </row>
    <row r="130" spans="1:5" x14ac:dyDescent="0.25">
      <c r="A130" s="40">
        <v>44557</v>
      </c>
      <c r="B130">
        <v>17164.130859000001</v>
      </c>
      <c r="C130" s="7">
        <f t="shared" si="2"/>
        <v>1.1830820427428668E-2</v>
      </c>
      <c r="D130">
        <v>144.67950400000001</v>
      </c>
      <c r="E130" s="7">
        <f t="shared" si="3"/>
        <v>-1.6738861760010049E-2</v>
      </c>
    </row>
    <row r="131" spans="1:5" x14ac:dyDescent="0.25">
      <c r="A131" s="40">
        <v>44564</v>
      </c>
      <c r="B131">
        <v>17166.279297000001</v>
      </c>
      <c r="C131" s="7">
        <f t="shared" si="2"/>
        <v>1.2517021791835781E-4</v>
      </c>
      <c r="D131">
        <v>137.004501</v>
      </c>
      <c r="E131" s="7">
        <f t="shared" si="3"/>
        <v>-5.3048308763900653E-2</v>
      </c>
    </row>
    <row r="132" spans="1:5" x14ac:dyDescent="0.25">
      <c r="A132" s="40">
        <v>44571</v>
      </c>
      <c r="B132">
        <v>17219.060547000001</v>
      </c>
      <c r="C132" s="7">
        <f t="shared" si="2"/>
        <v>3.0747053037418759E-3</v>
      </c>
      <c r="D132">
        <v>139.78649899999999</v>
      </c>
      <c r="E132" s="7">
        <f t="shared" si="3"/>
        <v>2.0305887614597395E-2</v>
      </c>
    </row>
    <row r="133" spans="1:5" x14ac:dyDescent="0.25">
      <c r="A133" s="40">
        <v>44578</v>
      </c>
      <c r="B133">
        <v>16397.339843999998</v>
      </c>
      <c r="C133" s="7">
        <f t="shared" si="2"/>
        <v>-4.77215757942826E-2</v>
      </c>
      <c r="D133">
        <v>130.091995</v>
      </c>
      <c r="E133" s="7">
        <f t="shared" si="3"/>
        <v>-6.9352219773384571E-2</v>
      </c>
    </row>
    <row r="134" spans="1:5" x14ac:dyDescent="0.25">
      <c r="A134" s="40">
        <v>44585</v>
      </c>
      <c r="B134">
        <v>16397.859375</v>
      </c>
      <c r="C134" s="7">
        <f t="shared" si="2"/>
        <v>3.1683858781050844E-5</v>
      </c>
      <c r="D134">
        <v>133.28950499999999</v>
      </c>
      <c r="E134" s="7">
        <f t="shared" si="3"/>
        <v>2.457883746036793E-2</v>
      </c>
    </row>
    <row r="135" spans="1:5" x14ac:dyDescent="0.25">
      <c r="A135" s="40">
        <v>44592</v>
      </c>
      <c r="B135">
        <v>16701.580077999999</v>
      </c>
      <c r="C135" s="7">
        <f t="shared" si="2"/>
        <v>1.8521972658397612E-2</v>
      </c>
      <c r="D135">
        <v>143.016006</v>
      </c>
      <c r="E135" s="7">
        <f t="shared" si="3"/>
        <v>7.2972744553294167E-2</v>
      </c>
    </row>
    <row r="136" spans="1:5" x14ac:dyDescent="0.25">
      <c r="A136" s="40">
        <v>44599</v>
      </c>
      <c r="B136">
        <v>16664.990234000001</v>
      </c>
      <c r="C136" s="7">
        <f t="shared" si="2"/>
        <v>-2.1908013391017667E-3</v>
      </c>
      <c r="D136">
        <v>134.13000500000001</v>
      </c>
      <c r="E136" s="7">
        <f t="shared" si="3"/>
        <v>-6.2132912591615796E-2</v>
      </c>
    </row>
    <row r="137" spans="1:5" x14ac:dyDescent="0.25">
      <c r="A137" s="40">
        <v>44606</v>
      </c>
      <c r="B137">
        <v>16392.320313</v>
      </c>
      <c r="C137" s="7">
        <f t="shared" si="2"/>
        <v>-1.6361841031487523E-2</v>
      </c>
      <c r="D137">
        <v>130.467499</v>
      </c>
      <c r="E137" s="7">
        <f t="shared" si="3"/>
        <v>-2.7305642760544147E-2</v>
      </c>
    </row>
    <row r="138" spans="1:5" x14ac:dyDescent="0.25">
      <c r="A138" s="40">
        <v>44613</v>
      </c>
      <c r="B138">
        <v>16427.960938</v>
      </c>
      <c r="C138" s="7">
        <f t="shared" si="2"/>
        <v>2.1742269745506082E-3</v>
      </c>
      <c r="D138">
        <v>134.51950099999999</v>
      </c>
      <c r="E138" s="7">
        <f t="shared" si="3"/>
        <v>3.1057558633817095E-2</v>
      </c>
    </row>
    <row r="139" spans="1:5" x14ac:dyDescent="0.25">
      <c r="A139" s="40">
        <v>44620</v>
      </c>
      <c r="B139">
        <v>16129.660156</v>
      </c>
      <c r="C139" s="7">
        <f t="shared" si="2"/>
        <v>-1.8158113665220132E-2</v>
      </c>
      <c r="D139">
        <v>132.121994</v>
      </c>
      <c r="E139" s="7">
        <f t="shared" si="3"/>
        <v>-1.7822746755505658E-2</v>
      </c>
    </row>
    <row r="140" spans="1:5" x14ac:dyDescent="0.25">
      <c r="A140" s="40">
        <v>44627</v>
      </c>
      <c r="B140">
        <v>15753.700194999999</v>
      </c>
      <c r="C140" s="7">
        <f t="shared" si="2"/>
        <v>-2.3308610185450718E-2</v>
      </c>
      <c r="D140">
        <v>130.475494</v>
      </c>
      <c r="E140" s="7">
        <f t="shared" si="3"/>
        <v>-1.2461967535851826E-2</v>
      </c>
    </row>
    <row r="141" spans="1:5" x14ac:dyDescent="0.25">
      <c r="A141" s="40">
        <v>44634</v>
      </c>
      <c r="B141">
        <v>16612.640625</v>
      </c>
      <c r="C141" s="7">
        <f t="shared" si="2"/>
        <v>5.4523091043246819E-2</v>
      </c>
      <c r="D141">
        <v>136.80149800000001</v>
      </c>
      <c r="E141" s="7">
        <f t="shared" si="3"/>
        <v>4.8484231069475969E-2</v>
      </c>
    </row>
    <row r="142" spans="1:5" x14ac:dyDescent="0.25">
      <c r="A142" s="40">
        <v>44641</v>
      </c>
      <c r="B142">
        <v>16792.800781000002</v>
      </c>
      <c r="C142" s="7">
        <f t="shared" si="2"/>
        <v>1.0844763338158536E-2</v>
      </c>
      <c r="D142">
        <v>141.5215</v>
      </c>
      <c r="E142" s="7">
        <f t="shared" si="3"/>
        <v>3.4502560783362224E-2</v>
      </c>
    </row>
    <row r="143" spans="1:5" x14ac:dyDescent="0.25">
      <c r="A143" s="40">
        <v>44648</v>
      </c>
      <c r="B143">
        <v>16787.75</v>
      </c>
      <c r="C143" s="7">
        <f t="shared" si="2"/>
        <v>-3.0077061389999216E-4</v>
      </c>
      <c r="D143">
        <v>140.699997</v>
      </c>
      <c r="E143" s="7">
        <f t="shared" si="3"/>
        <v>-5.8047929113245189E-3</v>
      </c>
    </row>
    <row r="144" spans="1:5" x14ac:dyDescent="0.25">
      <c r="A144" s="40">
        <v>44655</v>
      </c>
      <c r="B144">
        <v>16689.949218999998</v>
      </c>
      <c r="C144" s="7">
        <f t="shared" si="2"/>
        <v>-5.8257229825320334E-3</v>
      </c>
      <c r="D144">
        <v>134.01049800000001</v>
      </c>
      <c r="E144" s="7">
        <f t="shared" si="3"/>
        <v>-4.7544414659795531E-2</v>
      </c>
    </row>
    <row r="145" spans="1:5" x14ac:dyDescent="0.25">
      <c r="A145" s="40">
        <v>44662</v>
      </c>
      <c r="B145">
        <v>16511.509765999999</v>
      </c>
      <c r="C145" s="7">
        <f t="shared" si="2"/>
        <v>-1.0691431750844527E-2</v>
      </c>
      <c r="D145">
        <v>127.25299800000001</v>
      </c>
      <c r="E145" s="7">
        <f t="shared" si="3"/>
        <v>-5.0425154005472095E-2</v>
      </c>
    </row>
    <row r="146" spans="1:5" x14ac:dyDescent="0.25">
      <c r="A146" s="40">
        <v>44669</v>
      </c>
      <c r="B146">
        <v>16056.870117</v>
      </c>
      <c r="C146" s="7">
        <f t="shared" si="2"/>
        <v>-2.753471096484339E-2</v>
      </c>
      <c r="D146">
        <v>119.613998</v>
      </c>
      <c r="E146" s="7">
        <f t="shared" si="3"/>
        <v>-6.0030019882124974E-2</v>
      </c>
    </row>
    <row r="147" spans="1:5" x14ac:dyDescent="0.25">
      <c r="A147" s="40">
        <v>44676</v>
      </c>
      <c r="B147">
        <v>15615.25</v>
      </c>
      <c r="C147" s="7">
        <f t="shared" si="2"/>
        <v>-2.7503499360839956E-2</v>
      </c>
      <c r="D147">
        <v>114.966499</v>
      </c>
      <c r="E147" s="7">
        <f t="shared" si="3"/>
        <v>-3.8854139797250165E-2</v>
      </c>
    </row>
    <row r="148" spans="1:5" x14ac:dyDescent="0.25">
      <c r="A148" s="40">
        <v>44683</v>
      </c>
      <c r="B148">
        <v>15566.559569999999</v>
      </c>
      <c r="C148" s="7">
        <f t="shared" si="2"/>
        <v>-3.1181332351387647E-3</v>
      </c>
      <c r="D148">
        <v>115.660004</v>
      </c>
      <c r="E148" s="7">
        <f t="shared" si="3"/>
        <v>6.0322355297608432E-3</v>
      </c>
    </row>
    <row r="149" spans="1:5" x14ac:dyDescent="0.25">
      <c r="A149" s="40">
        <v>44690</v>
      </c>
      <c r="B149">
        <v>15257.360352</v>
      </c>
      <c r="C149" s="7">
        <f t="shared" si="2"/>
        <v>-1.9863041451746999E-2</v>
      </c>
      <c r="D149">
        <v>116.515503</v>
      </c>
      <c r="E149" s="7">
        <f t="shared" si="3"/>
        <v>7.3966710220760845E-3</v>
      </c>
    </row>
    <row r="150" spans="1:5" x14ac:dyDescent="0.25">
      <c r="A150" s="40">
        <v>44697</v>
      </c>
      <c r="B150">
        <v>15080.980469</v>
      </c>
      <c r="C150" s="7">
        <f t="shared" si="2"/>
        <v>-1.1560314427316976E-2</v>
      </c>
      <c r="D150">
        <v>109.31300400000001</v>
      </c>
      <c r="E150" s="7">
        <f t="shared" si="3"/>
        <v>-6.1815799739541877E-2</v>
      </c>
    </row>
    <row r="151" spans="1:5" x14ac:dyDescent="0.25">
      <c r="A151" s="40">
        <v>44704</v>
      </c>
      <c r="B151">
        <v>15942.620117</v>
      </c>
      <c r="C151" s="7">
        <f t="shared" si="2"/>
        <v>5.7134192950595075E-2</v>
      </c>
      <c r="D151">
        <v>112.799004</v>
      </c>
      <c r="E151" s="7">
        <f t="shared" si="3"/>
        <v>3.1890075951073404E-2</v>
      </c>
    </row>
    <row r="152" spans="1:5" x14ac:dyDescent="0.25">
      <c r="A152" s="40">
        <v>44711</v>
      </c>
      <c r="B152">
        <v>15797.169921999999</v>
      </c>
      <c r="C152" s="7">
        <f t="shared" si="2"/>
        <v>-9.1233557553631606E-3</v>
      </c>
      <c r="D152">
        <v>114.564003</v>
      </c>
      <c r="E152" s="7">
        <f t="shared" si="3"/>
        <v>1.5647292417582115E-2</v>
      </c>
    </row>
    <row r="153" spans="1:5" x14ac:dyDescent="0.25">
      <c r="A153" s="40">
        <v>44718</v>
      </c>
      <c r="B153">
        <v>15096.690430000001</v>
      </c>
      <c r="C153" s="7">
        <f t="shared" si="2"/>
        <v>-4.4342087567499799E-2</v>
      </c>
      <c r="D153">
        <v>111.427498</v>
      </c>
      <c r="E153" s="7">
        <f t="shared" si="3"/>
        <v>-2.7377753202286415E-2</v>
      </c>
    </row>
    <row r="154" spans="1:5" x14ac:dyDescent="0.25">
      <c r="A154" s="40">
        <v>44725</v>
      </c>
      <c r="B154">
        <v>14097.049805000001</v>
      </c>
      <c r="C154" s="7">
        <f t="shared" si="2"/>
        <v>-6.6215878879885115E-2</v>
      </c>
      <c r="D154">
        <v>107.86550099999999</v>
      </c>
      <c r="E154" s="7">
        <f t="shared" si="3"/>
        <v>-3.1966947691852599E-2</v>
      </c>
    </row>
    <row r="155" spans="1:5" x14ac:dyDescent="0.25">
      <c r="A155" s="40">
        <v>44732</v>
      </c>
      <c r="B155">
        <v>14811.549805000001</v>
      </c>
      <c r="C155" s="7">
        <f t="shared" si="2"/>
        <v>5.0684363741595018E-2</v>
      </c>
      <c r="D155">
        <v>118.53800200000001</v>
      </c>
      <c r="E155" s="7">
        <f t="shared" si="3"/>
        <v>9.8942673060963271E-2</v>
      </c>
    </row>
    <row r="156" spans="1:5" x14ac:dyDescent="0.25">
      <c r="A156" s="40">
        <v>44739</v>
      </c>
      <c r="B156">
        <v>14636.759765999999</v>
      </c>
      <c r="C156" s="7">
        <f t="shared" si="2"/>
        <v>-1.1800928417429857E-2</v>
      </c>
      <c r="D156">
        <v>109.081001</v>
      </c>
      <c r="E156" s="7">
        <f t="shared" si="3"/>
        <v>-7.9780330699348201E-2</v>
      </c>
    </row>
    <row r="157" spans="1:5" x14ac:dyDescent="0.25">
      <c r="A157" s="40">
        <v>44746</v>
      </c>
      <c r="B157">
        <v>14642.330078000001</v>
      </c>
      <c r="C157" s="7">
        <f t="shared" si="2"/>
        <v>3.8057002294600295E-4</v>
      </c>
      <c r="D157">
        <v>120.168503</v>
      </c>
      <c r="E157" s="7">
        <f t="shared" si="3"/>
        <v>0.10164466679215756</v>
      </c>
    </row>
    <row r="158" spans="1:5" x14ac:dyDescent="0.25">
      <c r="A158" s="40">
        <v>44753</v>
      </c>
      <c r="B158">
        <v>14449.679688</v>
      </c>
      <c r="C158" s="7">
        <f t="shared" si="2"/>
        <v>-1.3157085584995509E-2</v>
      </c>
      <c r="D158">
        <v>112.766998</v>
      </c>
      <c r="E158" s="7">
        <f t="shared" si="3"/>
        <v>-6.1592720348692342E-2</v>
      </c>
    </row>
    <row r="159" spans="1:5" x14ac:dyDescent="0.25">
      <c r="A159" s="40">
        <v>44760</v>
      </c>
      <c r="B159">
        <v>14790.790039</v>
      </c>
      <c r="C159" s="7">
        <f t="shared" si="2"/>
        <v>2.3606775953883607E-2</v>
      </c>
      <c r="D159">
        <v>108.360001</v>
      </c>
      <c r="E159" s="7">
        <f t="shared" si="3"/>
        <v>-3.9080556174777348E-2</v>
      </c>
    </row>
    <row r="160" spans="1:5" x14ac:dyDescent="0.25">
      <c r="A160" s="40">
        <v>44767</v>
      </c>
      <c r="B160">
        <v>15327.709961</v>
      </c>
      <c r="C160" s="7">
        <f t="shared" ref="C160:C187" si="4">B160/B159-1</f>
        <v>3.6300963003616626E-2</v>
      </c>
      <c r="D160">
        <v>116.639999</v>
      </c>
      <c r="E160" s="7">
        <f t="shared" ref="E160:E187" si="5">D160/D159-1</f>
        <v>7.6411940970727787E-2</v>
      </c>
    </row>
    <row r="161" spans="1:5" x14ac:dyDescent="0.25">
      <c r="A161" s="40">
        <v>44774</v>
      </c>
      <c r="B161">
        <v>15273.230469</v>
      </c>
      <c r="C161" s="7">
        <f t="shared" si="4"/>
        <v>-3.5543138628417736E-3</v>
      </c>
      <c r="D161">
        <v>118.220001</v>
      </c>
      <c r="E161" s="7">
        <f t="shared" si="5"/>
        <v>1.3545970623679349E-2</v>
      </c>
    </row>
    <row r="162" spans="1:5" x14ac:dyDescent="0.25">
      <c r="A162" s="40">
        <v>44781</v>
      </c>
      <c r="B162">
        <v>15804.379883</v>
      </c>
      <c r="C162" s="7">
        <f t="shared" si="4"/>
        <v>3.4776494408178538E-2</v>
      </c>
      <c r="D162">
        <v>122.650002</v>
      </c>
      <c r="E162" s="7">
        <f t="shared" si="5"/>
        <v>3.7472517023578789E-2</v>
      </c>
    </row>
    <row r="163" spans="1:5" x14ac:dyDescent="0.25">
      <c r="A163" s="40">
        <v>44788</v>
      </c>
      <c r="B163">
        <v>15588.320313</v>
      </c>
      <c r="C163" s="7">
        <f t="shared" si="4"/>
        <v>-1.3670866658451075E-2</v>
      </c>
      <c r="D163">
        <v>118.120003</v>
      </c>
      <c r="E163" s="7">
        <f t="shared" si="5"/>
        <v>-3.6934357326794065E-2</v>
      </c>
    </row>
    <row r="164" spans="1:5" x14ac:dyDescent="0.25">
      <c r="A164" s="40">
        <v>44795</v>
      </c>
      <c r="B164">
        <v>15178.209961</v>
      </c>
      <c r="C164" s="7">
        <f t="shared" si="4"/>
        <v>-2.6308822487948524E-2</v>
      </c>
      <c r="D164">
        <v>111.300003</v>
      </c>
      <c r="E164" s="7">
        <f t="shared" si="5"/>
        <v>-5.7737892201035534E-2</v>
      </c>
    </row>
    <row r="165" spans="1:5" x14ac:dyDescent="0.25">
      <c r="A165" s="40">
        <v>44802</v>
      </c>
      <c r="B165">
        <v>14689.5</v>
      </c>
      <c r="C165" s="7">
        <f t="shared" si="4"/>
        <v>-3.2198128913470514E-2</v>
      </c>
      <c r="D165">
        <v>108.68</v>
      </c>
      <c r="E165" s="7">
        <f t="shared" si="5"/>
        <v>-2.3540008350224406E-2</v>
      </c>
    </row>
    <row r="166" spans="1:5" x14ac:dyDescent="0.25">
      <c r="A166" s="40">
        <v>44809</v>
      </c>
      <c r="B166">
        <v>15190.790039</v>
      </c>
      <c r="C166" s="7">
        <f t="shared" si="4"/>
        <v>3.4125738724939625E-2</v>
      </c>
      <c r="D166">
        <v>111.779999</v>
      </c>
      <c r="E166" s="7">
        <f t="shared" si="5"/>
        <v>2.8524098270150899E-2</v>
      </c>
    </row>
    <row r="167" spans="1:5" x14ac:dyDescent="0.25">
      <c r="A167" s="40">
        <v>44816</v>
      </c>
      <c r="B167">
        <v>14573.910156</v>
      </c>
      <c r="C167" s="7">
        <f t="shared" si="4"/>
        <v>-4.060880845671988E-2</v>
      </c>
      <c r="D167">
        <v>103.629997</v>
      </c>
      <c r="E167" s="7">
        <f t="shared" si="5"/>
        <v>-7.2911093871095844E-2</v>
      </c>
    </row>
    <row r="168" spans="1:5" x14ac:dyDescent="0.25">
      <c r="A168" s="40">
        <v>44823</v>
      </c>
      <c r="B168">
        <v>13796.990234000001</v>
      </c>
      <c r="C168" s="7">
        <f t="shared" si="4"/>
        <v>-5.3308955090555776E-2</v>
      </c>
      <c r="D168">
        <v>99.169998000000007</v>
      </c>
      <c r="E168" s="7">
        <f t="shared" si="5"/>
        <v>-4.3037721983143484E-2</v>
      </c>
    </row>
    <row r="169" spans="1:5" x14ac:dyDescent="0.25">
      <c r="A169" s="40">
        <v>44830</v>
      </c>
      <c r="B169">
        <v>13472.179688</v>
      </c>
      <c r="C169" s="7">
        <f t="shared" si="4"/>
        <v>-2.3542130601757472E-2</v>
      </c>
      <c r="D169">
        <v>96.150002000000001</v>
      </c>
      <c r="E169" s="7">
        <f t="shared" si="5"/>
        <v>-3.0452718169864279E-2</v>
      </c>
    </row>
    <row r="170" spans="1:5" x14ac:dyDescent="0.25">
      <c r="A170" s="40">
        <v>44837</v>
      </c>
      <c r="B170">
        <v>13798.259765999999</v>
      </c>
      <c r="C170" s="7">
        <f t="shared" si="4"/>
        <v>2.4203958494589228E-2</v>
      </c>
      <c r="D170">
        <v>99.57</v>
      </c>
      <c r="E170" s="7">
        <f t="shared" si="5"/>
        <v>3.5569401236205778E-2</v>
      </c>
    </row>
    <row r="171" spans="1:5" x14ac:dyDescent="0.25">
      <c r="A171" s="40">
        <v>44844</v>
      </c>
      <c r="B171">
        <v>13607.309569999999</v>
      </c>
      <c r="C171" s="7">
        <f t="shared" si="4"/>
        <v>-1.3838715840856719E-2</v>
      </c>
      <c r="D171">
        <v>97.18</v>
      </c>
      <c r="E171" s="7">
        <f t="shared" si="5"/>
        <v>-2.4003213819423386E-2</v>
      </c>
    </row>
    <row r="172" spans="1:5" x14ac:dyDescent="0.25">
      <c r="A172" s="40">
        <v>44851</v>
      </c>
      <c r="B172">
        <v>14144.049805000001</v>
      </c>
      <c r="C172" s="7">
        <f t="shared" si="4"/>
        <v>3.944499331325213E-2</v>
      </c>
      <c r="D172">
        <v>101.480003</v>
      </c>
      <c r="E172" s="7">
        <f t="shared" si="5"/>
        <v>4.4247818481168766E-2</v>
      </c>
    </row>
    <row r="173" spans="1:5" x14ac:dyDescent="0.25">
      <c r="A173" s="40">
        <v>44858</v>
      </c>
      <c r="B173">
        <v>14795.629883</v>
      </c>
      <c r="C173" s="7">
        <f t="shared" si="4"/>
        <v>4.6067433796058932E-2</v>
      </c>
      <c r="D173">
        <v>96.580001999999993</v>
      </c>
      <c r="E173" s="7">
        <f t="shared" si="5"/>
        <v>-4.8285384855575986E-2</v>
      </c>
    </row>
    <row r="174" spans="1:5" x14ac:dyDescent="0.25">
      <c r="A174" s="40">
        <v>44865</v>
      </c>
      <c r="B174">
        <v>14702.769531</v>
      </c>
      <c r="C174" s="7">
        <f t="shared" si="4"/>
        <v>-6.2762013333880207E-3</v>
      </c>
      <c r="D174">
        <v>86.699996999999996</v>
      </c>
      <c r="E174" s="7">
        <f t="shared" si="5"/>
        <v>-0.10229866220131156</v>
      </c>
    </row>
    <row r="175" spans="1:5" x14ac:dyDescent="0.25">
      <c r="A175" s="40">
        <v>44872</v>
      </c>
      <c r="B175">
        <v>15352.690430000001</v>
      </c>
      <c r="C175" s="7">
        <f t="shared" si="4"/>
        <v>4.4203977871630107E-2</v>
      </c>
      <c r="D175">
        <v>96.730002999999996</v>
      </c>
      <c r="E175" s="7">
        <f t="shared" si="5"/>
        <v>0.11568634771694408</v>
      </c>
    </row>
    <row r="176" spans="1:5" x14ac:dyDescent="0.25">
      <c r="A176" s="40">
        <v>44879</v>
      </c>
      <c r="B176">
        <v>15309.769531</v>
      </c>
      <c r="C176" s="7">
        <f t="shared" si="4"/>
        <v>-2.7956597702335495E-3</v>
      </c>
      <c r="D176">
        <v>97.800003000000004</v>
      </c>
      <c r="E176" s="7">
        <f t="shared" si="5"/>
        <v>1.1061717841567731E-2</v>
      </c>
    </row>
    <row r="177" spans="1:5" x14ac:dyDescent="0.25">
      <c r="A177" s="40">
        <v>44886</v>
      </c>
      <c r="B177">
        <v>15605.669921999999</v>
      </c>
      <c r="C177" s="7">
        <f t="shared" si="4"/>
        <v>1.9327553586018675E-2</v>
      </c>
      <c r="D177">
        <v>97.599997999999999</v>
      </c>
      <c r="E177" s="7">
        <f t="shared" si="5"/>
        <v>-2.0450408370642492E-3</v>
      </c>
    </row>
    <row r="178" spans="1:5" x14ac:dyDescent="0.25">
      <c r="A178" s="40">
        <v>44893</v>
      </c>
      <c r="B178">
        <v>15767.019531</v>
      </c>
      <c r="C178" s="7">
        <f t="shared" si="4"/>
        <v>1.033916581642802E-2</v>
      </c>
      <c r="D178">
        <v>100.83000199999999</v>
      </c>
      <c r="E178" s="7">
        <f t="shared" si="5"/>
        <v>3.3094303956850535E-2</v>
      </c>
    </row>
    <row r="179" spans="1:5" x14ac:dyDescent="0.25">
      <c r="A179" s="40">
        <v>44900</v>
      </c>
      <c r="B179">
        <v>15291.049805000001</v>
      </c>
      <c r="C179" s="7">
        <f t="shared" si="4"/>
        <v>-3.0187679102203213E-2</v>
      </c>
      <c r="D179">
        <v>93.07</v>
      </c>
      <c r="E179" s="7">
        <f t="shared" si="5"/>
        <v>-7.6961240167385925E-2</v>
      </c>
    </row>
    <row r="180" spans="1:5" x14ac:dyDescent="0.25">
      <c r="A180" s="40">
        <v>44907</v>
      </c>
      <c r="B180">
        <v>15018.169921999999</v>
      </c>
      <c r="C180" s="7">
        <f t="shared" si="4"/>
        <v>-1.7845725864470863E-2</v>
      </c>
      <c r="D180">
        <v>90.860000999999997</v>
      </c>
      <c r="E180" s="7">
        <f t="shared" si="5"/>
        <v>-2.3745557107553439E-2</v>
      </c>
    </row>
    <row r="181" spans="1:5" x14ac:dyDescent="0.25">
      <c r="A181" s="40">
        <v>44914</v>
      </c>
      <c r="B181">
        <v>15188.450194999999</v>
      </c>
      <c r="C181" s="7">
        <f t="shared" si="4"/>
        <v>1.1338283817827755E-2</v>
      </c>
      <c r="D181">
        <v>89.809997999999993</v>
      </c>
      <c r="E181" s="7">
        <f t="shared" si="5"/>
        <v>-1.155627326044173E-2</v>
      </c>
    </row>
    <row r="182" spans="1:5" x14ac:dyDescent="0.25">
      <c r="A182" s="40">
        <v>44921</v>
      </c>
      <c r="B182">
        <v>15184.309569999999</v>
      </c>
      <c r="C182" s="7">
        <f t="shared" si="4"/>
        <v>-2.7261668878919565E-4</v>
      </c>
      <c r="D182">
        <v>88.730002999999996</v>
      </c>
      <c r="E182" s="7">
        <f t="shared" si="5"/>
        <v>-1.2025331522666272E-2</v>
      </c>
    </row>
    <row r="183" spans="1:5" x14ac:dyDescent="0.25">
      <c r="A183" s="40">
        <v>44928</v>
      </c>
      <c r="B183">
        <v>15539.740234000001</v>
      </c>
      <c r="C183" s="7">
        <f t="shared" si="4"/>
        <v>2.3407759329553857E-2</v>
      </c>
      <c r="D183">
        <v>88.160004000000001</v>
      </c>
      <c r="E183" s="7">
        <f t="shared" si="5"/>
        <v>-6.4239713820363198E-3</v>
      </c>
    </row>
    <row r="184" spans="1:5" x14ac:dyDescent="0.25">
      <c r="A184" s="40">
        <v>44935</v>
      </c>
      <c r="B184">
        <v>15918.370117</v>
      </c>
      <c r="C184" s="7">
        <f t="shared" si="4"/>
        <v>2.436526462466726E-2</v>
      </c>
      <c r="D184">
        <v>92.800003000000004</v>
      </c>
      <c r="E184" s="7">
        <f t="shared" si="5"/>
        <v>5.2631565216353593E-2</v>
      </c>
    </row>
    <row r="185" spans="1:5" x14ac:dyDescent="0.25">
      <c r="A185" s="40">
        <v>44942</v>
      </c>
      <c r="B185">
        <v>15777.549805000001</v>
      </c>
      <c r="C185" s="7">
        <f t="shared" si="4"/>
        <v>-8.8464026759631498E-3</v>
      </c>
      <c r="D185">
        <v>99.279999000000004</v>
      </c>
      <c r="E185" s="7">
        <f t="shared" si="5"/>
        <v>6.982754084609244E-2</v>
      </c>
    </row>
    <row r="186" spans="1:5" x14ac:dyDescent="0.25">
      <c r="A186" s="40">
        <v>44949</v>
      </c>
      <c r="B186">
        <v>15962.580078000001</v>
      </c>
      <c r="C186" s="7">
        <f t="shared" si="4"/>
        <v>1.1727440273480383E-2</v>
      </c>
      <c r="D186">
        <v>100.709999</v>
      </c>
      <c r="E186" s="7">
        <f t="shared" si="5"/>
        <v>1.4403706833236329E-2</v>
      </c>
    </row>
    <row r="187" spans="1:5" x14ac:dyDescent="0.25">
      <c r="A187" s="40">
        <v>44953</v>
      </c>
      <c r="B187">
        <v>15962.581055000001</v>
      </c>
      <c r="C187" s="7">
        <f t="shared" si="4"/>
        <v>6.1205644330541986E-8</v>
      </c>
      <c r="D187">
        <v>100.709999</v>
      </c>
      <c r="E187" s="7">
        <f t="shared" si="5"/>
        <v>0</v>
      </c>
    </row>
  </sheetData>
  <mergeCells count="2">
    <mergeCell ref="A3:F3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BD9F-D46C-43A7-9988-F119E50D0401}">
  <sheetPr>
    <tabColor theme="1" tint="0.34998626667073579"/>
  </sheetPr>
  <dimension ref="A1:H28"/>
  <sheetViews>
    <sheetView showGridLines="0" tabSelected="1" workbookViewId="0">
      <selection activeCell="H15" sqref="H15"/>
    </sheetView>
  </sheetViews>
  <sheetFormatPr defaultRowHeight="15" x14ac:dyDescent="0.25"/>
  <cols>
    <col min="1" max="1" width="38" bestFit="1" customWidth="1"/>
  </cols>
  <sheetData>
    <row r="1" spans="1:8" x14ac:dyDescent="0.25">
      <c r="A1" s="4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s="4"/>
      <c r="B2" s="1"/>
      <c r="C2" s="1">
        <v>2022</v>
      </c>
      <c r="D2" s="1">
        <v>2023</v>
      </c>
      <c r="E2" s="1">
        <v>2024</v>
      </c>
      <c r="F2" s="1">
        <v>2025</v>
      </c>
      <c r="G2" s="1">
        <v>2026</v>
      </c>
      <c r="H2" s="1">
        <v>2027</v>
      </c>
    </row>
    <row r="3" spans="1:8" x14ac:dyDescent="0.25">
      <c r="A3" s="54" t="s">
        <v>86</v>
      </c>
      <c r="C3">
        <f>'Income Statement'!I21</f>
        <v>71998.321439682375</v>
      </c>
      <c r="D3">
        <f>'Income Statement'!J21</f>
        <v>81136.006280217087</v>
      </c>
      <c r="E3">
        <f>'Income Statement'!K21</f>
        <v>113851.06634726927</v>
      </c>
      <c r="F3">
        <f>'Income Statement'!L21</f>
        <v>148949.52001032236</v>
      </c>
      <c r="G3">
        <f>'Income Statement'!M21</f>
        <v>167214.64073223047</v>
      </c>
      <c r="H3">
        <f>'Income Statement'!N21</f>
        <v>209384.12204481647</v>
      </c>
    </row>
    <row r="4" spans="1:8" x14ac:dyDescent="0.25">
      <c r="A4" s="5" t="s">
        <v>87</v>
      </c>
      <c r="B4" s="1"/>
      <c r="C4" s="1">
        <f>'Income Statement'!I29</f>
        <v>10452.077816165191</v>
      </c>
      <c r="D4" s="1">
        <f>'Income Statement'!J29</f>
        <v>12274.216460436173</v>
      </c>
      <c r="E4" s="1">
        <f>'Income Statement'!K29</f>
        <v>17690.503607659848</v>
      </c>
      <c r="F4" s="1">
        <f>'Income Statement'!L29</f>
        <v>22836.600861254636</v>
      </c>
      <c r="G4" s="1">
        <f>'Income Statement'!M29</f>
        <v>25244.291779714982</v>
      </c>
      <c r="H4" s="1">
        <f>'Income Statement'!N29</f>
        <v>31921.107046256944</v>
      </c>
    </row>
    <row r="5" spans="1:8" x14ac:dyDescent="0.25">
      <c r="A5" s="54" t="s">
        <v>88</v>
      </c>
      <c r="C5">
        <f>C3-C4</f>
        <v>61546.243623517184</v>
      </c>
      <c r="D5">
        <f t="shared" ref="D5:H5" si="0">D3-D4</f>
        <v>68861.789819780912</v>
      </c>
      <c r="E5">
        <f t="shared" si="0"/>
        <v>96160.562739609421</v>
      </c>
      <c r="F5">
        <f t="shared" si="0"/>
        <v>126112.91914906772</v>
      </c>
      <c r="G5">
        <f t="shared" si="0"/>
        <v>141970.34895251549</v>
      </c>
      <c r="H5">
        <f t="shared" si="0"/>
        <v>177463.01499855952</v>
      </c>
    </row>
    <row r="6" spans="1:8" x14ac:dyDescent="0.25">
      <c r="A6" s="4" t="s">
        <v>89</v>
      </c>
      <c r="C6" s="18">
        <f>'Income Statement'!I17</f>
        <v>38504.205700239763</v>
      </c>
      <c r="D6" s="18">
        <f>'Income Statement'!J17</f>
        <v>43122.777353465404</v>
      </c>
      <c r="E6" s="18">
        <f>'Income Statement'!K17</f>
        <v>58194.50846794276</v>
      </c>
      <c r="F6" s="18">
        <f>'Income Statement'!L17</f>
        <v>73234.359597560382</v>
      </c>
      <c r="G6" s="18">
        <f>'Income Statement'!M17</f>
        <v>79149.080332075275</v>
      </c>
      <c r="H6" s="18">
        <f>'Income Statement'!N17</f>
        <v>105344.31637430118</v>
      </c>
    </row>
    <row r="7" spans="1:8" x14ac:dyDescent="0.25">
      <c r="A7" s="4" t="s">
        <v>90</v>
      </c>
      <c r="C7" s="18">
        <f>'Working Capital'!I17</f>
        <v>-85331.670291632632</v>
      </c>
      <c r="D7" s="18">
        <f>'Working Capital'!J17</f>
        <v>-7687.5675360836176</v>
      </c>
      <c r="E7" s="18">
        <f>'Working Capital'!K17</f>
        <v>-18462.043115661974</v>
      </c>
      <c r="F7" s="18">
        <f>'Working Capital'!L17</f>
        <v>-20471.730366314529</v>
      </c>
      <c r="G7" s="18">
        <f>'Working Capital'!M17</f>
        <v>-16522.643573226145</v>
      </c>
      <c r="H7" s="18">
        <f>'Working Capital'!N17</f>
        <v>-50284.914891510387</v>
      </c>
    </row>
    <row r="8" spans="1:8" x14ac:dyDescent="0.25">
      <c r="A8" s="5" t="s">
        <v>91</v>
      </c>
      <c r="B8" s="38"/>
      <c r="C8" s="19">
        <f>-'Fixed Asset Schedule'!I6</f>
        <v>-198096.3859467709</v>
      </c>
      <c r="D8" s="19">
        <f>-'Fixed Asset Schedule'!J6</f>
        <v>-39446.470411428076</v>
      </c>
      <c r="E8" s="19">
        <f>-'Fixed Asset Schedule'!K6</f>
        <v>-123072.38941198954</v>
      </c>
      <c r="F8" s="19">
        <f>-'Fixed Asset Schedule'!L6</f>
        <v>-129824.69669383438</v>
      </c>
      <c r="G8" s="19">
        <f>-'Fixed Asset Schedule'!M6</f>
        <v>-61515.152807355509</v>
      </c>
      <c r="H8" s="19">
        <f>-'Fixed Asset Schedule'!N6</f>
        <v>-202644.03301360214</v>
      </c>
    </row>
    <row r="9" spans="1:8" x14ac:dyDescent="0.25">
      <c r="A9" s="4" t="s">
        <v>92</v>
      </c>
      <c r="C9">
        <f>SUM(C5:C8)</f>
        <v>-183377.60691464657</v>
      </c>
      <c r="D9">
        <f t="shared" ref="D9:H9" si="1">SUM(D5:D8)</f>
        <v>64850.52922573463</v>
      </c>
      <c r="E9">
        <f t="shared" si="1"/>
        <v>12820.638679900672</v>
      </c>
      <c r="F9">
        <f t="shared" si="1"/>
        <v>49050.851686479175</v>
      </c>
      <c r="G9">
        <f t="shared" si="1"/>
        <v>143081.63290400911</v>
      </c>
      <c r="H9">
        <f t="shared" si="1"/>
        <v>29878.383467748179</v>
      </c>
    </row>
    <row r="10" spans="1:8" x14ac:dyDescent="0.25">
      <c r="A10" s="4" t="s">
        <v>93</v>
      </c>
      <c r="C10" s="15">
        <f>1/(1+'Discount Factor'!$K$5)^DCF!C1-0.5</f>
        <v>0.18436230049253421</v>
      </c>
      <c r="D10" s="15">
        <f>1/(1+'Discount Factor'!$K$5)^DCF!D1-0.5</f>
        <v>-3.1648241664566257E-2</v>
      </c>
      <c r="E10" s="15">
        <f>1/(1+'Discount Factor'!$K$5)^DCF!E1-0.5</f>
        <v>-0.17947771322583911</v>
      </c>
      <c r="F10" s="15">
        <f>1/(1+'Discount Factor'!$K$5)^DCF!F1-0.5</f>
        <v>-0.28064663046410748</v>
      </c>
      <c r="G10" s="15">
        <f>1/(1+'Discount Factor'!$K$5)^DCF!G1-0.5</f>
        <v>-0.34988282340362764</v>
      </c>
      <c r="H10" s="15">
        <f>1/(1+'Discount Factor'!$K$5)^DCF!H1-0.5</f>
        <v>-0.39726546368106258</v>
      </c>
    </row>
    <row r="11" spans="1:8" x14ac:dyDescent="0.25">
      <c r="A11" s="4"/>
    </row>
    <row r="12" spans="1:8" x14ac:dyDescent="0.25">
      <c r="A12" s="4"/>
    </row>
    <row r="13" spans="1:8" x14ac:dyDescent="0.25">
      <c r="A13" s="4" t="s">
        <v>94</v>
      </c>
      <c r="C13">
        <f>SUMPRODUCT(C10:H10,C9:H9)</f>
        <v>-113858.75341019101</v>
      </c>
    </row>
    <row r="14" spans="1:8" x14ac:dyDescent="0.25">
      <c r="A14" s="4"/>
    </row>
    <row r="15" spans="1:8" x14ac:dyDescent="0.25">
      <c r="A15" s="4" t="s">
        <v>95</v>
      </c>
    </row>
    <row r="16" spans="1:8" x14ac:dyDescent="0.25">
      <c r="A16" s="4" t="s">
        <v>96</v>
      </c>
      <c r="C16">
        <v>12.6</v>
      </c>
    </row>
    <row r="17" spans="1:4" x14ac:dyDescent="0.25">
      <c r="A17" s="4" t="s">
        <v>97</v>
      </c>
      <c r="C17" s="18">
        <f>H3+H6</f>
        <v>314728.43841911765</v>
      </c>
    </row>
    <row r="18" spans="1:4" x14ac:dyDescent="0.25">
      <c r="A18" s="4" t="s">
        <v>98</v>
      </c>
      <c r="C18">
        <f>C16*C17</f>
        <v>3965578.3240808821</v>
      </c>
    </row>
    <row r="19" spans="1:4" x14ac:dyDescent="0.25">
      <c r="A19" s="54" t="s">
        <v>99</v>
      </c>
      <c r="C19">
        <f>C18/(1+'Discount Factor'!K5)^(DCF!H1)</f>
        <v>407401.85036087834</v>
      </c>
    </row>
    <row r="20" spans="1:4" x14ac:dyDescent="0.25">
      <c r="A20" s="4"/>
    </row>
    <row r="21" spans="1:4" x14ac:dyDescent="0.25">
      <c r="A21" s="54" t="s">
        <v>100</v>
      </c>
      <c r="C21" s="18">
        <f>C19+C13</f>
        <v>293543.09695068735</v>
      </c>
    </row>
    <row r="22" spans="1:4" x14ac:dyDescent="0.25">
      <c r="A22" s="5" t="s">
        <v>101</v>
      </c>
      <c r="C22">
        <f>136694+30930</f>
        <v>167624</v>
      </c>
    </row>
    <row r="23" spans="1:4" x14ac:dyDescent="0.25">
      <c r="A23" s="4" t="s">
        <v>102</v>
      </c>
      <c r="C23" s="18">
        <f>C21-C22</f>
        <v>125919.09695068735</v>
      </c>
    </row>
    <row r="24" spans="1:4" x14ac:dyDescent="0.25">
      <c r="A24" s="4" t="s">
        <v>103</v>
      </c>
      <c r="C24" s="6">
        <f>-'Discount Factor'!J26</f>
        <v>-14630</v>
      </c>
    </row>
    <row r="25" spans="1:4" x14ac:dyDescent="0.25">
      <c r="A25" s="5" t="s">
        <v>104</v>
      </c>
      <c r="C25">
        <v>-3900</v>
      </c>
    </row>
    <row r="26" spans="1:4" x14ac:dyDescent="0.25">
      <c r="A26" s="4" t="s">
        <v>105</v>
      </c>
      <c r="C26" s="18">
        <f>C23+C24+C25</f>
        <v>107389.09695068735</v>
      </c>
    </row>
    <row r="27" spans="1:4" x14ac:dyDescent="0.25">
      <c r="A27" s="4" t="s">
        <v>106</v>
      </c>
      <c r="C27" s="6">
        <f>'Discount Factor'!J20</f>
        <v>300.75490400000001</v>
      </c>
    </row>
    <row r="28" spans="1:4" x14ac:dyDescent="0.25">
      <c r="A28" s="55" t="s">
        <v>107</v>
      </c>
      <c r="B28" s="56"/>
      <c r="C28" s="56">
        <f>C26/C27</f>
        <v>357.06515678523181</v>
      </c>
      <c r="D28" s="1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Fixed Asset Schedule</vt:lpstr>
      <vt:lpstr>Working Capital</vt:lpstr>
      <vt:lpstr>Debt Schedule</vt:lpstr>
      <vt:lpstr>Discount Factor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Sukhavasi</dc:creator>
  <cp:lastModifiedBy>Shivani Sukhavasi</cp:lastModifiedBy>
  <dcterms:created xsi:type="dcterms:W3CDTF">2023-01-27T15:47:21Z</dcterms:created>
  <dcterms:modified xsi:type="dcterms:W3CDTF">2023-01-28T18:48:14Z</dcterms:modified>
</cp:coreProperties>
</file>