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hiva\Downloads\"/>
    </mc:Choice>
  </mc:AlternateContent>
  <xr:revisionPtr revIDLastSave="0" documentId="13_ncr:1_{48915BB1-C152-47D4-8457-AE812B016D27}" xr6:coauthVersionLast="47" xr6:coauthVersionMax="47" xr10:uidLastSave="{00000000-0000-0000-0000-000000000000}"/>
  <bookViews>
    <workbookView xWindow="-120" yWindow="-120" windowWidth="20730" windowHeight="11040" xr2:uid="{81B3BBF6-CC6C-4CB2-8ED1-89AEF78FA7B9}"/>
  </bookViews>
  <sheets>
    <sheet name="Nestle India" sheetId="9" r:id="rId1"/>
    <sheet name="Rawdata" sheetId="1" r:id="rId2"/>
    <sheet name="Cleaned Data" sheetId="2" r:id="rId3"/>
    <sheet name="Ratio Analysis" sheetId="3" r:id="rId4"/>
    <sheet name="DCF &amp; Sensitivity Analysis" sheetId="4" r:id="rId5"/>
    <sheet name="Relative Valuation" sheetId="6" r:id="rId6"/>
    <sheet name="WACC"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20" i="7" l="1"/>
  <c r="B16" i="7"/>
  <c r="B23" i="7" s="1"/>
  <c r="B8" i="7"/>
  <c r="B6" i="7"/>
  <c r="B9" i="7" s="1"/>
  <c r="B5" i="7"/>
  <c r="B19" i="7" s="1"/>
  <c r="B4" i="7"/>
  <c r="B16" i="6"/>
  <c r="B15" i="6"/>
  <c r="B9" i="6"/>
  <c r="B5" i="6"/>
  <c r="B11" i="6" s="1"/>
  <c r="B3" i="6"/>
  <c r="B6" i="6" s="1"/>
  <c r="B61" i="4"/>
  <c r="B2" i="6" s="1"/>
  <c r="B8" i="6" s="1"/>
  <c r="B12" i="6" s="1"/>
  <c r="E61" i="4"/>
  <c r="H49" i="4"/>
  <c r="H50" i="4" s="1"/>
  <c r="I49" i="4"/>
  <c r="I50" i="4" s="1"/>
  <c r="J49" i="4"/>
  <c r="J50" i="4" s="1"/>
  <c r="K49" i="4"/>
  <c r="K50" i="4" s="1"/>
  <c r="L49" i="4"/>
  <c r="L50" i="4" s="1"/>
  <c r="M49" i="4"/>
  <c r="M50" i="4" s="1"/>
  <c r="N49" i="4"/>
  <c r="N50" i="4" s="1"/>
  <c r="O49" i="4"/>
  <c r="O50" i="4" s="1"/>
  <c r="P49" i="4"/>
  <c r="P50" i="4" s="1"/>
  <c r="Q49" i="4"/>
  <c r="Q50" i="4" s="1"/>
  <c r="H36" i="4"/>
  <c r="I36" i="4"/>
  <c r="J36" i="4"/>
  <c r="K36" i="4"/>
  <c r="L36" i="4"/>
  <c r="M36" i="4"/>
  <c r="N36" i="4"/>
  <c r="O36" i="4"/>
  <c r="P36" i="4"/>
  <c r="Q36" i="4"/>
  <c r="G34" i="4"/>
  <c r="F34" i="4" s="1"/>
  <c r="E34" i="4" s="1"/>
  <c r="D34" i="4" s="1"/>
  <c r="C34" i="4" s="1"/>
  <c r="B34" i="4" s="1"/>
  <c r="I31" i="4"/>
  <c r="J31" i="4"/>
  <c r="K31" i="4"/>
  <c r="L31" i="4"/>
  <c r="M31" i="4"/>
  <c r="N31" i="4"/>
  <c r="O31" i="4"/>
  <c r="P31" i="4"/>
  <c r="Q31" i="4"/>
  <c r="H31" i="4"/>
  <c r="H24" i="4"/>
  <c r="I24" i="4"/>
  <c r="I48" i="4" s="1"/>
  <c r="J24" i="4"/>
  <c r="K24" i="4"/>
  <c r="L24" i="4"/>
  <c r="M24" i="4"/>
  <c r="M48" i="4" s="1"/>
  <c r="N24" i="4"/>
  <c r="O24" i="4"/>
  <c r="P24" i="4"/>
  <c r="Q24" i="4"/>
  <c r="Q48" i="4" s="1"/>
  <c r="H3" i="4"/>
  <c r="H10" i="4" s="1"/>
  <c r="H27" i="4" s="1"/>
  <c r="I3" i="4"/>
  <c r="J3" i="4"/>
  <c r="K3" i="4"/>
  <c r="L3" i="4"/>
  <c r="L10" i="4" s="1"/>
  <c r="L27" i="4" s="1"/>
  <c r="M3" i="4"/>
  <c r="M10" i="4" s="1"/>
  <c r="N3" i="4"/>
  <c r="N10" i="4" s="1"/>
  <c r="O3" i="4"/>
  <c r="P3" i="4"/>
  <c r="P10" i="4" s="1"/>
  <c r="P27" i="4" s="1"/>
  <c r="Q3" i="4"/>
  <c r="Q10" i="4" s="1"/>
  <c r="Q17" i="4" s="1"/>
  <c r="B21" i="7" l="1"/>
  <c r="C19" i="7" s="1"/>
  <c r="C20" i="7"/>
  <c r="P48" i="4"/>
  <c r="L48" i="4"/>
  <c r="H48" i="4"/>
  <c r="B10" i="6"/>
  <c r="B13" i="6" s="1"/>
  <c r="O48" i="4"/>
  <c r="K48" i="4"/>
  <c r="N48" i="4"/>
  <c r="B14" i="6"/>
  <c r="B17" i="6" s="1"/>
  <c r="J48" i="4"/>
  <c r="N37" i="4"/>
  <c r="N41" i="4" s="1"/>
  <c r="Q37" i="4"/>
  <c r="Q44" i="4" s="1"/>
  <c r="M37" i="4"/>
  <c r="M38" i="4" s="1"/>
  <c r="N38" i="4"/>
  <c r="N44" i="4"/>
  <c r="M44" i="4"/>
  <c r="M41" i="4"/>
  <c r="P37" i="4"/>
  <c r="L37" i="4"/>
  <c r="H37" i="4"/>
  <c r="O4" i="4"/>
  <c r="K4" i="4"/>
  <c r="J4" i="4"/>
  <c r="G32" i="4"/>
  <c r="I4" i="4"/>
  <c r="M17" i="4"/>
  <c r="M27" i="4"/>
  <c r="M21" i="4"/>
  <c r="N21" i="4"/>
  <c r="N27" i="4"/>
  <c r="N4" i="4"/>
  <c r="K10" i="4"/>
  <c r="K37" i="4" s="1"/>
  <c r="M4" i="4"/>
  <c r="O10" i="4"/>
  <c r="J10" i="4"/>
  <c r="Q27" i="4"/>
  <c r="I10" i="4"/>
  <c r="Q21" i="4"/>
  <c r="P17" i="4"/>
  <c r="P13" i="4"/>
  <c r="P21" i="4"/>
  <c r="L17" i="4"/>
  <c r="L13" i="4"/>
  <c r="L21" i="4"/>
  <c r="H21" i="4"/>
  <c r="H17" i="4"/>
  <c r="H13" i="4"/>
  <c r="H4" i="4"/>
  <c r="N13" i="4"/>
  <c r="N17" i="4"/>
  <c r="P4" i="4"/>
  <c r="L4" i="4"/>
  <c r="Q13" i="4"/>
  <c r="M13" i="4"/>
  <c r="C27" i="3"/>
  <c r="D27" i="3"/>
  <c r="E27" i="3"/>
  <c r="F27" i="3"/>
  <c r="G27" i="3"/>
  <c r="H27" i="3"/>
  <c r="I27" i="3"/>
  <c r="J27" i="3"/>
  <c r="K27" i="3"/>
  <c r="B27" i="3"/>
  <c r="C38" i="2"/>
  <c r="D38" i="2"/>
  <c r="E38" i="2"/>
  <c r="F38" i="2"/>
  <c r="G38" i="2"/>
  <c r="H38" i="2"/>
  <c r="I38" i="2"/>
  <c r="J38" i="2"/>
  <c r="K38" i="2"/>
  <c r="B38" i="2"/>
  <c r="K26" i="3"/>
  <c r="C26" i="3"/>
  <c r="D26" i="3"/>
  <c r="E26" i="3"/>
  <c r="F26" i="3"/>
  <c r="G26" i="3"/>
  <c r="H26" i="3"/>
  <c r="I26" i="3"/>
  <c r="J26" i="3"/>
  <c r="B26" i="3"/>
  <c r="C25" i="3"/>
  <c r="D25" i="3"/>
  <c r="E25" i="3"/>
  <c r="F25" i="3"/>
  <c r="G25" i="3"/>
  <c r="H25" i="3"/>
  <c r="I25" i="3"/>
  <c r="J25" i="3"/>
  <c r="K25" i="3"/>
  <c r="B25" i="3"/>
  <c r="C22" i="3"/>
  <c r="D22" i="3"/>
  <c r="E22" i="3"/>
  <c r="F22" i="3"/>
  <c r="G22" i="3"/>
  <c r="H22" i="3"/>
  <c r="I22" i="3"/>
  <c r="J22" i="3"/>
  <c r="K22" i="3"/>
  <c r="B22" i="3"/>
  <c r="C21" i="3"/>
  <c r="D21" i="3"/>
  <c r="E21" i="3"/>
  <c r="F21" i="3"/>
  <c r="G21" i="3"/>
  <c r="H21" i="3"/>
  <c r="I21" i="3"/>
  <c r="J21" i="3"/>
  <c r="K21" i="3"/>
  <c r="C20" i="3"/>
  <c r="D20" i="3"/>
  <c r="E20" i="3"/>
  <c r="F20" i="3"/>
  <c r="G20" i="3"/>
  <c r="H20" i="3"/>
  <c r="I20" i="3"/>
  <c r="J20" i="3"/>
  <c r="K20" i="3"/>
  <c r="C19" i="3"/>
  <c r="D19" i="3"/>
  <c r="E19" i="3"/>
  <c r="F19" i="3"/>
  <c r="G19" i="3"/>
  <c r="H19" i="3"/>
  <c r="I19" i="3"/>
  <c r="J19" i="3"/>
  <c r="K19" i="3"/>
  <c r="C18" i="3"/>
  <c r="D18" i="3"/>
  <c r="E18" i="3"/>
  <c r="F18" i="3"/>
  <c r="G18" i="3"/>
  <c r="H18" i="3"/>
  <c r="I18" i="3"/>
  <c r="J18" i="3"/>
  <c r="K18" i="3"/>
  <c r="C17" i="3"/>
  <c r="D17" i="3"/>
  <c r="E17" i="3"/>
  <c r="F17" i="3"/>
  <c r="G17" i="3"/>
  <c r="H17" i="3"/>
  <c r="I17" i="3"/>
  <c r="J17" i="3"/>
  <c r="K17" i="3"/>
  <c r="B21" i="3"/>
  <c r="B20" i="3"/>
  <c r="B19" i="3"/>
  <c r="B18" i="3"/>
  <c r="B17" i="3"/>
  <c r="C14" i="3"/>
  <c r="D14" i="3"/>
  <c r="E14" i="3"/>
  <c r="F14" i="3"/>
  <c r="G14" i="3"/>
  <c r="H14" i="3"/>
  <c r="I14" i="3"/>
  <c r="J14" i="3"/>
  <c r="K14" i="3"/>
  <c r="B14" i="3"/>
  <c r="C13" i="3"/>
  <c r="D13" i="3"/>
  <c r="E13" i="3"/>
  <c r="F13" i="3"/>
  <c r="G13" i="3"/>
  <c r="H13" i="3"/>
  <c r="I13" i="3"/>
  <c r="J13" i="3"/>
  <c r="K13" i="3"/>
  <c r="B13" i="3"/>
  <c r="C12" i="3"/>
  <c r="D12" i="3"/>
  <c r="E12" i="3"/>
  <c r="F12" i="3"/>
  <c r="G12" i="3"/>
  <c r="H12" i="3"/>
  <c r="I12" i="3"/>
  <c r="J12" i="3"/>
  <c r="K12" i="3"/>
  <c r="B12" i="3"/>
  <c r="C11" i="3"/>
  <c r="D11" i="3"/>
  <c r="E11" i="3"/>
  <c r="F11" i="3"/>
  <c r="G11" i="3"/>
  <c r="H11" i="3"/>
  <c r="I11" i="3"/>
  <c r="J11" i="3"/>
  <c r="K11" i="3"/>
  <c r="B11" i="3"/>
  <c r="C8" i="3"/>
  <c r="D8" i="3"/>
  <c r="E8" i="3"/>
  <c r="F8" i="3"/>
  <c r="G8" i="3"/>
  <c r="H8" i="3"/>
  <c r="I8" i="3"/>
  <c r="J8" i="3"/>
  <c r="K8" i="3"/>
  <c r="B8" i="3"/>
  <c r="C7" i="3"/>
  <c r="D7" i="3"/>
  <c r="E7" i="3"/>
  <c r="F7" i="3"/>
  <c r="G7" i="3"/>
  <c r="H7" i="3"/>
  <c r="I7" i="3"/>
  <c r="J7" i="3"/>
  <c r="K7" i="3"/>
  <c r="B7" i="3"/>
  <c r="C6" i="3"/>
  <c r="D6" i="3"/>
  <c r="E6" i="3"/>
  <c r="F6" i="3"/>
  <c r="G6" i="3"/>
  <c r="H6" i="3"/>
  <c r="I6" i="3"/>
  <c r="J6" i="3"/>
  <c r="K6" i="3"/>
  <c r="B6" i="3"/>
  <c r="C5" i="3"/>
  <c r="D5" i="3"/>
  <c r="E5" i="3"/>
  <c r="F5" i="3"/>
  <c r="G5" i="3"/>
  <c r="H5" i="3"/>
  <c r="I5" i="3"/>
  <c r="J5" i="3"/>
  <c r="K5" i="3"/>
  <c r="B5" i="3"/>
  <c r="C4" i="3"/>
  <c r="D4" i="3"/>
  <c r="E4" i="3"/>
  <c r="F4" i="3"/>
  <c r="G4" i="3"/>
  <c r="H4" i="3"/>
  <c r="I4" i="3"/>
  <c r="J4" i="3"/>
  <c r="K4" i="3"/>
  <c r="B4" i="3"/>
  <c r="C6" i="2"/>
  <c r="C7" i="2" s="1"/>
  <c r="D6" i="2"/>
  <c r="D7" i="2" s="1"/>
  <c r="E6" i="2"/>
  <c r="E7" i="2" s="1"/>
  <c r="F6" i="2"/>
  <c r="F7" i="2" s="1"/>
  <c r="G6" i="2"/>
  <c r="G7" i="2" s="1"/>
  <c r="H6" i="2"/>
  <c r="H7" i="2" s="1"/>
  <c r="I6" i="2"/>
  <c r="I7" i="2" s="1"/>
  <c r="J6" i="2"/>
  <c r="J7" i="2" s="1"/>
  <c r="K6" i="2"/>
  <c r="K7" i="2" s="1"/>
  <c r="B6" i="2"/>
  <c r="B7" i="2" s="1"/>
  <c r="Q41" i="4" l="1"/>
  <c r="B18" i="6"/>
  <c r="Q38" i="4"/>
  <c r="K41" i="4"/>
  <c r="K38" i="4"/>
  <c r="K44" i="4"/>
  <c r="H38" i="4"/>
  <c r="H44" i="4"/>
  <c r="H41" i="4"/>
  <c r="J17" i="4"/>
  <c r="J37" i="4"/>
  <c r="L44" i="4"/>
  <c r="L41" i="4"/>
  <c r="L38" i="4"/>
  <c r="M52" i="4"/>
  <c r="M55" i="4" s="1"/>
  <c r="M45" i="4"/>
  <c r="M46" i="4" s="1"/>
  <c r="O17" i="4"/>
  <c r="O37" i="4"/>
  <c r="P41" i="4"/>
  <c r="P38" i="4"/>
  <c r="P44" i="4"/>
  <c r="N52" i="4"/>
  <c r="N55" i="4" s="1"/>
  <c r="N45" i="4"/>
  <c r="N46" i="4" s="1"/>
  <c r="I13" i="4"/>
  <c r="I37" i="4"/>
  <c r="Q52" i="4"/>
  <c r="Q55" i="4" s="1"/>
  <c r="Q45" i="4"/>
  <c r="Q46" i="4" s="1"/>
  <c r="O13" i="4"/>
  <c r="K21" i="4"/>
  <c r="K27" i="4"/>
  <c r="K17" i="4"/>
  <c r="J21" i="4"/>
  <c r="J27" i="4"/>
  <c r="J13" i="4"/>
  <c r="O21" i="4"/>
  <c r="O27" i="4"/>
  <c r="K13" i="4"/>
  <c r="I17" i="4"/>
  <c r="G18" i="4" s="1"/>
  <c r="I21" i="4"/>
  <c r="I27" i="4"/>
  <c r="G5" i="4"/>
  <c r="G7" i="4"/>
  <c r="G3" i="4" s="1"/>
  <c r="G14" i="4" l="1"/>
  <c r="J44" i="4"/>
  <c r="J41" i="4"/>
  <c r="J38" i="4"/>
  <c r="O41" i="4"/>
  <c r="O38" i="4"/>
  <c r="O44" i="4"/>
  <c r="K45" i="4"/>
  <c r="K46" i="4" s="1"/>
  <c r="K52" i="4"/>
  <c r="K55" i="4" s="1"/>
  <c r="I44" i="4"/>
  <c r="I41" i="4"/>
  <c r="G42" i="4" s="1"/>
  <c r="I38" i="4"/>
  <c r="P52" i="4"/>
  <c r="P55" i="4" s="1"/>
  <c r="P45" i="4"/>
  <c r="P46" i="4" s="1"/>
  <c r="G22" i="4"/>
  <c r="L52" i="4"/>
  <c r="L55" i="4" s="1"/>
  <c r="L45" i="4"/>
  <c r="L46" i="4" s="1"/>
  <c r="H52" i="4"/>
  <c r="H55" i="4" s="1"/>
  <c r="B20" i="6" s="1"/>
  <c r="H45" i="4"/>
  <c r="H46" i="4" s="1"/>
  <c r="B19" i="6" s="1"/>
  <c r="G28" i="4"/>
  <c r="G10" i="4"/>
  <c r="G4" i="4"/>
  <c r="B22" i="6" l="1"/>
  <c r="B21" i="6"/>
  <c r="G26" i="4"/>
  <c r="G49" i="4" s="1"/>
  <c r="I52" i="4"/>
  <c r="I55" i="4" s="1"/>
  <c r="I45" i="4"/>
  <c r="I46" i="4" s="1"/>
  <c r="O52" i="4"/>
  <c r="O55" i="4" s="1"/>
  <c r="O45" i="4"/>
  <c r="O46" i="4" s="1"/>
  <c r="J52" i="4"/>
  <c r="J55" i="4" s="1"/>
  <c r="J45" i="4"/>
  <c r="J46" i="4" s="1"/>
  <c r="G12" i="4"/>
  <c r="G30" i="4"/>
  <c r="G31" i="4" s="1"/>
  <c r="F32" i="4" s="1"/>
  <c r="G27" i="4"/>
  <c r="F28" i="4" s="1"/>
  <c r="F5" i="4"/>
  <c r="F7" i="4"/>
  <c r="F3" i="4" s="1"/>
  <c r="G20" i="4"/>
  <c r="G21" i="4" s="1"/>
  <c r="F22" i="4" s="1"/>
  <c r="G16" i="4"/>
  <c r="G13" i="4" l="1"/>
  <c r="F14" i="4" s="1"/>
  <c r="G36" i="4"/>
  <c r="G37" i="4" s="1"/>
  <c r="G50" i="4"/>
  <c r="G24" i="4"/>
  <c r="G48" i="4" s="1"/>
  <c r="G17" i="4"/>
  <c r="F18" i="4" s="1"/>
  <c r="F4" i="4"/>
  <c r="F10" i="4"/>
  <c r="G38" i="4" l="1"/>
  <c r="G40" i="4"/>
  <c r="G41" i="4" s="1"/>
  <c r="F42" i="4" s="1"/>
  <c r="G44" i="4"/>
  <c r="F16" i="4"/>
  <c r="F17" i="4" s="1"/>
  <c r="E18" i="4" s="1"/>
  <c r="F12" i="4"/>
  <c r="F26" i="4"/>
  <c r="F49" i="4" s="1"/>
  <c r="E7" i="4"/>
  <c r="E3" i="4" s="1"/>
  <c r="E5" i="4"/>
  <c r="F20" i="4"/>
  <c r="F21" i="4" s="1"/>
  <c r="E22" i="4" s="1"/>
  <c r="G52" i="4" l="1"/>
  <c r="G55" i="4" s="1"/>
  <c r="G45" i="4"/>
  <c r="G46" i="4" s="1"/>
  <c r="F13" i="4"/>
  <c r="E14" i="4" s="1"/>
  <c r="F36" i="4"/>
  <c r="F37" i="4" s="1"/>
  <c r="F24" i="4"/>
  <c r="F48" i="4" s="1"/>
  <c r="F27" i="4"/>
  <c r="E28" i="4" s="1"/>
  <c r="F30" i="4"/>
  <c r="F31" i="4" s="1"/>
  <c r="E32" i="4" s="1"/>
  <c r="E10" i="4"/>
  <c r="E4" i="4"/>
  <c r="F40" i="4" l="1"/>
  <c r="F41" i="4" s="1"/>
  <c r="E42" i="4" s="1"/>
  <c r="F38" i="4"/>
  <c r="F44" i="4"/>
  <c r="E12" i="4"/>
  <c r="F50" i="4"/>
  <c r="E26" i="4"/>
  <c r="D5" i="4"/>
  <c r="D7" i="4"/>
  <c r="D3" i="4" s="1"/>
  <c r="E16" i="4"/>
  <c r="E20" i="4"/>
  <c r="E21" i="4" s="1"/>
  <c r="D22" i="4" s="1"/>
  <c r="E13" i="4" l="1"/>
  <c r="D14" i="4" s="1"/>
  <c r="E36" i="4"/>
  <c r="E37" i="4" s="1"/>
  <c r="F52" i="4"/>
  <c r="F55" i="4" s="1"/>
  <c r="F45" i="4"/>
  <c r="F46" i="4" s="1"/>
  <c r="E27" i="4"/>
  <c r="D28" i="4" s="1"/>
  <c r="E49" i="4"/>
  <c r="E30" i="4"/>
  <c r="E31" i="4" s="1"/>
  <c r="D32" i="4" s="1"/>
  <c r="D10" i="4"/>
  <c r="D4" i="4"/>
  <c r="E17" i="4"/>
  <c r="D18" i="4" s="1"/>
  <c r="E24" i="4"/>
  <c r="E48" i="4" s="1"/>
  <c r="D20" i="4"/>
  <c r="D21" i="4" s="1"/>
  <c r="C22" i="4" s="1"/>
  <c r="D12" i="4" l="1"/>
  <c r="E50" i="4"/>
  <c r="E44" i="4"/>
  <c r="E38" i="4"/>
  <c r="E40" i="4"/>
  <c r="E41" i="4" s="1"/>
  <c r="D42" i="4" s="1"/>
  <c r="D16" i="4"/>
  <c r="D24" i="4" s="1"/>
  <c r="D48" i="4" s="1"/>
  <c r="D26" i="4"/>
  <c r="C5" i="4"/>
  <c r="C7" i="4"/>
  <c r="C3" i="4" s="1"/>
  <c r="D27" i="4" l="1"/>
  <c r="C28" i="4" s="1"/>
  <c r="D49" i="4"/>
  <c r="E52" i="4"/>
  <c r="E55" i="4" s="1"/>
  <c r="E45" i="4"/>
  <c r="E46" i="4" s="1"/>
  <c r="D17" i="4"/>
  <c r="C18" i="4" s="1"/>
  <c r="D13" i="4"/>
  <c r="C14" i="4" s="1"/>
  <c r="D36" i="4"/>
  <c r="D37" i="4" s="1"/>
  <c r="D30" i="4"/>
  <c r="D31" i="4" s="1"/>
  <c r="C32" i="4" s="1"/>
  <c r="C10" i="4"/>
  <c r="C4" i="4"/>
  <c r="D44" i="4" l="1"/>
  <c r="D38" i="4"/>
  <c r="C26" i="4"/>
  <c r="C30" i="4" s="1"/>
  <c r="C31" i="4" s="1"/>
  <c r="B32" i="4" s="1"/>
  <c r="D50" i="4"/>
  <c r="D40" i="4"/>
  <c r="D41" i="4" s="1"/>
  <c r="C42" i="4" s="1"/>
  <c r="C16" i="4"/>
  <c r="C17" i="4" s="1"/>
  <c r="B18" i="4" s="1"/>
  <c r="B7" i="4"/>
  <c r="B3" i="4" s="1"/>
  <c r="B5" i="4"/>
  <c r="C12" i="4"/>
  <c r="C20" i="4"/>
  <c r="C21" i="4" s="1"/>
  <c r="B22" i="4" s="1"/>
  <c r="C27" i="4" l="1"/>
  <c r="B28" i="4" s="1"/>
  <c r="C49" i="4"/>
  <c r="C50" i="4" s="1"/>
  <c r="C13" i="4"/>
  <c r="B14" i="4" s="1"/>
  <c r="C36" i="4"/>
  <c r="C37" i="4" s="1"/>
  <c r="D52" i="4"/>
  <c r="D55" i="4" s="1"/>
  <c r="D45" i="4"/>
  <c r="D46" i="4" s="1"/>
  <c r="C24" i="4"/>
  <c r="C48" i="4" s="1"/>
  <c r="B4" i="4"/>
  <c r="B10" i="4"/>
  <c r="C38" i="4" l="1"/>
  <c r="C44" i="4"/>
  <c r="C40" i="4"/>
  <c r="C41" i="4" s="1"/>
  <c r="B42" i="4" s="1"/>
  <c r="B12" i="4"/>
  <c r="B26" i="4"/>
  <c r="B49" i="4" s="1"/>
  <c r="B16" i="4"/>
  <c r="B17" i="4" s="1"/>
  <c r="B20" i="4"/>
  <c r="B21" i="4" s="1"/>
  <c r="C52" i="4" l="1"/>
  <c r="C55" i="4" s="1"/>
  <c r="C45" i="4"/>
  <c r="C46" i="4" s="1"/>
  <c r="B13" i="4"/>
  <c r="B36" i="4"/>
  <c r="B37" i="4" s="1"/>
  <c r="B27" i="4"/>
  <c r="B30" i="4"/>
  <c r="B31" i="4" s="1"/>
  <c r="B24" i="4"/>
  <c r="B48" i="4" s="1"/>
  <c r="B38" i="4" l="1"/>
  <c r="B44" i="4"/>
  <c r="B50" i="4"/>
  <c r="B40" i="4"/>
  <c r="B41" i="4" s="1"/>
  <c r="B52" i="4" l="1"/>
  <c r="B45" i="4"/>
  <c r="B46" i="4" s="1"/>
  <c r="B58" i="4" l="1"/>
  <c r="B55" i="4"/>
  <c r="B56" i="4" l="1"/>
  <c r="B59" i="4"/>
  <c r="B62" i="4" l="1"/>
  <c r="B6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Shivani Sukhavasi</author>
  </authors>
  <commentList>
    <comment ref="A52" authorId="0" shapeId="0" xr:uid="{43A33230-7B77-4DCB-B023-CFCB8936D520}">
      <text>
        <r>
          <rPr>
            <b/>
            <sz val="9"/>
            <color indexed="81"/>
            <rFont val="Tahoma"/>
            <family val="2"/>
          </rPr>
          <t>Shivani Sukhavasi:</t>
        </r>
        <r>
          <rPr>
            <sz val="9"/>
            <color indexed="81"/>
            <rFont val="Tahoma"/>
            <family val="2"/>
          </rPr>
          <t xml:space="preserve">
Formula= EBIT(1-Tax Rate)+Depreciation- Change in Working Capital- Capital Expenditure.</t>
        </r>
      </text>
    </comment>
    <comment ref="A58" authorId="0" shapeId="0" xr:uid="{0DAB83C4-66E0-423B-A75D-CD634203FEC9}">
      <text>
        <r>
          <rPr>
            <b/>
            <sz val="9"/>
            <color indexed="81"/>
            <rFont val="Tahoma"/>
            <family val="2"/>
          </rPr>
          <t>Shivani Sukhavasi:</t>
        </r>
        <r>
          <rPr>
            <sz val="9"/>
            <color indexed="81"/>
            <rFont val="Tahoma"/>
            <family val="2"/>
          </rPr>
          <t xml:space="preserve">
Formual=FCF*(1-Terminal Growth Rate)/(WACC-Terminal Growth Rate)</t>
        </r>
      </text>
    </comment>
  </commentList>
</comments>
</file>

<file path=xl/sharedStrings.xml><?xml version="1.0" encoding="utf-8"?>
<sst xmlns="http://schemas.openxmlformats.org/spreadsheetml/2006/main" count="433" uniqueCount="216">
  <si>
    <t>Standalone Profit &amp; Loss account</t>
  </si>
  <si>
    <t>------------------- in Rs. Cr. -------------------</t>
  </si>
  <si>
    <t>Dec '21</t>
  </si>
  <si>
    <t>Dec '20</t>
  </si>
  <si>
    <t>Dec '19</t>
  </si>
  <si>
    <t>Dec '18</t>
  </si>
  <si>
    <t>Dec '17</t>
  </si>
  <si>
    <t>12 mths</t>
  </si>
  <si>
    <t>Income</t>
  </si>
  <si>
    <t>Sales Turnover</t>
  </si>
  <si>
    <t>Excise Duty</t>
  </si>
  <si>
    <t>Net Sales</t>
  </si>
  <si>
    <t>Other Income</t>
  </si>
  <si>
    <t>Stock Adjustments</t>
  </si>
  <si>
    <t>Total Income</t>
  </si>
  <si>
    <t>Expenditure</t>
  </si>
  <si>
    <t>Raw Materials</t>
  </si>
  <si>
    <t>Power &amp; Fuel Cost</t>
  </si>
  <si>
    <t>Employee Cost</t>
  </si>
  <si>
    <t>Selling and Admin Expenses</t>
  </si>
  <si>
    <t>Miscellaneous Expenses</t>
  </si>
  <si>
    <t>Total Expenses</t>
  </si>
  <si>
    <t>Operating Profit</t>
  </si>
  <si>
    <t>PBDIT</t>
  </si>
  <si>
    <t>Interest</t>
  </si>
  <si>
    <t>PBDT</t>
  </si>
  <si>
    <t>Depreciation</t>
  </si>
  <si>
    <t>Profit Before Tax</t>
  </si>
  <si>
    <t>PBT (Post Extra-ord Items)</t>
  </si>
  <si>
    <t>Tax</t>
  </si>
  <si>
    <t>Reported Net Profit</t>
  </si>
  <si>
    <t>Total Value Addition</t>
  </si>
  <si>
    <t>Equity Dividend</t>
  </si>
  <si>
    <t>Corporate Dividend Tax</t>
  </si>
  <si>
    <t>Per share data (annualised)</t>
  </si>
  <si>
    <t>Shares in issue (lakhs)</t>
  </si>
  <si>
    <t>Earning Per Share (Rs)</t>
  </si>
  <si>
    <t>Equity Dividend (%)</t>
  </si>
  <si>
    <t>Book Value (Rs)</t>
  </si>
  <si>
    <t>Dec 16</t>
  </si>
  <si>
    <t>Standalone Balance Sheet</t>
  </si>
  <si>
    <t>Total Share Capital</t>
  </si>
  <si>
    <t>Equity Share Capital</t>
  </si>
  <si>
    <t>Total Liabilities</t>
  </si>
  <si>
    <t>Inventories</t>
  </si>
  <si>
    <t>Total Current Assets</t>
  </si>
  <si>
    <t>Total Assets</t>
  </si>
  <si>
    <t>Contingent Liabilities</t>
  </si>
  <si>
    <t>Dec '16</t>
  </si>
  <si>
    <t>Dec '15</t>
  </si>
  <si>
    <t>Dec '14</t>
  </si>
  <si>
    <t>Dec '13</t>
  </si>
  <si>
    <t>Dec '12</t>
  </si>
  <si>
    <t>Raw Material</t>
  </si>
  <si>
    <t>Cost of Goods sold</t>
  </si>
  <si>
    <t>Gross Profit</t>
  </si>
  <si>
    <t>Dec 21</t>
  </si>
  <si>
    <t>EQUITIES AND LIABILITIES</t>
  </si>
  <si>
    <t>SHAREHOLDER'S FUNDS</t>
  </si>
  <si>
    <t>Reserves and Surplus</t>
  </si>
  <si>
    <t>Total Reserves and Surplus</t>
  </si>
  <si>
    <t>Total Shareholders Funds</t>
  </si>
  <si>
    <t>NON-CURRENT LIABILITIES</t>
  </si>
  <si>
    <t>Long Term Borrowings</t>
  </si>
  <si>
    <t>Deferred Tax Liabilities [Net]</t>
  </si>
  <si>
    <t>Other Long Term Liabilities</t>
  </si>
  <si>
    <t>Long Term Provisions</t>
  </si>
  <si>
    <t>Total Non-Current Liabilities</t>
  </si>
  <si>
    <t>CURRENT LIABILITIES</t>
  </si>
  <si>
    <t>Short Term Borrowings</t>
  </si>
  <si>
    <t>Trade Payables</t>
  </si>
  <si>
    <t>Other Current Liabilities</t>
  </si>
  <si>
    <t>Short Term Provisions</t>
  </si>
  <si>
    <t>Total Current Liabilities</t>
  </si>
  <si>
    <t>Total Capital And Liabilities</t>
  </si>
  <si>
    <t>ASSETS</t>
  </si>
  <si>
    <t>NON-CURRENT ASSETS</t>
  </si>
  <si>
    <t>Tangible Assets</t>
  </si>
  <si>
    <t>Capital Work-In-Progress</t>
  </si>
  <si>
    <t>Fixed Assets</t>
  </si>
  <si>
    <t>Non-Current Investments</t>
  </si>
  <si>
    <t>Deferred Tax Assets [Net]</t>
  </si>
  <si>
    <t>Long Term Loans And Advances</t>
  </si>
  <si>
    <t>Other Non-Current Assets</t>
  </si>
  <si>
    <t>Total Non-Current Assets</t>
  </si>
  <si>
    <t>CURRENT ASSETS</t>
  </si>
  <si>
    <t>Current Investments</t>
  </si>
  <si>
    <t>Trade Receivables</t>
  </si>
  <si>
    <t>Cash And Cash Equivalents</t>
  </si>
  <si>
    <t>Short Term Loans And Advances</t>
  </si>
  <si>
    <t>OtherCurrentAssets</t>
  </si>
  <si>
    <t>OTHER ADDITIONAL INFORMATION</t>
  </si>
  <si>
    <t>CONTINGENT LIABILITIES, COMMITMENTS</t>
  </si>
  <si>
    <t>CIF VALUE OF IMPORTS</t>
  </si>
  <si>
    <t>EXPENDITURE IN FOREIGN EXCHANGE</t>
  </si>
  <si>
    <t>Expenditure In Foreign Currency</t>
  </si>
  <si>
    <t>REMITTANCES IN FOREIGN CURRENCIES FOR DIVIDENDS</t>
  </si>
  <si>
    <t>Dividend Remittance In Foreign Currency</t>
  </si>
  <si>
    <t>-</t>
  </si>
  <si>
    <t>EARNINGS IN FOREIGN EXCHANGE</t>
  </si>
  <si>
    <t>FOB Value Of Goods</t>
  </si>
  <si>
    <t>Other Earnings</t>
  </si>
  <si>
    <t>BONUS DETAILS</t>
  </si>
  <si>
    <t>Bonus Equity Share Capital</t>
  </si>
  <si>
    <t>NON-CURRENT INVESTMENTS</t>
  </si>
  <si>
    <t>Non-Current Investments Quoted Market Value</t>
  </si>
  <si>
    <t>Non-Current Investments Unquoted Book Value</t>
  </si>
  <si>
    <t>CURRENT INVESTMENTS</t>
  </si>
  <si>
    <t>Current Investments Quoted Market Value</t>
  </si>
  <si>
    <t>Current Investments Unquoted Book Value</t>
  </si>
  <si>
    <t>Stores, Spares And Loose Tools</t>
  </si>
  <si>
    <t>Trade/Other Goods</t>
  </si>
  <si>
    <t>Capital Goods</t>
  </si>
  <si>
    <t>Particulars</t>
  </si>
  <si>
    <t>Profitability Ratios</t>
  </si>
  <si>
    <t>Gross Profit Margin</t>
  </si>
  <si>
    <t>Operating Profit Margin</t>
  </si>
  <si>
    <t>Net Profit Margin</t>
  </si>
  <si>
    <t>Return on Assets</t>
  </si>
  <si>
    <t>Return on Equity</t>
  </si>
  <si>
    <t>Liquidity Ratios</t>
  </si>
  <si>
    <t>Current Ratio</t>
  </si>
  <si>
    <t>Quick Ratio</t>
  </si>
  <si>
    <t>Cash Ratio</t>
  </si>
  <si>
    <t>Net Working Capital</t>
  </si>
  <si>
    <t>Effeciency Ratios</t>
  </si>
  <si>
    <t>Days Inventory Outstanding</t>
  </si>
  <si>
    <t>Days Payable Outstanding</t>
  </si>
  <si>
    <t>Days Sales Outstanding</t>
  </si>
  <si>
    <t>Operating Cycle(DSO+DIO)</t>
  </si>
  <si>
    <t>Cash conversion Ratio(OC-DPO)</t>
  </si>
  <si>
    <t>Total Asset Turnover</t>
  </si>
  <si>
    <t>Leverage Ratio</t>
  </si>
  <si>
    <t>Debt Ratio</t>
  </si>
  <si>
    <t>Equity Ratio</t>
  </si>
  <si>
    <t>Debt-Equity Ratio</t>
  </si>
  <si>
    <t>Trend Line</t>
  </si>
  <si>
    <t>Year on Year Growth</t>
  </si>
  <si>
    <t>3 Year Moving Average</t>
  </si>
  <si>
    <t>Forecast</t>
  </si>
  <si>
    <t>Growth Forecasted</t>
  </si>
  <si>
    <t>Year</t>
  </si>
  <si>
    <t>Total Expenses/ Net Sales</t>
  </si>
  <si>
    <t>Total Current Assets/Net Sales</t>
  </si>
  <si>
    <t>Total Current Liabilities/Net Sales</t>
  </si>
  <si>
    <t>Fixed Assets/Net Sales</t>
  </si>
  <si>
    <t>Depreciation/Fixed Assets</t>
  </si>
  <si>
    <t>Interest(5 Year Moving Average)</t>
  </si>
  <si>
    <t>Operating Cost(Total Expenses)</t>
  </si>
  <si>
    <t>EBITDA</t>
  </si>
  <si>
    <t>EBITDA Margin</t>
  </si>
  <si>
    <t>Tax Expenses</t>
  </si>
  <si>
    <t>Tax Rate(Tax expenses/EBITDA)</t>
  </si>
  <si>
    <t>EBIT</t>
  </si>
  <si>
    <t>Profit Before Tax(PBT)(EBIT-Interest)</t>
  </si>
  <si>
    <t>Profit AfterTax(PAT)(PBT-Tax)</t>
  </si>
  <si>
    <t>Change in Working Capital</t>
  </si>
  <si>
    <t>Change in Fixed Assets</t>
  </si>
  <si>
    <t>FCF(Free Cash Flow)</t>
  </si>
  <si>
    <t>CAPEX(Change in FA-Depreciation)</t>
  </si>
  <si>
    <t>WACC</t>
  </si>
  <si>
    <t>Present Value of FCF</t>
  </si>
  <si>
    <t>Time Periods</t>
  </si>
  <si>
    <t>Sum of Present FCF</t>
  </si>
  <si>
    <t>Terminal Growth Rate</t>
  </si>
  <si>
    <t>(If the growth rate of company is greater than the annaul GDP growth rate, assume as 4%)</t>
  </si>
  <si>
    <t>Terminal Value</t>
  </si>
  <si>
    <t>Discounted Value(FCF+Terminal Value)</t>
  </si>
  <si>
    <t>No.of Shares Outstanding in Cr.</t>
  </si>
  <si>
    <t>DCF per Share</t>
  </si>
  <si>
    <t>(In the future, the share price may fall to 11,400. And as per current share price, the share is highly Overvalued)</t>
  </si>
  <si>
    <t>SENSITIVITY ANALYSIS</t>
  </si>
  <si>
    <t>P/E Ratio</t>
  </si>
  <si>
    <t>Price to Sales</t>
  </si>
  <si>
    <t>Enterprise Value/EBITDA</t>
  </si>
  <si>
    <t>Enterprise Value/Revenues</t>
  </si>
  <si>
    <t>FCF/EV</t>
  </si>
  <si>
    <t>FCF/Market Capitalization</t>
  </si>
  <si>
    <t>EPS</t>
  </si>
  <si>
    <t>Price to Cash flow</t>
  </si>
  <si>
    <t>Shares Outstanding in Cr.</t>
  </si>
  <si>
    <t>Share Price on 27/12/2021</t>
  </si>
  <si>
    <t>Price to Book Value Ratio</t>
  </si>
  <si>
    <t>Book Value</t>
  </si>
  <si>
    <t>Operating Cash Flow</t>
  </si>
  <si>
    <t>Net Sales per Share</t>
  </si>
  <si>
    <t>Operating Cash Flow per Share</t>
  </si>
  <si>
    <t xml:space="preserve">Net Sales </t>
  </si>
  <si>
    <t>Market Capitalization</t>
  </si>
  <si>
    <t>Total Debt</t>
  </si>
  <si>
    <t>Cash and Cash Equivalents</t>
  </si>
  <si>
    <t>Enterprise Value</t>
  </si>
  <si>
    <t>FCF for 2021</t>
  </si>
  <si>
    <t>Relative Valuation- 2021</t>
  </si>
  <si>
    <t>Cost of Debt</t>
  </si>
  <si>
    <t>Interest Expense</t>
  </si>
  <si>
    <t>Long Term Debt</t>
  </si>
  <si>
    <t>Short term Debt</t>
  </si>
  <si>
    <t>Tax Rate</t>
  </si>
  <si>
    <t>Cost of Debt(1-Tax Rate)</t>
  </si>
  <si>
    <t>Cost of Equity Calculation</t>
  </si>
  <si>
    <t>Cost of Debt Calculation</t>
  </si>
  <si>
    <t>Risk Free Rate</t>
  </si>
  <si>
    <t>Beta</t>
  </si>
  <si>
    <t>Market Return</t>
  </si>
  <si>
    <t>Cost of Equity</t>
  </si>
  <si>
    <t>Weight of Debt and Equity Calculation</t>
  </si>
  <si>
    <t xml:space="preserve">Total </t>
  </si>
  <si>
    <t>P/E</t>
  </si>
  <si>
    <t>PAT(2027E)</t>
  </si>
  <si>
    <t>Revenue(2027E)</t>
  </si>
  <si>
    <t>Discounted  Value</t>
  </si>
  <si>
    <t>109041.04 Cr.</t>
  </si>
  <si>
    <t>29,040.97 Cr.</t>
  </si>
  <si>
    <t>4,356.32 Cr.</t>
  </si>
  <si>
    <t>10,5826 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</si>
</sst>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8"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1"/>
      <color rgb="FFFF0000"/>
      <name val="Calibri"/>
      <family val="2"/>
      <scheme val="minor"/>
    </font>
    <font>
      <sz val="11"/>
      <color theme="4" tint="0.39997558519241921"/>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rgb="FFFFFFFF"/>
        <bgColor indexed="64"/>
      </patternFill>
    </fill>
    <fill>
      <patternFill patternType="solid">
        <fgColor theme="4" tint="0.39997558519241921"/>
        <bgColor indexed="64"/>
      </patternFill>
    </fill>
    <fill>
      <patternFill patternType="solid">
        <fgColor theme="0"/>
        <bgColor indexed="64"/>
      </patternFill>
    </fill>
    <fill>
      <patternFill patternType="solid">
        <fgColor theme="7" tint="0.39997558519241921"/>
        <bgColor indexed="64"/>
      </patternFill>
    </fill>
  </fills>
  <borders count="3">
    <border>
      <left/>
      <right/>
      <top/>
      <bottom/>
      <diagonal/>
    </border>
    <border>
      <left style="medium">
        <color rgb="FFEEEEEE"/>
      </left>
      <right style="medium">
        <color rgb="FFEEEEEE"/>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51">
    <xf numFmtId="0" fontId="0" fillId="0" borderId="0" xfId="0"/>
    <xf numFmtId="4" fontId="0" fillId="0" borderId="0" xfId="0" applyNumberFormat="1"/>
    <xf numFmtId="17" fontId="0" fillId="0" borderId="0" xfId="0" applyNumberFormat="1"/>
    <xf numFmtId="0" fontId="0" fillId="0" borderId="0" xfId="0" applyAlignment="1">
      <alignment horizontal="left"/>
    </xf>
    <xf numFmtId="4" fontId="0" fillId="2" borderId="1" xfId="0" applyNumberFormat="1" applyFill="1" applyBorder="1" applyAlignment="1">
      <alignment horizontal="right" vertical="center"/>
    </xf>
    <xf numFmtId="0" fontId="0" fillId="2" borderId="0" xfId="0" applyFill="1" applyAlignment="1">
      <alignment horizontal="left"/>
    </xf>
    <xf numFmtId="0" fontId="1" fillId="0" borderId="0" xfId="0" applyFont="1"/>
    <xf numFmtId="14" fontId="1" fillId="3" borderId="0" xfId="0" applyNumberFormat="1" applyFont="1" applyFill="1"/>
    <xf numFmtId="0" fontId="1" fillId="3" borderId="0" xfId="0" applyFont="1" applyFill="1"/>
    <xf numFmtId="10" fontId="0" fillId="0" borderId="0" xfId="1" applyNumberFormat="1" applyFont="1"/>
    <xf numFmtId="0" fontId="0" fillId="3" borderId="0" xfId="0" applyFill="1"/>
    <xf numFmtId="2" fontId="0" fillId="0" borderId="0" xfId="0" applyNumberFormat="1"/>
    <xf numFmtId="14" fontId="1" fillId="4" borderId="0" xfId="0" applyNumberFormat="1" applyFont="1" applyFill="1"/>
    <xf numFmtId="0" fontId="4" fillId="4" borderId="0" xfId="0" applyFont="1" applyFill="1"/>
    <xf numFmtId="0" fontId="1" fillId="4" borderId="0" xfId="0" applyFont="1" applyFill="1"/>
    <xf numFmtId="0" fontId="5" fillId="3" borderId="0" xfId="0" applyFont="1" applyFill="1"/>
    <xf numFmtId="0" fontId="0" fillId="0" borderId="2" xfId="0" applyBorder="1"/>
    <xf numFmtId="10" fontId="0" fillId="0" borderId="2" xfId="1" applyNumberFormat="1" applyFont="1" applyBorder="1"/>
    <xf numFmtId="2" fontId="0" fillId="0" borderId="2" xfId="0" applyNumberFormat="1" applyBorder="1"/>
    <xf numFmtId="4" fontId="0" fillId="0" borderId="2" xfId="0" applyNumberFormat="1" applyBorder="1"/>
    <xf numFmtId="165" fontId="0" fillId="0" borderId="0" xfId="1" applyNumberFormat="1" applyFont="1"/>
    <xf numFmtId="165" fontId="0" fillId="0" borderId="0" xfId="0" applyNumberFormat="1"/>
    <xf numFmtId="0" fontId="0" fillId="3" borderId="2" xfId="0" applyFill="1" applyBorder="1"/>
    <xf numFmtId="4" fontId="0" fillId="3" borderId="0" xfId="0" applyNumberFormat="1" applyFill="1"/>
    <xf numFmtId="4" fontId="1" fillId="3" borderId="0" xfId="0" applyNumberFormat="1" applyFont="1" applyFill="1"/>
    <xf numFmtId="14" fontId="1" fillId="5" borderId="0" xfId="0" applyNumberFormat="1" applyFont="1" applyFill="1"/>
    <xf numFmtId="0" fontId="1" fillId="3" borderId="2" xfId="0" applyFont="1" applyFill="1" applyBorder="1"/>
    <xf numFmtId="14" fontId="1" fillId="3" borderId="2" xfId="0" applyNumberFormat="1" applyFont="1" applyFill="1" applyBorder="1"/>
    <xf numFmtId="14" fontId="1" fillId="0" borderId="2" xfId="0" applyNumberFormat="1" applyFont="1" applyBorder="1"/>
    <xf numFmtId="4" fontId="0" fillId="3" borderId="2" xfId="0" applyNumberFormat="1" applyFill="1" applyBorder="1"/>
    <xf numFmtId="4" fontId="0" fillId="2" borderId="2" xfId="0" applyNumberFormat="1" applyFill="1" applyBorder="1" applyAlignment="1">
      <alignment horizontal="right" vertical="center"/>
    </xf>
    <xf numFmtId="0" fontId="1" fillId="0" borderId="2" xfId="0" applyFont="1" applyBorder="1"/>
    <xf numFmtId="0" fontId="0" fillId="2" borderId="2" xfId="0" applyFill="1" applyBorder="1" applyAlignment="1">
      <alignment horizontal="right" vertical="top"/>
    </xf>
    <xf numFmtId="164" fontId="0" fillId="0" borderId="0" xfId="1" applyNumberFormat="1" applyFont="1"/>
    <xf numFmtId="2" fontId="0" fillId="0" borderId="0" xfId="1" applyNumberFormat="1" applyFont="1"/>
    <xf numFmtId="2" fontId="0" fillId="3" borderId="0" xfId="1" applyNumberFormat="1" applyFont="1" applyFill="1"/>
    <xf numFmtId="2" fontId="0" fillId="3" borderId="0" xfId="0" applyNumberFormat="1" applyFill="1"/>
    <xf numFmtId="9" fontId="0" fillId="0" borderId="0" xfId="0" applyNumberFormat="1"/>
    <xf numFmtId="0" fontId="0" fillId="0" borderId="0" xfId="0" applyAlignment="1">
      <alignment horizontal="center"/>
    </xf>
    <xf numFmtId="2" fontId="1" fillId="3" borderId="0" xfId="1" applyNumberFormat="1" applyFont="1" applyFill="1" applyAlignment="1">
      <alignment horizontal="center"/>
    </xf>
    <xf numFmtId="3" fontId="0" fillId="0" borderId="0" xfId="0" applyNumberFormat="1"/>
    <xf numFmtId="164" fontId="0" fillId="0" borderId="0" xfId="0" applyNumberFormat="1"/>
    <xf numFmtId="0" fontId="1" fillId="3" borderId="0" xfId="0" applyFont="1" applyFill="1" applyAlignment="1">
      <alignment horizontal="center"/>
    </xf>
    <xf numFmtId="9" fontId="0" fillId="0" borderId="0" xfId="1" applyFont="1"/>
    <xf numFmtId="10" fontId="0" fillId="0" borderId="0" xfId="0" applyNumberFormat="1"/>
    <xf numFmtId="0" fontId="0" fillId="0" borderId="0" xfId="1" applyNumberFormat="1" applyFont="1"/>
    <xf numFmtId="0" fontId="0" fillId="0" borderId="0" xfId="0" applyAlignment="1"/>
    <xf numFmtId="10" fontId="0" fillId="0" borderId="0" xfId="0" applyNumberFormat="1" applyAlignment="1">
      <alignment horizontal="center"/>
    </xf>
    <xf numFmtId="4" fontId="0" fillId="0" borderId="0" xfId="0" applyNumberFormat="1" applyAlignment="1">
      <alignment horizontal="center"/>
    </xf>
    <xf numFmtId="0" fontId="1" fillId="3" borderId="0" xfId="0" applyFont="1" applyFill="1" applyAlignment="1">
      <alignment horizontal="center"/>
    </xf>
    <xf numFmtId="0" fontId="1" fillId="5" borderId="0" xfId="0"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9526</xdr:colOff>
      <xdr:row>1</xdr:row>
      <xdr:rowOff>0</xdr:rowOff>
    </xdr:from>
    <xdr:to>
      <xdr:col>14</xdr:col>
      <xdr:colOff>0</xdr:colOff>
      <xdr:row>17</xdr:row>
      <xdr:rowOff>180975</xdr:rowOff>
    </xdr:to>
    <xdr:sp macro="" textlink="">
      <xdr:nvSpPr>
        <xdr:cNvPr id="2" name="TextBox 1">
          <a:extLst>
            <a:ext uri="{FF2B5EF4-FFF2-40B4-BE49-F238E27FC236}">
              <a16:creationId xmlns:a16="http://schemas.microsoft.com/office/drawing/2014/main" id="{77AF619B-8009-2BDE-E0F0-11447586F8F9}"/>
            </a:ext>
          </a:extLst>
        </xdr:cNvPr>
        <xdr:cNvSpPr txBox="1"/>
      </xdr:nvSpPr>
      <xdr:spPr>
        <a:xfrm>
          <a:off x="619126" y="190500"/>
          <a:ext cx="7915274" cy="3419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a:solidFill>
                <a:schemeClr val="accent1">
                  <a:lumMod val="50000"/>
                </a:schemeClr>
              </a:solidFill>
              <a:effectLst/>
              <a:latin typeface="Times New Roman" panose="02020603050405020304" pitchFamily="18" charset="0"/>
              <a:ea typeface="+mn-ea"/>
              <a:cs typeface="Times New Roman" panose="02020603050405020304" pitchFamily="18" charset="0"/>
            </a:rPr>
            <a:t>NESTLÉ INDIA</a:t>
          </a:r>
        </a:p>
        <a:p>
          <a:r>
            <a:rPr lang="en-IN" sz="1200" b="0" i="0">
              <a:solidFill>
                <a:schemeClr val="dk1"/>
              </a:solidFill>
              <a:effectLst/>
              <a:latin typeface="Times New Roman" panose="02020603050405020304" pitchFamily="18" charset="0"/>
              <a:ea typeface="+mn-ea"/>
              <a:cs typeface="Times New Roman" panose="02020603050405020304" pitchFamily="18" charset="0"/>
            </a:rPr>
            <a:t>NESTLÉ's relationship with India dates back to 1912, when it began trading as The NESTLÉ Anglo-Swiss Condensed Milk Company (Export) Limited, importing and selling finished products in the Indian market.</a:t>
          </a:r>
        </a:p>
        <a:p>
          <a:endParaRPr lang="en-IN" sz="1200" b="0" i="0">
            <a:solidFill>
              <a:schemeClr val="dk1"/>
            </a:solidFill>
            <a:effectLst/>
            <a:latin typeface="Times New Roman" panose="02020603050405020304" pitchFamily="18" charset="0"/>
            <a:ea typeface="+mn-ea"/>
            <a:cs typeface="Times New Roman" panose="02020603050405020304" pitchFamily="18" charset="0"/>
          </a:endParaRPr>
        </a:p>
        <a:p>
          <a:r>
            <a:rPr lang="en-IN" sz="1200" b="0" i="0">
              <a:solidFill>
                <a:schemeClr val="dk1"/>
              </a:solidFill>
              <a:effectLst/>
              <a:latin typeface="Times New Roman" panose="02020603050405020304" pitchFamily="18" charset="0"/>
              <a:ea typeface="+mn-ea"/>
              <a:cs typeface="Times New Roman" panose="02020603050405020304" pitchFamily="18" charset="0"/>
            </a:rPr>
            <a:t>NESTLÉ India manufactures products of truly international quality under internationally famous brand names such as NESCAFÉ, MAGGI, MILKYBAR, KIT KAT, BAR-ONE, MILKMAID and NESTEA and in recent years the Company has also introduced products of daily consumption and use such as NESTLÉ Milk, NESTLÉ SLIM Milk, NESTLÉ Dahi and NESTLÉ Jeera Raita.</a:t>
          </a:r>
        </a:p>
        <a:p>
          <a:endParaRPr lang="en-IN" sz="1200" b="0" i="0">
            <a:solidFill>
              <a:schemeClr val="dk1"/>
            </a:solidFill>
            <a:effectLst/>
            <a:latin typeface="Times New Roman" panose="02020603050405020304" pitchFamily="18" charset="0"/>
            <a:ea typeface="+mn-ea"/>
            <a:cs typeface="Times New Roman" panose="02020603050405020304" pitchFamily="18" charset="0"/>
          </a:endParaRPr>
        </a:p>
        <a:p>
          <a:r>
            <a:rPr lang="en-IN" sz="1200" b="0" i="0">
              <a:solidFill>
                <a:schemeClr val="dk1"/>
              </a:solidFill>
              <a:effectLst/>
              <a:latin typeface="Times New Roman" panose="02020603050405020304" pitchFamily="18" charset="0"/>
              <a:ea typeface="+mn-ea"/>
              <a:cs typeface="Times New Roman" panose="02020603050405020304" pitchFamily="18" charset="0"/>
            </a:rPr>
            <a:t>After more than a century-old association with the country, today, NESTLÉ India has presence across India with 8 manufacturing facilities and 4 branch offices.</a:t>
          </a:r>
        </a:p>
        <a:p>
          <a:endParaRPr lang="en-IN" sz="1200" b="0" i="0">
            <a:solidFill>
              <a:schemeClr val="dk1"/>
            </a:solidFill>
            <a:effectLst/>
            <a:latin typeface="Times New Roman" panose="02020603050405020304" pitchFamily="18" charset="0"/>
            <a:ea typeface="+mn-ea"/>
            <a:cs typeface="Times New Roman" panose="02020603050405020304" pitchFamily="18" charset="0"/>
          </a:endParaRPr>
        </a:p>
        <a:p>
          <a:r>
            <a:rPr lang="en-IN" sz="1200" b="0" i="0">
              <a:solidFill>
                <a:schemeClr val="dk1"/>
              </a:solidFill>
              <a:effectLst/>
              <a:latin typeface="Times New Roman" panose="02020603050405020304" pitchFamily="18" charset="0"/>
              <a:ea typeface="+mn-ea"/>
              <a:cs typeface="Times New Roman" panose="02020603050405020304" pitchFamily="18" charset="0"/>
            </a:rPr>
            <a:t>Nestlé's purpose is enhancing quality of life and contributing to a healthier future. We want to help shape a better and healthier world. We also want to inspire people to live healthier lives. This is how we contribute to society while ensuring the long-term success of our company.</a:t>
          </a:r>
        </a:p>
        <a:p>
          <a:endParaRPr lang="en-IN" sz="1200">
            <a:latin typeface="Times New Roman" panose="02020603050405020304" pitchFamily="18" charset="0"/>
            <a:cs typeface="Times New Roman" panose="02020603050405020304" pitchFamily="18" charset="0"/>
          </a:endParaRPr>
        </a:p>
        <a:p>
          <a:r>
            <a:rPr lang="en-IN" sz="1200" b="0" i="0">
              <a:solidFill>
                <a:schemeClr val="dk1"/>
              </a:solidFill>
              <a:effectLst/>
              <a:latin typeface="Times New Roman" panose="02020603050405020304" pitchFamily="18" charset="0"/>
              <a:ea typeface="+mn-ea"/>
              <a:cs typeface="Times New Roman" panose="02020603050405020304" pitchFamily="18" charset="0"/>
            </a:rPr>
            <a:t>Our values are reflected in the way we do business, always acting legally and honestly with respect both for our own people and those we do business with. </a:t>
          </a:r>
          <a:br>
            <a:rPr lang="en-IN">
              <a:latin typeface="Times New Roman" panose="02020603050405020304" pitchFamily="18" charset="0"/>
              <a:cs typeface="Times New Roman" panose="02020603050405020304" pitchFamily="18" charset="0"/>
            </a:rPr>
          </a:br>
          <a:endParaRPr lang="en-IN" sz="11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D15C4-92B7-436B-9E0C-A72A3598D90C}">
  <dimension ref="B2:P20"/>
  <sheetViews>
    <sheetView tabSelected="1" workbookViewId="0">
      <selection activeCell="R6" sqref="R6"/>
    </sheetView>
  </sheetViews>
  <sheetFormatPr defaultRowHeight="15" x14ac:dyDescent="0.25"/>
  <cols>
    <col min="16" max="16" width="16.28515625" customWidth="1"/>
  </cols>
  <sheetData>
    <row r="2" spans="2:16" x14ac:dyDescent="0.25">
      <c r="P2" s="49" t="s">
        <v>160</v>
      </c>
    </row>
    <row r="3" spans="2:16" x14ac:dyDescent="0.25">
      <c r="B3" s="46"/>
      <c r="C3" s="46"/>
      <c r="D3" s="46"/>
      <c r="E3" s="46"/>
      <c r="F3" s="46"/>
      <c r="G3" s="46"/>
      <c r="H3" s="46"/>
      <c r="I3" s="46"/>
      <c r="J3" s="46"/>
      <c r="K3" s="46"/>
      <c r="L3" s="46"/>
      <c r="M3" s="46"/>
      <c r="N3" s="46"/>
      <c r="P3" s="47">
        <v>8.7499999999999994E-2</v>
      </c>
    </row>
    <row r="4" spans="2:16" x14ac:dyDescent="0.25">
      <c r="B4" s="46"/>
      <c r="C4" s="46"/>
      <c r="D4" s="46"/>
      <c r="E4" s="46"/>
      <c r="F4" s="46"/>
      <c r="G4" s="46"/>
      <c r="H4" s="46"/>
      <c r="I4" s="46"/>
      <c r="J4" s="46"/>
      <c r="K4" s="46"/>
      <c r="L4" s="46"/>
      <c r="P4" s="38"/>
    </row>
    <row r="5" spans="2:16" x14ac:dyDescent="0.25">
      <c r="B5" s="46"/>
      <c r="C5" s="46"/>
      <c r="D5" s="46"/>
      <c r="E5" s="46"/>
      <c r="F5" s="46"/>
      <c r="G5" s="46"/>
      <c r="H5" s="46"/>
      <c r="I5" s="46"/>
      <c r="J5" s="46"/>
      <c r="K5" s="46"/>
      <c r="L5" s="46"/>
      <c r="M5" s="46"/>
      <c r="N5" s="46"/>
      <c r="P5" s="49" t="s">
        <v>208</v>
      </c>
    </row>
    <row r="6" spans="2:16" x14ac:dyDescent="0.25">
      <c r="B6" s="46"/>
      <c r="C6" s="46"/>
      <c r="D6" s="46"/>
      <c r="E6" s="46"/>
      <c r="F6" s="46"/>
      <c r="G6" s="46"/>
      <c r="H6" s="46"/>
      <c r="I6" s="46"/>
      <c r="J6" s="46"/>
      <c r="K6" s="46"/>
      <c r="L6" s="46"/>
      <c r="M6" s="46"/>
      <c r="N6" s="46"/>
      <c r="P6" s="38">
        <v>88.57</v>
      </c>
    </row>
    <row r="7" spans="2:16" x14ac:dyDescent="0.25">
      <c r="B7" s="46"/>
      <c r="C7" s="46"/>
      <c r="D7" s="46"/>
      <c r="E7" s="46"/>
      <c r="F7" s="46"/>
      <c r="G7" s="46"/>
      <c r="H7" s="46"/>
      <c r="I7" s="46"/>
      <c r="J7" s="46"/>
      <c r="K7" s="46"/>
      <c r="L7" s="46"/>
      <c r="M7" s="46"/>
      <c r="N7" s="46"/>
      <c r="P7" s="38"/>
    </row>
    <row r="8" spans="2:16" x14ac:dyDescent="0.25">
      <c r="B8" s="46"/>
      <c r="C8" s="46"/>
      <c r="D8" s="46"/>
      <c r="E8" s="46"/>
      <c r="F8" s="46"/>
      <c r="G8" s="46"/>
      <c r="H8" s="46"/>
      <c r="I8" s="46"/>
      <c r="J8" s="46"/>
      <c r="K8" s="46"/>
      <c r="L8" s="46"/>
      <c r="M8" s="46"/>
      <c r="N8" s="46"/>
      <c r="P8" s="49" t="s">
        <v>166</v>
      </c>
    </row>
    <row r="9" spans="2:16" x14ac:dyDescent="0.25">
      <c r="B9" s="46"/>
      <c r="C9" s="46"/>
      <c r="D9" s="46"/>
      <c r="E9" s="46"/>
      <c r="F9" s="46"/>
      <c r="G9" s="46"/>
      <c r="H9" s="46"/>
      <c r="I9" s="46"/>
      <c r="J9" s="46"/>
      <c r="K9" s="46"/>
      <c r="L9" s="46"/>
      <c r="M9" s="46"/>
      <c r="N9" s="46"/>
      <c r="P9" s="38" t="s">
        <v>215</v>
      </c>
    </row>
    <row r="10" spans="2:16" x14ac:dyDescent="0.25">
      <c r="B10" s="46"/>
      <c r="C10" s="46"/>
      <c r="D10" s="46"/>
      <c r="E10" s="46"/>
      <c r="F10" s="46"/>
      <c r="G10" s="46"/>
      <c r="H10" s="46"/>
      <c r="I10" s="46"/>
      <c r="J10" s="46"/>
      <c r="K10" s="46"/>
      <c r="L10" s="46"/>
      <c r="M10" s="46"/>
      <c r="N10" s="46"/>
      <c r="P10" s="38"/>
    </row>
    <row r="11" spans="2:16" x14ac:dyDescent="0.25">
      <c r="B11" s="46"/>
      <c r="C11" s="46"/>
      <c r="D11" s="46"/>
      <c r="E11" s="46"/>
      <c r="F11" s="46"/>
      <c r="G11" s="46"/>
      <c r="H11" s="46"/>
      <c r="I11" s="46"/>
      <c r="J11" s="46"/>
      <c r="K11" s="46"/>
      <c r="L11" s="46"/>
      <c r="M11" s="46"/>
      <c r="N11" s="46"/>
      <c r="P11" s="49" t="s">
        <v>209</v>
      </c>
    </row>
    <row r="12" spans="2:16" x14ac:dyDescent="0.25">
      <c r="B12" s="46"/>
      <c r="C12" s="46"/>
      <c r="D12" s="46"/>
      <c r="E12" s="46"/>
      <c r="F12" s="46"/>
      <c r="G12" s="46"/>
      <c r="H12" s="46"/>
      <c r="I12" s="46"/>
      <c r="J12" s="46"/>
      <c r="K12" s="46"/>
      <c r="L12" s="46"/>
      <c r="M12" s="46"/>
      <c r="N12" s="46"/>
      <c r="P12" s="48" t="s">
        <v>214</v>
      </c>
    </row>
    <row r="13" spans="2:16" x14ac:dyDescent="0.25">
      <c r="B13" s="46"/>
      <c r="C13" s="46"/>
      <c r="D13" s="46"/>
      <c r="E13" s="46"/>
      <c r="F13" s="46"/>
      <c r="G13" s="46"/>
      <c r="H13" s="46"/>
      <c r="I13" s="46"/>
      <c r="J13" s="46"/>
      <c r="K13" s="46"/>
      <c r="L13" s="46"/>
      <c r="M13" s="46"/>
      <c r="N13" s="46"/>
    </row>
    <row r="14" spans="2:16" x14ac:dyDescent="0.25">
      <c r="B14" s="46"/>
      <c r="C14" s="46"/>
      <c r="D14" s="46"/>
      <c r="E14" s="46"/>
      <c r="F14" s="46"/>
      <c r="G14" s="46"/>
      <c r="H14" s="46"/>
      <c r="I14" s="46"/>
      <c r="J14" s="46"/>
      <c r="K14" s="46"/>
      <c r="L14" s="46"/>
      <c r="M14" s="46"/>
      <c r="N14" s="46"/>
      <c r="P14" s="49" t="s">
        <v>210</v>
      </c>
    </row>
    <row r="15" spans="2:16" x14ac:dyDescent="0.25">
      <c r="B15" s="46"/>
      <c r="C15" s="46"/>
      <c r="D15" s="46"/>
      <c r="E15" s="46"/>
      <c r="F15" s="46"/>
      <c r="G15" s="46"/>
      <c r="H15" s="46"/>
      <c r="I15" s="46"/>
      <c r="J15" s="46"/>
      <c r="K15" s="46"/>
      <c r="L15" s="46"/>
      <c r="M15" s="46"/>
      <c r="N15" s="46"/>
      <c r="P15" s="38" t="s">
        <v>213</v>
      </c>
    </row>
    <row r="16" spans="2:16" x14ac:dyDescent="0.25">
      <c r="B16" s="46"/>
      <c r="C16" s="46"/>
      <c r="D16" s="46"/>
      <c r="E16" s="46"/>
      <c r="F16" s="46"/>
      <c r="G16" s="46"/>
      <c r="H16" s="46"/>
      <c r="I16" s="46"/>
      <c r="J16" s="46"/>
      <c r="K16" s="46"/>
      <c r="L16" s="46"/>
      <c r="M16" s="46"/>
      <c r="N16" s="46"/>
    </row>
    <row r="17" spans="2:16" x14ac:dyDescent="0.25">
      <c r="B17" s="46"/>
      <c r="C17" s="46"/>
      <c r="D17" s="46"/>
      <c r="E17" s="46"/>
      <c r="F17" s="46"/>
      <c r="G17" s="46"/>
      <c r="H17" s="46"/>
      <c r="I17" s="46"/>
      <c r="J17" s="46"/>
      <c r="K17" s="46"/>
      <c r="L17" s="46"/>
      <c r="P17" s="49" t="s">
        <v>211</v>
      </c>
    </row>
    <row r="18" spans="2:16" x14ac:dyDescent="0.25">
      <c r="B18" s="46"/>
      <c r="C18" s="46"/>
      <c r="D18" s="46"/>
      <c r="E18" s="46"/>
      <c r="F18" s="46"/>
      <c r="G18" s="46"/>
      <c r="H18" s="46"/>
      <c r="I18" s="46"/>
      <c r="J18" s="46"/>
      <c r="K18" s="46"/>
      <c r="L18" s="46"/>
      <c r="P18" s="38" t="s">
        <v>212</v>
      </c>
    </row>
    <row r="19" spans="2:16" x14ac:dyDescent="0.25">
      <c r="B19" s="46"/>
      <c r="C19" s="46"/>
      <c r="D19" s="46"/>
      <c r="E19" s="46"/>
      <c r="F19" s="46"/>
      <c r="G19" s="46"/>
      <c r="H19" s="46"/>
      <c r="I19" s="46"/>
      <c r="J19" s="46"/>
      <c r="K19" s="46"/>
      <c r="L19" s="46"/>
    </row>
    <row r="20" spans="2:16" x14ac:dyDescent="0.25">
      <c r="B20" s="46"/>
      <c r="C20" s="46"/>
      <c r="D20" s="46"/>
      <c r="E20" s="46"/>
      <c r="F20" s="46"/>
      <c r="G20" s="46"/>
      <c r="H20" s="46"/>
      <c r="I20" s="46"/>
      <c r="J20" s="46"/>
      <c r="K20" s="46"/>
      <c r="L20"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DBAF2-9A21-44B7-B8EF-6FEDCC14140D}">
  <sheetPr>
    <tabColor theme="5" tint="-0.249977111117893"/>
  </sheetPr>
  <dimension ref="A1:M107"/>
  <sheetViews>
    <sheetView workbookViewId="0">
      <selection activeCell="O15" sqref="O15"/>
    </sheetView>
  </sheetViews>
  <sheetFormatPr defaultRowHeight="15" x14ac:dyDescent="0.25"/>
  <cols>
    <col min="1" max="1" width="35" customWidth="1"/>
    <col min="7" max="7" width="11.42578125" customWidth="1"/>
    <col min="8" max="8" width="23.85546875" customWidth="1"/>
    <col min="9" max="9" width="9.85546875" bestFit="1" customWidth="1"/>
  </cols>
  <sheetData>
    <row r="1" spans="1:13" x14ac:dyDescent="0.25">
      <c r="A1" t="s">
        <v>0</v>
      </c>
      <c r="B1" t="s">
        <v>1</v>
      </c>
      <c r="H1" t="s">
        <v>0</v>
      </c>
      <c r="I1" t="s">
        <v>1</v>
      </c>
    </row>
    <row r="2" spans="1:13" x14ac:dyDescent="0.25">
      <c r="B2" t="s">
        <v>2</v>
      </c>
      <c r="C2" t="s">
        <v>3</v>
      </c>
      <c r="D2" t="s">
        <v>4</v>
      </c>
      <c r="E2" t="s">
        <v>5</v>
      </c>
      <c r="F2" t="s">
        <v>6</v>
      </c>
      <c r="I2" t="s">
        <v>48</v>
      </c>
      <c r="J2" t="s">
        <v>49</v>
      </c>
      <c r="K2" t="s">
        <v>50</v>
      </c>
      <c r="L2" t="s">
        <v>51</v>
      </c>
      <c r="M2" t="s">
        <v>52</v>
      </c>
    </row>
    <row r="4" spans="1:13" x14ac:dyDescent="0.25">
      <c r="B4" t="s">
        <v>7</v>
      </c>
      <c r="C4" t="s">
        <v>7</v>
      </c>
      <c r="D4" t="s">
        <v>7</v>
      </c>
      <c r="E4" t="s">
        <v>7</v>
      </c>
      <c r="F4" t="s">
        <v>7</v>
      </c>
      <c r="I4" t="s">
        <v>7</v>
      </c>
      <c r="J4" t="s">
        <v>7</v>
      </c>
      <c r="K4" t="s">
        <v>7</v>
      </c>
      <c r="L4" t="s">
        <v>7</v>
      </c>
      <c r="M4" t="s">
        <v>7</v>
      </c>
    </row>
    <row r="6" spans="1:13" x14ac:dyDescent="0.25">
      <c r="A6" t="s">
        <v>8</v>
      </c>
      <c r="H6" t="s">
        <v>8</v>
      </c>
    </row>
    <row r="7" spans="1:13" x14ac:dyDescent="0.25">
      <c r="A7" t="s">
        <v>9</v>
      </c>
      <c r="B7" s="1">
        <v>14709.41</v>
      </c>
      <c r="C7" s="1">
        <v>13350.03</v>
      </c>
      <c r="D7" s="1">
        <v>12368.9</v>
      </c>
      <c r="E7" s="1">
        <v>11292.27</v>
      </c>
      <c r="F7" s="1">
        <v>10192.18</v>
      </c>
      <c r="H7" t="s">
        <v>9</v>
      </c>
      <c r="I7" s="1">
        <v>9556.24</v>
      </c>
      <c r="J7" s="1">
        <v>8482.48</v>
      </c>
      <c r="K7" s="1">
        <v>10178.07</v>
      </c>
      <c r="L7" s="1">
        <v>9419.02</v>
      </c>
      <c r="M7" s="1">
        <v>8614.15</v>
      </c>
    </row>
    <row r="8" spans="1:13" x14ac:dyDescent="0.25">
      <c r="A8" t="s">
        <v>10</v>
      </c>
      <c r="B8">
        <v>0</v>
      </c>
      <c r="C8">
        <v>0</v>
      </c>
      <c r="D8">
        <v>0</v>
      </c>
      <c r="E8">
        <v>0</v>
      </c>
      <c r="F8">
        <v>182.58</v>
      </c>
      <c r="H8" t="s">
        <v>10</v>
      </c>
      <c r="I8">
        <v>332.44</v>
      </c>
      <c r="J8">
        <v>307.17</v>
      </c>
      <c r="K8">
        <v>323.23</v>
      </c>
      <c r="L8">
        <v>317.97000000000003</v>
      </c>
      <c r="M8">
        <v>279.62</v>
      </c>
    </row>
    <row r="9" spans="1:13" x14ac:dyDescent="0.25">
      <c r="A9" t="s">
        <v>11</v>
      </c>
      <c r="B9" s="1">
        <v>14709.41</v>
      </c>
      <c r="C9" s="1">
        <v>13350.03</v>
      </c>
      <c r="D9" s="1">
        <v>12368.9</v>
      </c>
      <c r="E9" s="1">
        <v>11292.27</v>
      </c>
      <c r="F9" s="1">
        <v>10009.6</v>
      </c>
      <c r="H9" t="s">
        <v>11</v>
      </c>
      <c r="I9" s="1">
        <v>9223.7999999999993</v>
      </c>
      <c r="J9" s="1">
        <v>8175.31</v>
      </c>
      <c r="K9" s="1">
        <v>9854.84</v>
      </c>
      <c r="L9" s="1">
        <v>9101.0499999999993</v>
      </c>
      <c r="M9" s="1">
        <v>8334.5300000000007</v>
      </c>
    </row>
    <row r="10" spans="1:13" x14ac:dyDescent="0.25">
      <c r="A10" t="s">
        <v>12</v>
      </c>
      <c r="B10">
        <v>-267.95</v>
      </c>
      <c r="C10">
        <v>53.32</v>
      </c>
      <c r="D10">
        <v>95.54</v>
      </c>
      <c r="E10">
        <v>228.72</v>
      </c>
      <c r="F10">
        <v>86.2</v>
      </c>
      <c r="H10" t="s">
        <v>12</v>
      </c>
      <c r="I10">
        <v>87.25</v>
      </c>
      <c r="J10">
        <v>-390.75</v>
      </c>
      <c r="K10">
        <v>94.32</v>
      </c>
      <c r="L10">
        <v>96.9</v>
      </c>
      <c r="M10">
        <v>31.03</v>
      </c>
    </row>
    <row r="11" spans="1:13" x14ac:dyDescent="0.25">
      <c r="A11" t="s">
        <v>13</v>
      </c>
      <c r="B11">
        <v>62.7</v>
      </c>
      <c r="C11">
        <v>69.33</v>
      </c>
      <c r="D11">
        <v>144.19</v>
      </c>
      <c r="E11">
        <v>6.01</v>
      </c>
      <c r="F11">
        <v>79.56</v>
      </c>
      <c r="H11" t="s">
        <v>13</v>
      </c>
      <c r="I11" s="1">
        <v>10.78</v>
      </c>
      <c r="J11" s="1">
        <v>-11.97</v>
      </c>
      <c r="K11" s="1">
        <v>67.430000000000007</v>
      </c>
      <c r="L11" s="1">
        <v>-105.32</v>
      </c>
      <c r="M11" s="1">
        <v>92.02</v>
      </c>
    </row>
    <row r="12" spans="1:13" x14ac:dyDescent="0.25">
      <c r="A12" t="s">
        <v>14</v>
      </c>
      <c r="B12" s="1">
        <v>14504.16</v>
      </c>
      <c r="C12" s="1">
        <v>13472.68</v>
      </c>
      <c r="D12" s="1">
        <v>12608.63</v>
      </c>
      <c r="E12" s="1">
        <v>11527</v>
      </c>
      <c r="F12" s="1">
        <v>10175.36</v>
      </c>
      <c r="H12" t="s">
        <v>14</v>
      </c>
      <c r="I12" s="1">
        <v>9321.83</v>
      </c>
      <c r="J12" s="1">
        <v>7772.59</v>
      </c>
      <c r="K12" s="1">
        <v>10016.59</v>
      </c>
      <c r="L12" s="1">
        <v>9092.6299999999992</v>
      </c>
      <c r="M12" s="1">
        <v>8457.58</v>
      </c>
    </row>
    <row r="13" spans="1:13" x14ac:dyDescent="0.25">
      <c r="A13" t="s">
        <v>15</v>
      </c>
      <c r="H13" t="s">
        <v>15</v>
      </c>
      <c r="I13" s="1"/>
      <c r="J13" s="1"/>
      <c r="K13" s="1"/>
      <c r="L13" s="1"/>
      <c r="M13" s="1"/>
    </row>
    <row r="14" spans="1:13" x14ac:dyDescent="0.25">
      <c r="A14" t="s">
        <v>16</v>
      </c>
      <c r="B14" s="1">
        <v>6443.79</v>
      </c>
      <c r="C14" s="1">
        <v>5798.17</v>
      </c>
      <c r="D14" s="1">
        <v>5420.86</v>
      </c>
      <c r="E14" s="1">
        <v>4650.12</v>
      </c>
      <c r="F14" s="1">
        <v>4456.8</v>
      </c>
      <c r="H14" t="s">
        <v>16</v>
      </c>
      <c r="I14" s="1">
        <v>3935.73</v>
      </c>
      <c r="J14" s="1">
        <v>3498.21</v>
      </c>
      <c r="K14" s="1">
        <v>4640.46</v>
      </c>
      <c r="L14" s="1">
        <v>4059.29</v>
      </c>
      <c r="M14" s="1">
        <v>3909.06</v>
      </c>
    </row>
    <row r="15" spans="1:13" x14ac:dyDescent="0.25">
      <c r="A15" t="s">
        <v>17</v>
      </c>
      <c r="B15">
        <v>408.66</v>
      </c>
      <c r="C15">
        <v>313.68</v>
      </c>
      <c r="D15">
        <v>340.53</v>
      </c>
      <c r="E15">
        <v>344.18</v>
      </c>
      <c r="F15">
        <v>288.44</v>
      </c>
      <c r="H15" t="s">
        <v>17</v>
      </c>
      <c r="I15" s="1">
        <v>232.79</v>
      </c>
      <c r="J15" s="1">
        <v>221.99</v>
      </c>
      <c r="K15" s="1">
        <v>384.33</v>
      </c>
      <c r="L15" s="1">
        <v>385.38</v>
      </c>
      <c r="M15" s="1">
        <v>370.89</v>
      </c>
    </row>
    <row r="16" spans="1:13" x14ac:dyDescent="0.25">
      <c r="A16" t="s">
        <v>18</v>
      </c>
      <c r="B16" s="1">
        <v>1521.3</v>
      </c>
      <c r="C16" s="1">
        <v>1500.95</v>
      </c>
      <c r="D16" s="1">
        <v>1258.17</v>
      </c>
      <c r="E16" s="1">
        <v>1124.1500000000001</v>
      </c>
      <c r="F16" s="1">
        <v>1017.45</v>
      </c>
      <c r="H16" t="s">
        <v>18</v>
      </c>
      <c r="I16" s="1">
        <v>1073.3599999999999</v>
      </c>
      <c r="J16">
        <v>912.75</v>
      </c>
      <c r="K16">
        <v>837.05</v>
      </c>
      <c r="L16">
        <v>741.5</v>
      </c>
      <c r="M16">
        <v>663.38</v>
      </c>
    </row>
    <row r="17" spans="1:13" x14ac:dyDescent="0.25">
      <c r="A17" t="s">
        <v>19</v>
      </c>
      <c r="B17">
        <v>764.4</v>
      </c>
      <c r="C17">
        <v>763.55</v>
      </c>
      <c r="D17">
        <v>785.34</v>
      </c>
      <c r="E17">
        <v>729.44</v>
      </c>
      <c r="F17">
        <v>506</v>
      </c>
      <c r="H17" t="s">
        <v>19</v>
      </c>
      <c r="I17">
        <v>0</v>
      </c>
      <c r="J17">
        <v>525.21</v>
      </c>
      <c r="K17">
        <v>445.47</v>
      </c>
      <c r="L17">
        <v>395.48</v>
      </c>
      <c r="M17">
        <v>355.88</v>
      </c>
    </row>
    <row r="18" spans="1:13" x14ac:dyDescent="0.25">
      <c r="A18" t="s">
        <v>20</v>
      </c>
      <c r="B18" s="1">
        <v>2042.42</v>
      </c>
      <c r="C18" s="1">
        <v>1841.51</v>
      </c>
      <c r="D18" s="1">
        <v>1782.31</v>
      </c>
      <c r="E18" s="1">
        <v>1832.74</v>
      </c>
      <c r="F18" s="1">
        <v>1723.94</v>
      </c>
      <c r="H18" t="s">
        <v>20</v>
      </c>
      <c r="I18" s="1">
        <v>2281.2800000000002</v>
      </c>
      <c r="J18" s="1">
        <v>1450.25</v>
      </c>
      <c r="K18" s="1">
        <v>1583.16</v>
      </c>
      <c r="L18" s="1">
        <v>1466.5</v>
      </c>
      <c r="M18" s="1">
        <v>1302</v>
      </c>
    </row>
    <row r="19" spans="1:13" x14ac:dyDescent="0.25">
      <c r="A19" t="s">
        <v>21</v>
      </c>
      <c r="B19" s="1">
        <v>11180.57</v>
      </c>
      <c r="C19" s="1">
        <v>10217.86</v>
      </c>
      <c r="D19" s="1">
        <v>9587.2099999999991</v>
      </c>
      <c r="E19" s="1">
        <v>8680.6299999999992</v>
      </c>
      <c r="F19" s="1">
        <v>7992.63</v>
      </c>
      <c r="H19" t="s">
        <v>21</v>
      </c>
      <c r="I19" s="1">
        <v>7523.16</v>
      </c>
      <c r="J19" s="1">
        <v>6608.41</v>
      </c>
      <c r="K19" s="1">
        <v>7890.47</v>
      </c>
      <c r="L19" s="1">
        <v>7048.15</v>
      </c>
      <c r="M19" s="1">
        <v>6601.21</v>
      </c>
    </row>
    <row r="20" spans="1:13" x14ac:dyDescent="0.25">
      <c r="B20" t="s">
        <v>2</v>
      </c>
      <c r="C20" t="s">
        <v>3</v>
      </c>
      <c r="D20" t="s">
        <v>4</v>
      </c>
      <c r="E20" t="s">
        <v>5</v>
      </c>
      <c r="F20" t="s">
        <v>6</v>
      </c>
      <c r="I20" t="s">
        <v>48</v>
      </c>
      <c r="J20" t="s">
        <v>49</v>
      </c>
      <c r="K20" t="s">
        <v>50</v>
      </c>
      <c r="L20" t="s">
        <v>51</v>
      </c>
      <c r="M20" t="s">
        <v>52</v>
      </c>
    </row>
    <row r="22" spans="1:13" x14ac:dyDescent="0.25">
      <c r="B22" t="s">
        <v>7</v>
      </c>
      <c r="C22" t="s">
        <v>7</v>
      </c>
      <c r="D22" t="s">
        <v>7</v>
      </c>
      <c r="E22" t="s">
        <v>7</v>
      </c>
      <c r="F22" t="s">
        <v>7</v>
      </c>
      <c r="I22" s="1" t="s">
        <v>7</v>
      </c>
      <c r="J22" s="1" t="s">
        <v>7</v>
      </c>
      <c r="K22" s="1" t="s">
        <v>7</v>
      </c>
      <c r="L22" s="1" t="s">
        <v>7</v>
      </c>
      <c r="M22" s="1" t="s">
        <v>7</v>
      </c>
    </row>
    <row r="23" spans="1:13" x14ac:dyDescent="0.25">
      <c r="I23" s="1"/>
      <c r="J23" s="1"/>
      <c r="K23" s="1"/>
      <c r="L23" s="1"/>
      <c r="M23" s="1"/>
    </row>
    <row r="24" spans="1:13" x14ac:dyDescent="0.25">
      <c r="A24" t="s">
        <v>22</v>
      </c>
      <c r="B24" s="1">
        <v>3591.54</v>
      </c>
      <c r="C24" s="1">
        <v>3201.5</v>
      </c>
      <c r="D24" s="1">
        <v>2925.88</v>
      </c>
      <c r="E24" s="1">
        <v>2617.65</v>
      </c>
      <c r="F24" s="1">
        <v>2096.5300000000002</v>
      </c>
      <c r="G24" s="1"/>
      <c r="H24" t="s">
        <v>22</v>
      </c>
      <c r="I24" s="4">
        <v>1711.42</v>
      </c>
      <c r="J24" s="4">
        <v>1554.93</v>
      </c>
      <c r="K24" s="4">
        <v>2031.8</v>
      </c>
      <c r="L24" s="4">
        <v>1947.58</v>
      </c>
      <c r="M24" s="4">
        <v>1825.34</v>
      </c>
    </row>
    <row r="25" spans="1:13" x14ac:dyDescent="0.25">
      <c r="A25" t="s">
        <v>23</v>
      </c>
      <c r="B25" s="1">
        <v>3323.59</v>
      </c>
      <c r="C25" s="1">
        <v>3254.82</v>
      </c>
      <c r="D25" s="1">
        <v>3021.42</v>
      </c>
      <c r="E25" s="1">
        <v>2846.37</v>
      </c>
      <c r="F25" s="1">
        <v>2182.73</v>
      </c>
      <c r="H25" t="s">
        <v>23</v>
      </c>
      <c r="I25" s="1">
        <v>1798.67</v>
      </c>
      <c r="J25" s="1">
        <v>1164.18</v>
      </c>
      <c r="K25" s="1">
        <v>2126.12</v>
      </c>
      <c r="L25" s="1">
        <v>2044.48</v>
      </c>
      <c r="M25" s="1">
        <v>1856.37</v>
      </c>
    </row>
    <row r="26" spans="1:13" x14ac:dyDescent="0.25">
      <c r="A26" t="s">
        <v>24</v>
      </c>
      <c r="B26" s="1">
        <v>201.19</v>
      </c>
      <c r="C26" s="1">
        <v>164.18</v>
      </c>
      <c r="D26" s="1">
        <v>129.12</v>
      </c>
      <c r="E26" s="1">
        <v>111.95</v>
      </c>
      <c r="F26" s="1">
        <v>91.9</v>
      </c>
      <c r="H26" t="s">
        <v>24</v>
      </c>
      <c r="I26" s="1">
        <v>3.51</v>
      </c>
      <c r="J26" s="1">
        <v>3.29</v>
      </c>
      <c r="K26" s="1">
        <v>14.23</v>
      </c>
      <c r="L26" s="1">
        <v>36.51</v>
      </c>
      <c r="M26" s="1">
        <v>26.6</v>
      </c>
    </row>
    <row r="27" spans="1:13" x14ac:dyDescent="0.25">
      <c r="A27" t="s">
        <v>25</v>
      </c>
      <c r="B27" s="1">
        <v>3122.4</v>
      </c>
      <c r="C27" s="1">
        <v>3090.64</v>
      </c>
      <c r="D27" s="1">
        <v>2892.3</v>
      </c>
      <c r="E27" s="1">
        <v>2734.42</v>
      </c>
      <c r="F27" s="1">
        <v>2090.83</v>
      </c>
      <c r="H27" t="s">
        <v>25</v>
      </c>
      <c r="I27" s="1">
        <v>1795.16</v>
      </c>
      <c r="J27" s="1">
        <v>1160.8900000000001</v>
      </c>
      <c r="K27" s="1">
        <v>2111.89</v>
      </c>
      <c r="L27" s="1">
        <v>2007.97</v>
      </c>
      <c r="M27" s="1">
        <v>1829.77</v>
      </c>
    </row>
    <row r="28" spans="1:13" x14ac:dyDescent="0.25">
      <c r="A28" t="s">
        <v>26</v>
      </c>
      <c r="B28" s="1">
        <v>390.19</v>
      </c>
      <c r="C28" s="1">
        <v>370.38</v>
      </c>
      <c r="D28" s="1">
        <v>370.15</v>
      </c>
      <c r="E28" s="1">
        <v>335.67</v>
      </c>
      <c r="F28" s="1">
        <v>342.25</v>
      </c>
      <c r="H28" t="s">
        <v>26</v>
      </c>
      <c r="I28" s="1">
        <v>353.62</v>
      </c>
      <c r="J28">
        <v>347.26</v>
      </c>
      <c r="K28">
        <v>337.54</v>
      </c>
      <c r="L28">
        <v>329.95</v>
      </c>
      <c r="M28">
        <v>277.14999999999998</v>
      </c>
    </row>
    <row r="29" spans="1:13" x14ac:dyDescent="0.25">
      <c r="A29" t="s">
        <v>27</v>
      </c>
      <c r="B29" s="1">
        <v>2732.21</v>
      </c>
      <c r="C29" s="1">
        <v>2720.26</v>
      </c>
      <c r="D29" s="1">
        <v>2522.15</v>
      </c>
      <c r="E29" s="1">
        <v>2398.75</v>
      </c>
      <c r="F29" s="1">
        <v>1748.58</v>
      </c>
      <c r="H29" t="s">
        <v>27</v>
      </c>
      <c r="I29" s="1">
        <v>1441.54</v>
      </c>
      <c r="J29" s="1">
        <v>813.63</v>
      </c>
      <c r="K29" s="1">
        <v>1774.35</v>
      </c>
      <c r="L29" s="1">
        <v>1678.02</v>
      </c>
      <c r="M29" s="1">
        <v>1552.62</v>
      </c>
    </row>
    <row r="30" spans="1:13" x14ac:dyDescent="0.25">
      <c r="A30" t="s">
        <v>28</v>
      </c>
      <c r="B30" s="1">
        <v>2732.21</v>
      </c>
      <c r="C30" s="1">
        <v>2720.26</v>
      </c>
      <c r="D30" s="1">
        <v>2522.15</v>
      </c>
      <c r="E30" s="1">
        <v>2398.75</v>
      </c>
      <c r="F30" s="1">
        <v>1748.58</v>
      </c>
      <c r="H30" t="s">
        <v>28</v>
      </c>
      <c r="I30" s="1">
        <v>1441.54</v>
      </c>
      <c r="J30">
        <v>813.63</v>
      </c>
      <c r="K30" s="1">
        <v>1774.35</v>
      </c>
      <c r="L30" s="1">
        <v>1678.02</v>
      </c>
      <c r="M30" s="1">
        <v>1552.62</v>
      </c>
    </row>
    <row r="31" spans="1:13" x14ac:dyDescent="0.25">
      <c r="A31" t="s">
        <v>29</v>
      </c>
      <c r="B31" s="1">
        <v>738.91</v>
      </c>
      <c r="C31" s="1">
        <v>730.36</v>
      </c>
      <c r="D31" s="1">
        <v>705.05</v>
      </c>
      <c r="E31" s="1">
        <v>822.02</v>
      </c>
      <c r="F31" s="1">
        <v>614.11</v>
      </c>
      <c r="H31" t="s">
        <v>29</v>
      </c>
      <c r="I31" s="1">
        <v>515</v>
      </c>
      <c r="J31">
        <v>250.36</v>
      </c>
      <c r="K31" s="1">
        <v>589.66</v>
      </c>
      <c r="L31" s="1">
        <v>560.89</v>
      </c>
      <c r="M31" s="1">
        <v>484.69</v>
      </c>
    </row>
    <row r="32" spans="1:13" x14ac:dyDescent="0.25">
      <c r="A32" t="s">
        <v>30</v>
      </c>
      <c r="B32" s="1">
        <v>2144.86</v>
      </c>
      <c r="C32" s="1">
        <v>2082.4299999999998</v>
      </c>
      <c r="D32" s="1">
        <v>1968.44</v>
      </c>
      <c r="E32" s="1">
        <v>1606.93</v>
      </c>
      <c r="F32" s="1">
        <v>1225.19</v>
      </c>
      <c r="H32" t="s">
        <v>30</v>
      </c>
      <c r="I32">
        <v>926.54</v>
      </c>
      <c r="J32">
        <v>563.27</v>
      </c>
      <c r="K32" s="1">
        <v>1184.69</v>
      </c>
      <c r="L32" s="1">
        <v>1117.1300000000001</v>
      </c>
      <c r="M32" s="1">
        <v>1067.93</v>
      </c>
    </row>
    <row r="33" spans="1:13" x14ac:dyDescent="0.25">
      <c r="A33" t="s">
        <v>31</v>
      </c>
      <c r="B33" s="1">
        <v>4736.78</v>
      </c>
      <c r="C33" s="1">
        <v>4419.6899999999996</v>
      </c>
      <c r="D33" s="1">
        <v>4166.3500000000004</v>
      </c>
      <c r="E33" s="1">
        <v>4030.51</v>
      </c>
      <c r="F33" s="1">
        <v>3535.83</v>
      </c>
      <c r="H33" t="s">
        <v>31</v>
      </c>
      <c r="I33" s="1">
        <v>3587.43</v>
      </c>
      <c r="J33" s="1">
        <v>3110.2</v>
      </c>
      <c r="K33" s="1">
        <v>3250.01</v>
      </c>
      <c r="L33" s="1">
        <v>2988.86</v>
      </c>
      <c r="M33" s="1">
        <v>2692.15</v>
      </c>
    </row>
    <row r="34" spans="1:13" x14ac:dyDescent="0.25">
      <c r="A34" t="s">
        <v>32</v>
      </c>
      <c r="B34" s="1">
        <v>1928.31</v>
      </c>
      <c r="C34" s="1">
        <v>1889.75</v>
      </c>
      <c r="D34" s="1">
        <v>2950.32</v>
      </c>
      <c r="E34" s="1">
        <v>1089.5</v>
      </c>
      <c r="F34" s="1">
        <v>829.18</v>
      </c>
      <c r="H34" t="s">
        <v>32</v>
      </c>
      <c r="I34">
        <v>607.41999999999996</v>
      </c>
      <c r="J34">
        <v>467.62</v>
      </c>
      <c r="K34">
        <v>607.41999999999996</v>
      </c>
      <c r="L34">
        <v>467.62</v>
      </c>
      <c r="M34">
        <v>467.62</v>
      </c>
    </row>
    <row r="35" spans="1:13" x14ac:dyDescent="0.25">
      <c r="A35" t="s">
        <v>33</v>
      </c>
      <c r="B35" s="1">
        <v>0</v>
      </c>
      <c r="C35" s="1">
        <v>0</v>
      </c>
      <c r="D35" s="1">
        <v>605.94000000000005</v>
      </c>
      <c r="E35" s="1">
        <v>223.87</v>
      </c>
      <c r="F35">
        <v>168.77</v>
      </c>
      <c r="H35" t="s">
        <v>33</v>
      </c>
      <c r="I35">
        <v>123.66</v>
      </c>
      <c r="J35">
        <v>95.63</v>
      </c>
      <c r="K35">
        <v>109.16</v>
      </c>
      <c r="L35">
        <v>79.47</v>
      </c>
      <c r="M35">
        <v>75.86</v>
      </c>
    </row>
    <row r="36" spans="1:13" x14ac:dyDescent="0.25">
      <c r="A36" t="s">
        <v>34</v>
      </c>
      <c r="H36" t="s">
        <v>34</v>
      </c>
      <c r="K36" s="1"/>
      <c r="L36" s="1"/>
      <c r="M36" s="1"/>
    </row>
    <row r="37" spans="1:13" x14ac:dyDescent="0.25">
      <c r="A37" t="s">
        <v>35</v>
      </c>
      <c r="B37">
        <v>964.16</v>
      </c>
      <c r="C37">
        <v>964.16</v>
      </c>
      <c r="D37">
        <v>964.16</v>
      </c>
      <c r="E37">
        <v>964.16</v>
      </c>
      <c r="F37">
        <v>964.16</v>
      </c>
      <c r="H37" t="s">
        <v>35</v>
      </c>
      <c r="I37">
        <v>964.16</v>
      </c>
      <c r="J37">
        <v>964.16</v>
      </c>
      <c r="K37">
        <v>964.16</v>
      </c>
      <c r="L37">
        <v>964.16</v>
      </c>
      <c r="M37">
        <v>964.16</v>
      </c>
    </row>
    <row r="38" spans="1:13" x14ac:dyDescent="0.25">
      <c r="A38" t="s">
        <v>36</v>
      </c>
      <c r="B38">
        <v>222.46</v>
      </c>
      <c r="C38">
        <v>215.98</v>
      </c>
      <c r="D38">
        <v>204.16</v>
      </c>
      <c r="E38">
        <v>166.67</v>
      </c>
      <c r="F38">
        <v>127.07</v>
      </c>
      <c r="H38" t="s">
        <v>36</v>
      </c>
      <c r="I38">
        <v>96.1</v>
      </c>
      <c r="J38">
        <v>58.42</v>
      </c>
      <c r="K38" s="1">
        <v>122.87</v>
      </c>
      <c r="L38" s="1">
        <v>115.87</v>
      </c>
      <c r="M38" s="1">
        <v>110.76</v>
      </c>
    </row>
    <row r="39" spans="1:13" x14ac:dyDescent="0.25">
      <c r="A39" t="s">
        <v>37</v>
      </c>
      <c r="B39" s="1">
        <v>2000</v>
      </c>
      <c r="C39" s="1">
        <v>2000</v>
      </c>
      <c r="D39" s="1">
        <v>3420</v>
      </c>
      <c r="E39" s="1">
        <v>1150</v>
      </c>
      <c r="F39">
        <v>860</v>
      </c>
      <c r="H39" t="s">
        <v>37</v>
      </c>
      <c r="I39">
        <v>630</v>
      </c>
      <c r="J39">
        <v>485</v>
      </c>
      <c r="K39" s="1">
        <v>630</v>
      </c>
      <c r="L39" s="1">
        <v>485</v>
      </c>
      <c r="M39" s="1">
        <v>485</v>
      </c>
    </row>
    <row r="40" spans="1:13" x14ac:dyDescent="0.25">
      <c r="A40" t="s">
        <v>38</v>
      </c>
      <c r="B40" s="1">
        <v>216.2</v>
      </c>
      <c r="C40" s="1">
        <v>209.44</v>
      </c>
      <c r="D40" s="1">
        <v>199.02</v>
      </c>
      <c r="E40" s="1">
        <v>381.03</v>
      </c>
      <c r="F40">
        <v>354.78</v>
      </c>
      <c r="H40" t="s">
        <v>38</v>
      </c>
      <c r="I40" s="5">
        <v>312.57</v>
      </c>
      <c r="J40" s="5">
        <v>292.26</v>
      </c>
      <c r="K40" s="5">
        <v>294.27</v>
      </c>
      <c r="L40" s="5">
        <v>245.68</v>
      </c>
      <c r="M40" s="5">
        <v>186.53</v>
      </c>
    </row>
    <row r="41" spans="1:13" x14ac:dyDescent="0.25">
      <c r="I41" s="3"/>
      <c r="J41" s="3"/>
      <c r="K41" s="3"/>
      <c r="L41" s="3"/>
      <c r="M41" s="3"/>
    </row>
    <row r="43" spans="1:13" x14ac:dyDescent="0.25">
      <c r="A43" t="s">
        <v>40</v>
      </c>
      <c r="B43" t="s">
        <v>1</v>
      </c>
      <c r="H43" t="s">
        <v>40</v>
      </c>
      <c r="I43" t="s">
        <v>1</v>
      </c>
    </row>
    <row r="44" spans="1:13" x14ac:dyDescent="0.25">
      <c r="B44" t="s">
        <v>56</v>
      </c>
      <c r="C44" s="2">
        <v>44166</v>
      </c>
      <c r="D44" s="2">
        <v>43800</v>
      </c>
      <c r="E44" s="2">
        <v>43435</v>
      </c>
      <c r="F44" s="2">
        <v>43070</v>
      </c>
      <c r="I44" t="s">
        <v>39</v>
      </c>
      <c r="J44" s="2">
        <v>42339</v>
      </c>
      <c r="K44" s="2">
        <v>41974</v>
      </c>
      <c r="L44" s="2">
        <v>41609</v>
      </c>
      <c r="M44" s="2">
        <v>41244</v>
      </c>
    </row>
    <row r="46" spans="1:13" x14ac:dyDescent="0.25">
      <c r="B46" t="s">
        <v>7</v>
      </c>
      <c r="C46" t="s">
        <v>7</v>
      </c>
      <c r="D46" t="s">
        <v>7</v>
      </c>
      <c r="E46" t="s">
        <v>7</v>
      </c>
      <c r="F46" t="s">
        <v>7</v>
      </c>
      <c r="I46" t="s">
        <v>7</v>
      </c>
      <c r="J46" t="s">
        <v>7</v>
      </c>
      <c r="K46" t="s">
        <v>7</v>
      </c>
      <c r="L46" t="s">
        <v>7</v>
      </c>
      <c r="M46" t="s">
        <v>7</v>
      </c>
    </row>
    <row r="48" spans="1:13" x14ac:dyDescent="0.25">
      <c r="A48" t="s">
        <v>57</v>
      </c>
      <c r="H48" t="s">
        <v>57</v>
      </c>
    </row>
    <row r="49" spans="1:13" x14ac:dyDescent="0.25">
      <c r="A49" t="s">
        <v>58</v>
      </c>
      <c r="H49" t="s">
        <v>58</v>
      </c>
    </row>
    <row r="50" spans="1:13" x14ac:dyDescent="0.25">
      <c r="A50" t="s">
        <v>42</v>
      </c>
      <c r="B50">
        <v>96.42</v>
      </c>
      <c r="C50">
        <v>96.42</v>
      </c>
      <c r="D50">
        <v>96.42</v>
      </c>
      <c r="E50">
        <v>96.42</v>
      </c>
      <c r="F50">
        <v>96.42</v>
      </c>
      <c r="H50" t="s">
        <v>42</v>
      </c>
      <c r="I50" s="1">
        <v>96.42</v>
      </c>
      <c r="J50" s="1">
        <v>96.42</v>
      </c>
      <c r="K50" s="1">
        <v>96.42</v>
      </c>
      <c r="L50" s="1">
        <v>96.42</v>
      </c>
      <c r="M50" s="1">
        <v>96.42</v>
      </c>
    </row>
    <row r="51" spans="1:13" x14ac:dyDescent="0.25">
      <c r="A51" t="s">
        <v>41</v>
      </c>
      <c r="B51">
        <v>96.42</v>
      </c>
      <c r="C51">
        <v>96.42</v>
      </c>
      <c r="D51">
        <v>96.42</v>
      </c>
      <c r="E51">
        <v>96.42</v>
      </c>
      <c r="F51">
        <v>96.42</v>
      </c>
      <c r="H51" t="s">
        <v>41</v>
      </c>
      <c r="I51">
        <v>96.42</v>
      </c>
      <c r="J51">
        <v>96.42</v>
      </c>
      <c r="K51">
        <v>96.42</v>
      </c>
      <c r="L51">
        <v>96.42</v>
      </c>
      <c r="M51">
        <v>96.42</v>
      </c>
    </row>
    <row r="52" spans="1:13" x14ac:dyDescent="0.25">
      <c r="A52" t="s">
        <v>59</v>
      </c>
      <c r="B52" s="1">
        <v>1988.06</v>
      </c>
      <c r="C52" s="1">
        <v>1922.92</v>
      </c>
      <c r="D52" s="1">
        <v>1822.45</v>
      </c>
      <c r="E52" s="1">
        <v>3577.32</v>
      </c>
      <c r="F52" s="1">
        <v>3324.17</v>
      </c>
      <c r="H52" t="s">
        <v>59</v>
      </c>
      <c r="I52" s="1">
        <v>2917.28</v>
      </c>
      <c r="J52" s="1">
        <v>2721.42</v>
      </c>
      <c r="K52" s="1">
        <v>2740.79</v>
      </c>
      <c r="L52" s="1">
        <v>2272.33</v>
      </c>
      <c r="M52" s="1">
        <v>1701.99</v>
      </c>
    </row>
    <row r="53" spans="1:13" x14ac:dyDescent="0.25">
      <c r="A53" t="s">
        <v>60</v>
      </c>
      <c r="B53" s="1">
        <v>1988.06</v>
      </c>
      <c r="C53" s="1">
        <v>1922.92</v>
      </c>
      <c r="D53" s="1">
        <v>1822.45</v>
      </c>
      <c r="E53" s="1">
        <v>3577.32</v>
      </c>
      <c r="F53" s="1">
        <v>3324.17</v>
      </c>
      <c r="H53" t="s">
        <v>60</v>
      </c>
      <c r="I53" s="1">
        <v>2917.28</v>
      </c>
      <c r="J53" s="1">
        <v>2721.42</v>
      </c>
      <c r="K53" s="1">
        <v>2740.79</v>
      </c>
      <c r="L53" s="1">
        <v>2272.33</v>
      </c>
      <c r="M53" s="1">
        <v>1701.99</v>
      </c>
    </row>
    <row r="54" spans="1:13" x14ac:dyDescent="0.25">
      <c r="A54" t="s">
        <v>61</v>
      </c>
      <c r="B54" s="1">
        <v>2084.48</v>
      </c>
      <c r="C54" s="1">
        <v>2019.34</v>
      </c>
      <c r="D54" s="1">
        <v>1918.87</v>
      </c>
      <c r="E54" s="1">
        <v>3673.74</v>
      </c>
      <c r="F54" s="1">
        <v>3420.59</v>
      </c>
      <c r="H54" t="s">
        <v>61</v>
      </c>
      <c r="I54" s="1">
        <v>3013.7</v>
      </c>
      <c r="J54" s="1">
        <v>2817.84</v>
      </c>
      <c r="K54" s="1">
        <v>2837.21</v>
      </c>
      <c r="L54" s="1">
        <v>2368.75</v>
      </c>
      <c r="M54" s="1">
        <v>1798.41</v>
      </c>
    </row>
    <row r="55" spans="1:13" x14ac:dyDescent="0.25">
      <c r="A55" t="s">
        <v>62</v>
      </c>
      <c r="H55" t="s">
        <v>62</v>
      </c>
    </row>
    <row r="56" spans="1:13" x14ac:dyDescent="0.25">
      <c r="A56" t="s">
        <v>63</v>
      </c>
      <c r="B56" s="1">
        <v>27.47</v>
      </c>
      <c r="C56" s="1">
        <v>31.72</v>
      </c>
      <c r="D56" s="1">
        <v>53.14</v>
      </c>
      <c r="E56" s="1">
        <v>35.14</v>
      </c>
      <c r="F56" s="1">
        <v>35.14</v>
      </c>
      <c r="H56" t="s">
        <v>63</v>
      </c>
      <c r="I56" s="1">
        <v>33.15</v>
      </c>
      <c r="J56" s="1">
        <v>16.79</v>
      </c>
      <c r="K56" s="1">
        <v>15.46</v>
      </c>
      <c r="L56" s="1">
        <v>1189.48</v>
      </c>
      <c r="M56" s="1">
        <v>1049.95</v>
      </c>
    </row>
    <row r="57" spans="1:13" x14ac:dyDescent="0.25">
      <c r="A57" t="s">
        <v>64</v>
      </c>
      <c r="B57" s="1">
        <v>0</v>
      </c>
      <c r="C57" s="1">
        <v>0</v>
      </c>
      <c r="D57" s="1">
        <v>13.44</v>
      </c>
      <c r="E57" s="1">
        <v>58.82</v>
      </c>
      <c r="F57" s="1">
        <v>121.96</v>
      </c>
      <c r="H57" t="s">
        <v>64</v>
      </c>
      <c r="I57" s="1">
        <v>154.21</v>
      </c>
      <c r="J57" s="1">
        <v>172.93</v>
      </c>
      <c r="K57" s="1">
        <v>222.72</v>
      </c>
      <c r="L57" s="1">
        <v>215.47</v>
      </c>
      <c r="M57" s="1">
        <v>162.08000000000001</v>
      </c>
    </row>
    <row r="58" spans="1:13" x14ac:dyDescent="0.25">
      <c r="A58" t="s">
        <v>65</v>
      </c>
      <c r="B58">
        <v>210.2</v>
      </c>
      <c r="C58">
        <v>87.85</v>
      </c>
      <c r="D58">
        <v>90.03</v>
      </c>
      <c r="E58">
        <v>0.51</v>
      </c>
      <c r="F58">
        <v>0.6</v>
      </c>
      <c r="H58" t="s">
        <v>66</v>
      </c>
      <c r="I58" s="1">
        <v>1972.21</v>
      </c>
      <c r="J58" s="1">
        <v>1597.17</v>
      </c>
      <c r="K58" s="1">
        <v>1388.66</v>
      </c>
      <c r="L58" s="1">
        <v>1193.3900000000001</v>
      </c>
      <c r="M58" s="1">
        <v>1025.05</v>
      </c>
    </row>
    <row r="59" spans="1:13" x14ac:dyDescent="0.25">
      <c r="A59" t="s">
        <v>66</v>
      </c>
      <c r="B59" s="1">
        <v>3284.54</v>
      </c>
      <c r="C59" s="1">
        <v>3268.27</v>
      </c>
      <c r="D59" s="1">
        <v>2906.91</v>
      </c>
      <c r="E59" s="1">
        <v>2464.92</v>
      </c>
      <c r="F59" s="1">
        <v>2291.59</v>
      </c>
      <c r="H59" t="s">
        <v>67</v>
      </c>
      <c r="I59" s="1">
        <v>2159.5700000000002</v>
      </c>
      <c r="J59" s="1">
        <v>1786.89</v>
      </c>
      <c r="K59" s="1">
        <v>1626.84</v>
      </c>
      <c r="L59" s="1">
        <v>2598.34</v>
      </c>
      <c r="M59" s="1">
        <v>2237.08</v>
      </c>
    </row>
    <row r="60" spans="1:13" x14ac:dyDescent="0.25">
      <c r="A60" t="s">
        <v>67</v>
      </c>
      <c r="B60" s="1">
        <v>3522.21</v>
      </c>
      <c r="C60" s="1">
        <v>3387.84</v>
      </c>
      <c r="D60" s="1">
        <v>3063.52</v>
      </c>
      <c r="E60" s="1">
        <v>2559.39</v>
      </c>
      <c r="F60" s="1">
        <v>2449.29</v>
      </c>
      <c r="H60" t="s">
        <v>68</v>
      </c>
      <c r="L60" s="1"/>
      <c r="M60" s="1"/>
    </row>
    <row r="61" spans="1:13" x14ac:dyDescent="0.25">
      <c r="A61" t="s">
        <v>68</v>
      </c>
      <c r="H61" t="s">
        <v>69</v>
      </c>
      <c r="I61" s="1">
        <v>0</v>
      </c>
      <c r="J61" s="1">
        <v>0.94</v>
      </c>
      <c r="K61" s="1">
        <v>4.1100000000000003</v>
      </c>
      <c r="L61" s="1">
        <v>0.01</v>
      </c>
      <c r="M61" s="1">
        <v>0.24</v>
      </c>
    </row>
    <row r="62" spans="1:13" x14ac:dyDescent="0.25">
      <c r="A62" t="s">
        <v>69</v>
      </c>
      <c r="B62">
        <v>6.59</v>
      </c>
      <c r="C62">
        <v>3.12</v>
      </c>
      <c r="D62">
        <v>0</v>
      </c>
      <c r="E62">
        <v>0</v>
      </c>
      <c r="F62">
        <v>0</v>
      </c>
      <c r="H62" t="s">
        <v>70</v>
      </c>
      <c r="I62">
        <v>799.16</v>
      </c>
      <c r="J62">
        <v>743.54</v>
      </c>
      <c r="K62">
        <v>728.71</v>
      </c>
      <c r="L62">
        <v>633.04</v>
      </c>
      <c r="M62">
        <v>539.4</v>
      </c>
    </row>
    <row r="63" spans="1:13" x14ac:dyDescent="0.25">
      <c r="A63" t="s">
        <v>70</v>
      </c>
      <c r="B63" s="1">
        <v>1889.66</v>
      </c>
      <c r="C63" s="1">
        <v>1809.01</v>
      </c>
      <c r="D63" s="1">
        <v>1626.58</v>
      </c>
      <c r="E63" s="1">
        <v>1240.3699999999999</v>
      </c>
      <c r="F63">
        <v>984.64</v>
      </c>
      <c r="H63" t="s">
        <v>71</v>
      </c>
      <c r="I63">
        <v>512.84</v>
      </c>
      <c r="J63">
        <v>465.93</v>
      </c>
      <c r="K63">
        <v>409.57</v>
      </c>
      <c r="L63">
        <v>500.25</v>
      </c>
      <c r="M63">
        <v>558.03</v>
      </c>
    </row>
    <row r="64" spans="1:13" x14ac:dyDescent="0.25">
      <c r="A64" t="s">
        <v>71</v>
      </c>
      <c r="B64">
        <v>568.45000000000005</v>
      </c>
      <c r="C64">
        <v>574.46</v>
      </c>
      <c r="D64">
        <v>478.51</v>
      </c>
      <c r="E64">
        <v>457.32</v>
      </c>
      <c r="F64">
        <v>420.61</v>
      </c>
      <c r="H64" t="s">
        <v>72</v>
      </c>
      <c r="I64">
        <v>320.7</v>
      </c>
      <c r="J64">
        <v>265.32</v>
      </c>
      <c r="K64">
        <v>213.06</v>
      </c>
      <c r="L64">
        <v>213.88</v>
      </c>
      <c r="M64">
        <v>30.76</v>
      </c>
    </row>
    <row r="65" spans="1:13" x14ac:dyDescent="0.25">
      <c r="A65" t="s">
        <v>72</v>
      </c>
      <c r="B65">
        <v>138.54</v>
      </c>
      <c r="C65">
        <v>105.96</v>
      </c>
      <c r="D65">
        <v>85.46</v>
      </c>
      <c r="E65">
        <v>157.26</v>
      </c>
      <c r="F65">
        <v>87.46</v>
      </c>
      <c r="H65" t="s">
        <v>73</v>
      </c>
      <c r="I65" s="1">
        <v>1632.7</v>
      </c>
      <c r="J65" s="1">
        <v>1475.73</v>
      </c>
      <c r="K65" s="1">
        <v>1355.45</v>
      </c>
      <c r="L65" s="1">
        <v>1347.18</v>
      </c>
      <c r="M65" s="1">
        <v>1128.43</v>
      </c>
    </row>
    <row r="66" spans="1:13" x14ac:dyDescent="0.25">
      <c r="A66" t="s">
        <v>73</v>
      </c>
      <c r="B66" s="1">
        <v>2603.2399999999998</v>
      </c>
      <c r="C66" s="1">
        <v>2492.5500000000002</v>
      </c>
      <c r="D66" s="1">
        <v>2190.5500000000002</v>
      </c>
      <c r="E66" s="1">
        <v>1854.95</v>
      </c>
      <c r="F66" s="1">
        <v>1492.71</v>
      </c>
      <c r="H66" t="s">
        <v>74</v>
      </c>
      <c r="I66" s="1">
        <v>6805.97</v>
      </c>
      <c r="J66" s="1">
        <v>6080.46</v>
      </c>
      <c r="K66" s="1">
        <v>5819.5</v>
      </c>
      <c r="L66" s="1">
        <v>6314.27</v>
      </c>
      <c r="M66" s="1">
        <v>5163.92</v>
      </c>
    </row>
    <row r="67" spans="1:13" x14ac:dyDescent="0.25">
      <c r="A67" t="s">
        <v>74</v>
      </c>
      <c r="B67" s="1">
        <v>8209.93</v>
      </c>
      <c r="C67" s="1">
        <v>7899.73</v>
      </c>
      <c r="D67" s="1">
        <v>7172.94</v>
      </c>
      <c r="E67" s="1">
        <v>8088.08</v>
      </c>
      <c r="F67" s="1">
        <v>7362.59</v>
      </c>
      <c r="H67" t="s">
        <v>75</v>
      </c>
      <c r="I67" s="1"/>
      <c r="J67" s="1"/>
      <c r="K67" s="1"/>
      <c r="L67" s="1"/>
      <c r="M67" s="1"/>
    </row>
    <row r="68" spans="1:13" x14ac:dyDescent="0.25">
      <c r="A68" t="s">
        <v>75</v>
      </c>
      <c r="B68" s="1"/>
      <c r="C68" s="1"/>
      <c r="D68" s="1"/>
      <c r="E68" s="1"/>
      <c r="F68" s="1"/>
      <c r="H68" t="s">
        <v>76</v>
      </c>
      <c r="I68" s="1"/>
      <c r="J68" s="1"/>
      <c r="K68" s="1"/>
      <c r="L68" s="1"/>
      <c r="M68" s="1"/>
    </row>
    <row r="69" spans="1:13" x14ac:dyDescent="0.25">
      <c r="A69" t="s">
        <v>76</v>
      </c>
      <c r="H69" t="s">
        <v>77</v>
      </c>
      <c r="I69" s="1">
        <v>2729.46</v>
      </c>
      <c r="J69" s="1">
        <v>2897.85</v>
      </c>
      <c r="K69" s="1">
        <v>3176.64</v>
      </c>
      <c r="L69" s="1">
        <v>3369.31</v>
      </c>
      <c r="M69" s="1">
        <v>3204.27</v>
      </c>
    </row>
    <row r="70" spans="1:13" x14ac:dyDescent="0.25">
      <c r="A70" t="s">
        <v>77</v>
      </c>
      <c r="B70" s="1">
        <v>2993.97</v>
      </c>
      <c r="C70" s="1">
        <v>2179.41</v>
      </c>
      <c r="D70" s="1">
        <v>2341.4499999999998</v>
      </c>
      <c r="E70" s="1">
        <v>2400.62</v>
      </c>
      <c r="F70" s="1">
        <v>2616.1799999999998</v>
      </c>
      <c r="H70" t="s">
        <v>78</v>
      </c>
      <c r="I70">
        <v>188.17</v>
      </c>
      <c r="J70">
        <v>230.79</v>
      </c>
      <c r="K70">
        <v>244.78</v>
      </c>
      <c r="L70">
        <v>294.70999999999998</v>
      </c>
      <c r="M70">
        <v>344.08</v>
      </c>
    </row>
    <row r="71" spans="1:13" x14ac:dyDescent="0.25">
      <c r="A71" t="s">
        <v>78</v>
      </c>
      <c r="B71" s="1">
        <v>246.23</v>
      </c>
      <c r="C71" s="1">
        <v>638.58000000000004</v>
      </c>
      <c r="D71" s="1">
        <v>143.30000000000001</v>
      </c>
      <c r="E71">
        <v>105.2</v>
      </c>
      <c r="F71">
        <v>94.16</v>
      </c>
      <c r="H71" t="s">
        <v>79</v>
      </c>
      <c r="I71" s="1">
        <v>2917.63</v>
      </c>
      <c r="J71" s="1">
        <v>3128.64</v>
      </c>
      <c r="K71" s="1">
        <v>3421.42</v>
      </c>
      <c r="L71" s="1">
        <v>3664.02</v>
      </c>
      <c r="M71" s="1">
        <v>3548.35</v>
      </c>
    </row>
    <row r="72" spans="1:13" x14ac:dyDescent="0.25">
      <c r="A72" t="s">
        <v>79</v>
      </c>
      <c r="B72" s="1">
        <v>3240.2</v>
      </c>
      <c r="C72" s="1">
        <v>2817.99</v>
      </c>
      <c r="D72" s="1">
        <v>2484.75</v>
      </c>
      <c r="E72" s="1">
        <v>2505.8200000000002</v>
      </c>
      <c r="F72" s="1">
        <v>2710.34</v>
      </c>
      <c r="H72" t="s">
        <v>80</v>
      </c>
      <c r="I72">
        <v>474.31</v>
      </c>
      <c r="J72">
        <v>341.78</v>
      </c>
      <c r="K72">
        <v>304.45999999999998</v>
      </c>
      <c r="L72">
        <v>224.12</v>
      </c>
      <c r="M72">
        <v>0</v>
      </c>
    </row>
    <row r="73" spans="1:13" x14ac:dyDescent="0.25">
      <c r="A73" t="s">
        <v>80</v>
      </c>
      <c r="B73">
        <v>710.7</v>
      </c>
      <c r="C73" s="1">
        <v>740.83</v>
      </c>
      <c r="D73" s="1">
        <v>743.6</v>
      </c>
      <c r="E73" s="1">
        <v>733.36</v>
      </c>
      <c r="F73" s="1">
        <v>585.28</v>
      </c>
      <c r="H73" t="s">
        <v>82</v>
      </c>
      <c r="I73">
        <v>135.04</v>
      </c>
      <c r="J73">
        <v>130.43</v>
      </c>
      <c r="K73">
        <v>129.94999999999999</v>
      </c>
      <c r="L73">
        <v>123.94</v>
      </c>
      <c r="M73">
        <v>125.45</v>
      </c>
    </row>
    <row r="74" spans="1:13" x14ac:dyDescent="0.25">
      <c r="A74" t="s">
        <v>81</v>
      </c>
      <c r="B74" s="1">
        <v>25.84</v>
      </c>
      <c r="C74" s="1">
        <v>19.920000000000002</v>
      </c>
      <c r="D74" s="1">
        <v>0</v>
      </c>
      <c r="E74" s="1">
        <v>0</v>
      </c>
      <c r="F74" s="1">
        <v>0</v>
      </c>
      <c r="H74" t="s">
        <v>83</v>
      </c>
      <c r="I74">
        <v>0</v>
      </c>
      <c r="J74">
        <v>0</v>
      </c>
      <c r="K74">
        <v>0</v>
      </c>
      <c r="L74">
        <v>0.47</v>
      </c>
      <c r="M74">
        <v>0</v>
      </c>
    </row>
    <row r="75" spans="1:13" x14ac:dyDescent="0.25">
      <c r="A75" t="s">
        <v>82</v>
      </c>
      <c r="B75" s="1">
        <v>49.09</v>
      </c>
      <c r="C75">
        <v>46.55</v>
      </c>
      <c r="D75">
        <v>46.98</v>
      </c>
      <c r="E75">
        <v>40.14</v>
      </c>
      <c r="F75">
        <v>46.35</v>
      </c>
      <c r="H75" t="s">
        <v>84</v>
      </c>
      <c r="I75" s="1">
        <v>3526.98</v>
      </c>
      <c r="J75" s="1">
        <v>3600.85</v>
      </c>
      <c r="K75" s="1">
        <v>3855.83</v>
      </c>
      <c r="L75" s="1">
        <v>4012.55</v>
      </c>
      <c r="M75" s="1">
        <v>3673.8</v>
      </c>
    </row>
    <row r="76" spans="1:13" x14ac:dyDescent="0.25">
      <c r="A76" t="s">
        <v>83</v>
      </c>
      <c r="B76" s="1">
        <v>1445.34</v>
      </c>
      <c r="C76" s="1">
        <v>89.36</v>
      </c>
      <c r="D76" s="1">
        <v>80.44</v>
      </c>
      <c r="E76" s="1">
        <v>71.81</v>
      </c>
      <c r="F76" s="1">
        <v>83.23</v>
      </c>
      <c r="H76" t="s">
        <v>85</v>
      </c>
    </row>
    <row r="77" spans="1:13" x14ac:dyDescent="0.25">
      <c r="A77" t="s">
        <v>84</v>
      </c>
      <c r="B77" s="1">
        <v>5471.17</v>
      </c>
      <c r="C77" s="1">
        <v>3714.65</v>
      </c>
      <c r="D77" s="1">
        <v>3355.77</v>
      </c>
      <c r="E77" s="1">
        <v>3351.13</v>
      </c>
      <c r="F77" s="1">
        <v>3425.2</v>
      </c>
      <c r="H77" t="s">
        <v>86</v>
      </c>
      <c r="I77" s="1">
        <v>1275.04</v>
      </c>
      <c r="J77" s="1">
        <v>983.14</v>
      </c>
      <c r="K77" s="1">
        <v>507.36</v>
      </c>
      <c r="L77" s="1">
        <v>626.96</v>
      </c>
      <c r="M77" s="1">
        <v>364.86</v>
      </c>
    </row>
    <row r="78" spans="1:13" x14ac:dyDescent="0.25">
      <c r="A78" t="s">
        <v>85</v>
      </c>
      <c r="B78" s="1"/>
      <c r="C78" s="1"/>
      <c r="D78" s="1"/>
      <c r="E78" s="1"/>
      <c r="F78" s="1"/>
      <c r="H78" t="s">
        <v>44</v>
      </c>
      <c r="I78" s="1">
        <v>943.18</v>
      </c>
      <c r="J78" s="1">
        <v>820.81</v>
      </c>
      <c r="K78" s="1">
        <v>844.1</v>
      </c>
      <c r="L78" s="1">
        <v>735.93</v>
      </c>
      <c r="M78" s="1">
        <v>745.58</v>
      </c>
    </row>
    <row r="79" spans="1:13" x14ac:dyDescent="0.25">
      <c r="A79" t="s">
        <v>86</v>
      </c>
      <c r="B79" s="1">
        <v>63.28</v>
      </c>
      <c r="C79" s="1">
        <v>722.94</v>
      </c>
      <c r="D79" s="1">
        <v>1007.45</v>
      </c>
      <c r="E79" s="1">
        <v>1925.13</v>
      </c>
      <c r="F79" s="1">
        <v>1393.59</v>
      </c>
      <c r="H79" t="s">
        <v>87</v>
      </c>
      <c r="I79" s="1">
        <v>97.93</v>
      </c>
      <c r="J79" s="1">
        <v>78.42</v>
      </c>
      <c r="K79" s="1">
        <v>99.1</v>
      </c>
      <c r="L79" s="1">
        <v>84.27</v>
      </c>
      <c r="M79" s="1">
        <v>87.57</v>
      </c>
    </row>
    <row r="80" spans="1:13" x14ac:dyDescent="0.25">
      <c r="A80" t="s">
        <v>44</v>
      </c>
      <c r="B80" s="1">
        <v>1580.22</v>
      </c>
      <c r="C80" s="1">
        <v>1416.48</v>
      </c>
      <c r="D80" s="1">
        <v>1283.07</v>
      </c>
      <c r="E80" s="1">
        <v>965.55</v>
      </c>
      <c r="F80" s="1">
        <v>902.47</v>
      </c>
      <c r="H80" t="s">
        <v>88</v>
      </c>
      <c r="I80" s="1">
        <v>880</v>
      </c>
      <c r="J80" s="1">
        <v>499.55</v>
      </c>
      <c r="K80" s="1">
        <v>445.82</v>
      </c>
      <c r="L80" s="1">
        <v>749.36</v>
      </c>
      <c r="M80" s="1">
        <v>236.96</v>
      </c>
    </row>
    <row r="81" spans="1:13" x14ac:dyDescent="0.25">
      <c r="A81" t="s">
        <v>87</v>
      </c>
      <c r="B81" s="1">
        <v>165.27</v>
      </c>
      <c r="C81" s="1">
        <v>164.93</v>
      </c>
      <c r="D81" s="1">
        <v>124.33</v>
      </c>
      <c r="E81" s="1">
        <v>124.59</v>
      </c>
      <c r="F81" s="1">
        <v>88.97</v>
      </c>
      <c r="H81" t="s">
        <v>89</v>
      </c>
      <c r="I81" s="1">
        <v>57.02</v>
      </c>
      <c r="J81" s="1">
        <v>82.97</v>
      </c>
      <c r="K81" s="1">
        <v>52.07</v>
      </c>
      <c r="L81">
        <v>101.36</v>
      </c>
      <c r="M81" s="1">
        <v>54.15</v>
      </c>
    </row>
    <row r="82" spans="1:13" x14ac:dyDescent="0.25">
      <c r="A82" t="s">
        <v>88</v>
      </c>
      <c r="B82">
        <v>735.41</v>
      </c>
      <c r="C82" s="1">
        <v>1769.87</v>
      </c>
      <c r="D82" s="1">
        <v>1308.05</v>
      </c>
      <c r="E82" s="1">
        <v>1610.06</v>
      </c>
      <c r="F82" s="1">
        <v>1457.42</v>
      </c>
      <c r="H82" t="s">
        <v>90</v>
      </c>
      <c r="I82" s="1">
        <v>25.82</v>
      </c>
      <c r="J82" s="1">
        <v>14.72</v>
      </c>
      <c r="K82" s="1">
        <v>15.22</v>
      </c>
      <c r="L82" s="1">
        <v>3.84</v>
      </c>
      <c r="M82" s="1">
        <v>1</v>
      </c>
    </row>
    <row r="83" spans="1:13" x14ac:dyDescent="0.25">
      <c r="A83" t="s">
        <v>89</v>
      </c>
      <c r="B83">
        <v>11.85</v>
      </c>
      <c r="C83">
        <v>13.22</v>
      </c>
      <c r="D83">
        <v>12.46</v>
      </c>
      <c r="E83">
        <v>17.89</v>
      </c>
      <c r="F83">
        <v>28.8</v>
      </c>
      <c r="H83" t="s">
        <v>45</v>
      </c>
      <c r="I83" s="1">
        <v>3278.99</v>
      </c>
      <c r="J83" s="1">
        <v>2479.61</v>
      </c>
      <c r="K83" s="1">
        <v>1963.67</v>
      </c>
      <c r="L83" s="1">
        <v>2301.7199999999998</v>
      </c>
      <c r="M83" s="1">
        <v>1490.12</v>
      </c>
    </row>
    <row r="84" spans="1:13" x14ac:dyDescent="0.25">
      <c r="A84" t="s">
        <v>90</v>
      </c>
      <c r="B84">
        <v>182.73</v>
      </c>
      <c r="C84">
        <v>97.64</v>
      </c>
      <c r="D84">
        <v>81.81</v>
      </c>
      <c r="E84">
        <v>93.73</v>
      </c>
      <c r="F84">
        <v>66.14</v>
      </c>
      <c r="H84" t="s">
        <v>46</v>
      </c>
      <c r="I84" s="1">
        <v>6805.97</v>
      </c>
      <c r="J84" s="1">
        <v>6080.46</v>
      </c>
      <c r="K84" s="1">
        <v>5819.5</v>
      </c>
      <c r="L84" s="1">
        <v>6314.27</v>
      </c>
      <c r="M84" s="1">
        <v>5163.92</v>
      </c>
    </row>
    <row r="85" spans="1:13" x14ac:dyDescent="0.25">
      <c r="A85" t="s">
        <v>45</v>
      </c>
      <c r="B85" s="1">
        <v>2738.76</v>
      </c>
      <c r="C85" s="1">
        <v>4185.08</v>
      </c>
      <c r="D85" s="1">
        <v>3817.17</v>
      </c>
      <c r="E85" s="1">
        <v>4736.95</v>
      </c>
      <c r="F85" s="1">
        <v>3937.39</v>
      </c>
      <c r="H85" t="s">
        <v>91</v>
      </c>
    </row>
    <row r="86" spans="1:13" x14ac:dyDescent="0.25">
      <c r="A86" t="s">
        <v>46</v>
      </c>
      <c r="B86" s="1">
        <v>8209.93</v>
      </c>
      <c r="C86" s="1">
        <v>7899.73</v>
      </c>
      <c r="D86" s="1">
        <v>7172.94</v>
      </c>
      <c r="E86" s="1">
        <v>8088.08</v>
      </c>
      <c r="F86" s="1">
        <v>7362.59</v>
      </c>
      <c r="H86" t="s">
        <v>92</v>
      </c>
    </row>
    <row r="87" spans="1:13" x14ac:dyDescent="0.25">
      <c r="A87" t="s">
        <v>91</v>
      </c>
      <c r="H87" t="s">
        <v>47</v>
      </c>
      <c r="I87">
        <v>81.44</v>
      </c>
      <c r="J87">
        <v>111.92</v>
      </c>
      <c r="K87">
        <v>43.53</v>
      </c>
      <c r="L87">
        <v>72.680000000000007</v>
      </c>
      <c r="M87">
        <v>103.86</v>
      </c>
    </row>
    <row r="88" spans="1:13" x14ac:dyDescent="0.25">
      <c r="A88" t="s">
        <v>92</v>
      </c>
      <c r="H88" t="s">
        <v>93</v>
      </c>
    </row>
    <row r="89" spans="1:13" x14ac:dyDescent="0.25">
      <c r="A89" t="s">
        <v>47</v>
      </c>
      <c r="B89">
        <v>187.26</v>
      </c>
      <c r="C89">
        <v>315.39999999999998</v>
      </c>
      <c r="D89">
        <v>394.48</v>
      </c>
      <c r="E89">
        <v>47.91</v>
      </c>
      <c r="F89">
        <v>32.24</v>
      </c>
      <c r="H89" t="s">
        <v>16</v>
      </c>
      <c r="I89">
        <v>291.91000000000003</v>
      </c>
      <c r="J89">
        <v>301.02999999999997</v>
      </c>
      <c r="K89">
        <v>354.42</v>
      </c>
      <c r="L89">
        <v>299.44</v>
      </c>
      <c r="M89">
        <v>249.11</v>
      </c>
    </row>
    <row r="90" spans="1:13" x14ac:dyDescent="0.25">
      <c r="A90" t="s">
        <v>93</v>
      </c>
      <c r="H90" t="s">
        <v>110</v>
      </c>
      <c r="I90">
        <v>14.58</v>
      </c>
      <c r="J90">
        <v>12.76</v>
      </c>
      <c r="K90">
        <v>14.91</v>
      </c>
      <c r="L90">
        <v>14.98</v>
      </c>
      <c r="M90">
        <v>12.04</v>
      </c>
    </row>
    <row r="91" spans="1:13" x14ac:dyDescent="0.25">
      <c r="A91" t="s">
        <v>94</v>
      </c>
      <c r="H91" t="s">
        <v>111</v>
      </c>
      <c r="I91">
        <v>46.21</v>
      </c>
      <c r="J91">
        <v>40.380000000000003</v>
      </c>
      <c r="K91">
        <v>35.869999999999997</v>
      </c>
      <c r="L91">
        <v>30.21</v>
      </c>
      <c r="M91">
        <v>27.39</v>
      </c>
    </row>
    <row r="92" spans="1:13" x14ac:dyDescent="0.25">
      <c r="A92" t="s">
        <v>95</v>
      </c>
      <c r="B92" s="1">
        <v>2460.04</v>
      </c>
      <c r="C92" s="1">
        <v>2791.46</v>
      </c>
      <c r="D92" s="1">
        <v>2942.95</v>
      </c>
      <c r="E92" s="1">
        <v>1717.13</v>
      </c>
      <c r="F92">
        <v>0</v>
      </c>
      <c r="H92" t="s">
        <v>112</v>
      </c>
      <c r="I92">
        <v>77.16</v>
      </c>
      <c r="J92">
        <v>14.85</v>
      </c>
      <c r="K92">
        <v>25.76</v>
      </c>
      <c r="L92">
        <v>69.86</v>
      </c>
      <c r="M92">
        <v>146.58000000000001</v>
      </c>
    </row>
    <row r="93" spans="1:13" x14ac:dyDescent="0.25">
      <c r="A93" t="s">
        <v>96</v>
      </c>
      <c r="H93" t="s">
        <v>94</v>
      </c>
    </row>
    <row r="94" spans="1:13" x14ac:dyDescent="0.25">
      <c r="A94" t="s">
        <v>97</v>
      </c>
      <c r="B94" t="s">
        <v>98</v>
      </c>
      <c r="C94" t="s">
        <v>98</v>
      </c>
      <c r="D94" t="s">
        <v>98</v>
      </c>
      <c r="E94" t="s">
        <v>98</v>
      </c>
      <c r="F94" t="s">
        <v>98</v>
      </c>
      <c r="H94" t="s">
        <v>95</v>
      </c>
      <c r="I94">
        <v>476.95</v>
      </c>
      <c r="J94">
        <v>402.28</v>
      </c>
      <c r="K94">
        <v>473.02</v>
      </c>
      <c r="L94">
        <v>462.58</v>
      </c>
      <c r="M94">
        <v>469.44</v>
      </c>
    </row>
    <row r="95" spans="1:13" x14ac:dyDescent="0.25">
      <c r="A95" t="s">
        <v>99</v>
      </c>
      <c r="H95" t="s">
        <v>96</v>
      </c>
    </row>
    <row r="96" spans="1:13" x14ac:dyDescent="0.25">
      <c r="A96" t="s">
        <v>100</v>
      </c>
      <c r="B96">
        <v>639.57000000000005</v>
      </c>
      <c r="C96">
        <v>647.39</v>
      </c>
      <c r="D96">
        <v>638.48</v>
      </c>
      <c r="E96">
        <v>708.69</v>
      </c>
      <c r="F96" t="s">
        <v>98</v>
      </c>
      <c r="H96" t="s">
        <v>97</v>
      </c>
      <c r="I96">
        <v>354.01</v>
      </c>
      <c r="J96">
        <v>257.18</v>
      </c>
      <c r="K96">
        <v>381.24</v>
      </c>
      <c r="L96">
        <v>293.5</v>
      </c>
      <c r="M96">
        <v>293.5</v>
      </c>
    </row>
    <row r="97" spans="1:13" x14ac:dyDescent="0.25">
      <c r="A97" t="s">
        <v>101</v>
      </c>
      <c r="B97" t="s">
        <v>98</v>
      </c>
      <c r="C97" t="s">
        <v>98</v>
      </c>
      <c r="D97" t="s">
        <v>98</v>
      </c>
      <c r="E97" t="s">
        <v>98</v>
      </c>
      <c r="F97" t="s">
        <v>98</v>
      </c>
      <c r="H97" t="s">
        <v>99</v>
      </c>
    </row>
    <row r="98" spans="1:13" x14ac:dyDescent="0.25">
      <c r="A98" t="s">
        <v>102</v>
      </c>
      <c r="H98" t="s">
        <v>100</v>
      </c>
      <c r="I98">
        <v>477.32</v>
      </c>
      <c r="J98">
        <v>482.78</v>
      </c>
      <c r="K98">
        <v>489.84</v>
      </c>
      <c r="L98">
        <v>486.72</v>
      </c>
      <c r="M98">
        <v>292.89999999999998</v>
      </c>
    </row>
    <row r="99" spans="1:13" x14ac:dyDescent="0.25">
      <c r="A99" t="s">
        <v>103</v>
      </c>
      <c r="B99">
        <v>73.41</v>
      </c>
      <c r="C99">
        <v>73.41</v>
      </c>
      <c r="D99">
        <v>73.41</v>
      </c>
      <c r="E99">
        <v>73.41</v>
      </c>
      <c r="F99">
        <v>73.41</v>
      </c>
      <c r="H99" t="s">
        <v>101</v>
      </c>
      <c r="I99">
        <v>178.4</v>
      </c>
      <c r="J99">
        <v>150.66</v>
      </c>
      <c r="K99">
        <v>151.30000000000001</v>
      </c>
      <c r="L99">
        <v>136.4</v>
      </c>
      <c r="M99">
        <v>130.26</v>
      </c>
    </row>
    <row r="100" spans="1:13" x14ac:dyDescent="0.25">
      <c r="A100" t="s">
        <v>104</v>
      </c>
      <c r="H100" t="s">
        <v>102</v>
      </c>
    </row>
    <row r="101" spans="1:13" x14ac:dyDescent="0.25">
      <c r="A101" t="s">
        <v>105</v>
      </c>
      <c r="B101">
        <v>779.75</v>
      </c>
      <c r="C101">
        <v>805.47</v>
      </c>
      <c r="D101">
        <v>765.58</v>
      </c>
      <c r="E101">
        <v>727.81</v>
      </c>
      <c r="F101">
        <v>589.32000000000005</v>
      </c>
      <c r="H101" t="s">
        <v>103</v>
      </c>
      <c r="I101">
        <v>73.41</v>
      </c>
      <c r="J101">
        <v>73.41</v>
      </c>
      <c r="K101">
        <v>73.41</v>
      </c>
      <c r="L101">
        <v>73.41</v>
      </c>
      <c r="M101">
        <v>73.41</v>
      </c>
    </row>
    <row r="102" spans="1:13" x14ac:dyDescent="0.25">
      <c r="A102" t="s">
        <v>106</v>
      </c>
      <c r="B102" t="s">
        <v>98</v>
      </c>
      <c r="C102">
        <v>18.88</v>
      </c>
      <c r="D102" t="s">
        <v>98</v>
      </c>
      <c r="E102" t="s">
        <v>98</v>
      </c>
      <c r="F102" t="s">
        <v>98</v>
      </c>
      <c r="H102" t="s">
        <v>104</v>
      </c>
    </row>
    <row r="103" spans="1:13" x14ac:dyDescent="0.25">
      <c r="A103" t="s">
        <v>107</v>
      </c>
      <c r="H103" t="s">
        <v>105</v>
      </c>
      <c r="I103">
        <v>478.76</v>
      </c>
      <c r="J103">
        <v>304.45999999999998</v>
      </c>
      <c r="K103">
        <v>270.19</v>
      </c>
      <c r="L103">
        <v>97.51</v>
      </c>
      <c r="M103" t="s">
        <v>98</v>
      </c>
    </row>
    <row r="104" spans="1:13" x14ac:dyDescent="0.25">
      <c r="A104" t="s">
        <v>108</v>
      </c>
      <c r="B104">
        <v>63.39</v>
      </c>
      <c r="C104">
        <v>722.94</v>
      </c>
      <c r="D104" s="1">
        <v>1007.39</v>
      </c>
      <c r="E104" s="1">
        <v>1925.13</v>
      </c>
      <c r="F104" s="1">
        <v>1393.46</v>
      </c>
      <c r="H104" t="s">
        <v>106</v>
      </c>
      <c r="I104">
        <v>51.88</v>
      </c>
      <c r="J104">
        <v>51.88</v>
      </c>
      <c r="K104">
        <v>51.88</v>
      </c>
      <c r="L104">
        <v>126.61</v>
      </c>
      <c r="M104" t="s">
        <v>98</v>
      </c>
    </row>
    <row r="105" spans="1:13" x14ac:dyDescent="0.25">
      <c r="A105" t="s">
        <v>109</v>
      </c>
      <c r="B105" t="s">
        <v>98</v>
      </c>
      <c r="C105" t="s">
        <v>98</v>
      </c>
      <c r="D105" t="s">
        <v>98</v>
      </c>
      <c r="E105" t="s">
        <v>98</v>
      </c>
      <c r="F105" t="s">
        <v>98</v>
      </c>
      <c r="H105" t="s">
        <v>107</v>
      </c>
    </row>
    <row r="106" spans="1:13" x14ac:dyDescent="0.25">
      <c r="H106" t="s">
        <v>108</v>
      </c>
      <c r="I106" s="1">
        <v>1281.1300000000001</v>
      </c>
      <c r="J106">
        <v>987.09</v>
      </c>
      <c r="K106">
        <v>510.28</v>
      </c>
      <c r="L106">
        <v>630.21</v>
      </c>
      <c r="M106">
        <v>365.95</v>
      </c>
    </row>
    <row r="107" spans="1:13" x14ac:dyDescent="0.25">
      <c r="H107" t="s">
        <v>109</v>
      </c>
      <c r="I107" t="s">
        <v>98</v>
      </c>
      <c r="J107" t="s">
        <v>98</v>
      </c>
      <c r="K107" t="s">
        <v>98</v>
      </c>
      <c r="L107" t="s">
        <v>98</v>
      </c>
      <c r="M107" t="s">
        <v>98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C6B3D-9243-4AE5-B384-9D7F9A5B1EC3}">
  <sheetPr>
    <tabColor theme="4" tint="0.39997558519241921"/>
  </sheetPr>
  <dimension ref="A1:K52"/>
  <sheetViews>
    <sheetView topLeftCell="A32" workbookViewId="0">
      <selection activeCell="A53" sqref="A53"/>
    </sheetView>
  </sheetViews>
  <sheetFormatPr defaultRowHeight="15" x14ac:dyDescent="0.25"/>
  <cols>
    <col min="1" max="1" width="26.42578125" customWidth="1"/>
    <col min="2" max="3" width="10.42578125" bestFit="1" customWidth="1"/>
    <col min="4" max="4" width="11.5703125" customWidth="1"/>
    <col min="5" max="5" width="12.42578125" customWidth="1"/>
    <col min="6" max="6" width="11" customWidth="1"/>
    <col min="7" max="7" width="13.28515625" customWidth="1"/>
    <col min="8" max="8" width="10.85546875" customWidth="1"/>
    <col min="9" max="9" width="10.140625" customWidth="1"/>
    <col min="10" max="10" width="11.140625" customWidth="1"/>
    <col min="11" max="11" width="11.7109375" customWidth="1"/>
  </cols>
  <sheetData>
    <row r="1" spans="1:11" x14ac:dyDescent="0.25">
      <c r="A1" s="26" t="s">
        <v>113</v>
      </c>
      <c r="B1" s="27">
        <v>44561</v>
      </c>
      <c r="C1" s="27">
        <v>44196</v>
      </c>
      <c r="D1" s="27">
        <v>43830</v>
      </c>
      <c r="E1" s="27">
        <v>43465</v>
      </c>
      <c r="F1" s="27">
        <v>43100</v>
      </c>
      <c r="G1" s="27">
        <v>42735</v>
      </c>
      <c r="H1" s="27">
        <v>42369</v>
      </c>
      <c r="I1" s="27">
        <v>42004</v>
      </c>
      <c r="J1" s="27">
        <v>41639</v>
      </c>
      <c r="K1" s="27">
        <v>41274</v>
      </c>
    </row>
    <row r="2" spans="1:11" x14ac:dyDescent="0.25">
      <c r="A2" s="16"/>
      <c r="B2" s="28"/>
      <c r="C2" s="28"/>
      <c r="D2" s="28"/>
      <c r="E2" s="28"/>
      <c r="F2" s="28"/>
      <c r="G2" s="28"/>
      <c r="H2" s="28"/>
      <c r="I2" s="28"/>
      <c r="J2" s="28"/>
      <c r="K2" s="28"/>
    </row>
    <row r="3" spans="1:11" x14ac:dyDescent="0.25">
      <c r="A3" s="16" t="s">
        <v>11</v>
      </c>
      <c r="B3" s="19">
        <v>14709.41</v>
      </c>
      <c r="C3" s="19">
        <v>13350.03</v>
      </c>
      <c r="D3" s="19">
        <v>12368.9</v>
      </c>
      <c r="E3" s="19">
        <v>11292.27</v>
      </c>
      <c r="F3" s="19">
        <v>10009.6</v>
      </c>
      <c r="G3" s="19">
        <v>9223.7999999999993</v>
      </c>
      <c r="H3" s="19">
        <v>8175.31</v>
      </c>
      <c r="I3" s="19">
        <v>9854.84</v>
      </c>
      <c r="J3" s="19">
        <v>9101.0499999999993</v>
      </c>
      <c r="K3" s="19">
        <v>8334.5300000000007</v>
      </c>
    </row>
    <row r="4" spans="1:11" x14ac:dyDescent="0.25">
      <c r="A4" s="16" t="s">
        <v>53</v>
      </c>
      <c r="B4" s="19">
        <v>6443.79</v>
      </c>
      <c r="C4" s="19">
        <v>5798.17</v>
      </c>
      <c r="D4" s="19">
        <v>5420.86</v>
      </c>
      <c r="E4" s="19">
        <v>4650.12</v>
      </c>
      <c r="F4" s="19">
        <v>4456.8</v>
      </c>
      <c r="G4" s="19">
        <v>3935.73</v>
      </c>
      <c r="H4" s="19">
        <v>3498.21</v>
      </c>
      <c r="I4" s="19">
        <v>4640.46</v>
      </c>
      <c r="J4" s="19">
        <v>4059.29</v>
      </c>
      <c r="K4" s="19">
        <v>3909.06</v>
      </c>
    </row>
    <row r="5" spans="1:11" x14ac:dyDescent="0.25">
      <c r="A5" s="16" t="s">
        <v>17</v>
      </c>
      <c r="B5" s="16">
        <v>408.66</v>
      </c>
      <c r="C5" s="16">
        <v>313.68</v>
      </c>
      <c r="D5" s="16">
        <v>340.53</v>
      </c>
      <c r="E5" s="16">
        <v>344.18</v>
      </c>
      <c r="F5" s="16">
        <v>288.44</v>
      </c>
      <c r="G5" s="19">
        <v>232.79</v>
      </c>
      <c r="H5" s="19">
        <v>221.99</v>
      </c>
      <c r="I5" s="19">
        <v>384.33</v>
      </c>
      <c r="J5" s="19">
        <v>385.38</v>
      </c>
      <c r="K5" s="19">
        <v>370.89</v>
      </c>
    </row>
    <row r="6" spans="1:11" x14ac:dyDescent="0.25">
      <c r="A6" s="16" t="s">
        <v>54</v>
      </c>
      <c r="B6" s="19">
        <f>B4+B5</f>
        <v>6852.45</v>
      </c>
      <c r="C6" s="19">
        <f t="shared" ref="C6:K6" si="0">C4+C5</f>
        <v>6111.85</v>
      </c>
      <c r="D6" s="19">
        <f t="shared" si="0"/>
        <v>5761.3899999999994</v>
      </c>
      <c r="E6" s="19">
        <f t="shared" si="0"/>
        <v>4994.3</v>
      </c>
      <c r="F6" s="19">
        <f t="shared" si="0"/>
        <v>4745.24</v>
      </c>
      <c r="G6" s="19">
        <f t="shared" si="0"/>
        <v>4168.5200000000004</v>
      </c>
      <c r="H6" s="19">
        <f t="shared" si="0"/>
        <v>3720.2</v>
      </c>
      <c r="I6" s="19">
        <f t="shared" si="0"/>
        <v>5024.79</v>
      </c>
      <c r="J6" s="19">
        <f t="shared" si="0"/>
        <v>4444.67</v>
      </c>
      <c r="K6" s="19">
        <f t="shared" si="0"/>
        <v>4279.95</v>
      </c>
    </row>
    <row r="7" spans="1:11" x14ac:dyDescent="0.25">
      <c r="A7" s="26" t="s">
        <v>55</v>
      </c>
      <c r="B7" s="29">
        <f>B3-B6</f>
        <v>7856.96</v>
      </c>
      <c r="C7" s="29">
        <f t="shared" ref="C7:K7" si="1">C3-C6</f>
        <v>7238.18</v>
      </c>
      <c r="D7" s="29">
        <f t="shared" si="1"/>
        <v>6607.51</v>
      </c>
      <c r="E7" s="29">
        <f t="shared" si="1"/>
        <v>6297.97</v>
      </c>
      <c r="F7" s="29">
        <f t="shared" si="1"/>
        <v>5264.3600000000006</v>
      </c>
      <c r="G7" s="29">
        <f t="shared" si="1"/>
        <v>5055.2799999999988</v>
      </c>
      <c r="H7" s="29">
        <f t="shared" si="1"/>
        <v>4455.1100000000006</v>
      </c>
      <c r="I7" s="29">
        <f t="shared" si="1"/>
        <v>4830.05</v>
      </c>
      <c r="J7" s="29">
        <f t="shared" si="1"/>
        <v>4656.3799999999992</v>
      </c>
      <c r="K7" s="29">
        <f t="shared" si="1"/>
        <v>4054.5800000000008</v>
      </c>
    </row>
    <row r="8" spans="1:11" x14ac:dyDescent="0.25">
      <c r="A8" s="16"/>
      <c r="B8" s="16"/>
      <c r="C8" s="16"/>
      <c r="D8" s="16"/>
      <c r="E8" s="16"/>
      <c r="F8" s="16"/>
      <c r="G8" s="16"/>
      <c r="H8" s="16"/>
      <c r="I8" s="16"/>
      <c r="J8" s="16"/>
      <c r="K8" s="16"/>
    </row>
    <row r="9" spans="1:11" x14ac:dyDescent="0.25">
      <c r="A9" s="16" t="s">
        <v>21</v>
      </c>
      <c r="B9" s="19">
        <v>11180.57</v>
      </c>
      <c r="C9" s="19">
        <v>10217.86</v>
      </c>
      <c r="D9" s="19">
        <v>9587.2099999999991</v>
      </c>
      <c r="E9" s="19">
        <v>8680.6299999999992</v>
      </c>
      <c r="F9" s="19">
        <v>7992.63</v>
      </c>
      <c r="G9" s="19">
        <v>7523.16</v>
      </c>
      <c r="H9" s="19">
        <v>6608.41</v>
      </c>
      <c r="I9" s="19">
        <v>7890.47</v>
      </c>
      <c r="J9" s="19">
        <v>7048.15</v>
      </c>
      <c r="K9" s="19">
        <v>6601.21</v>
      </c>
    </row>
    <row r="10" spans="1:11" x14ac:dyDescent="0.25">
      <c r="A10" s="16" t="s">
        <v>22</v>
      </c>
      <c r="B10" s="19">
        <v>3591.54</v>
      </c>
      <c r="C10" s="19">
        <v>3201.5</v>
      </c>
      <c r="D10" s="19">
        <v>2925.88</v>
      </c>
      <c r="E10" s="19">
        <v>2617.65</v>
      </c>
      <c r="F10" s="19">
        <v>2096.5300000000002</v>
      </c>
      <c r="G10" s="30">
        <v>1711.42</v>
      </c>
      <c r="H10" s="30">
        <v>1554.93</v>
      </c>
      <c r="I10" s="30">
        <v>2031.8</v>
      </c>
      <c r="J10" s="30">
        <v>1947.58</v>
      </c>
      <c r="K10" s="30">
        <v>1825.34</v>
      </c>
    </row>
    <row r="11" spans="1:11" x14ac:dyDescent="0.25">
      <c r="A11" s="16" t="s">
        <v>23</v>
      </c>
      <c r="B11" s="19">
        <v>3323.59</v>
      </c>
      <c r="C11" s="19">
        <v>3254.82</v>
      </c>
      <c r="D11" s="19">
        <v>3021.42</v>
      </c>
      <c r="E11" s="19">
        <v>2846.37</v>
      </c>
      <c r="F11" s="19">
        <v>2182.73</v>
      </c>
      <c r="G11" s="19">
        <v>1798.67</v>
      </c>
      <c r="H11" s="19">
        <v>1164.18</v>
      </c>
      <c r="I11" s="19">
        <v>2126.12</v>
      </c>
      <c r="J11" s="19">
        <v>2044.48</v>
      </c>
      <c r="K11" s="19">
        <v>1856.37</v>
      </c>
    </row>
    <row r="12" spans="1:11" x14ac:dyDescent="0.25">
      <c r="A12" s="16" t="s">
        <v>24</v>
      </c>
      <c r="B12" s="19">
        <v>201.19</v>
      </c>
      <c r="C12" s="19">
        <v>164.18</v>
      </c>
      <c r="D12" s="19">
        <v>129.12</v>
      </c>
      <c r="E12" s="19">
        <v>111.95</v>
      </c>
      <c r="F12" s="19">
        <v>91.9</v>
      </c>
      <c r="G12" s="19">
        <v>3.51</v>
      </c>
      <c r="H12" s="19">
        <v>3.29</v>
      </c>
      <c r="I12" s="19">
        <v>14.23</v>
      </c>
      <c r="J12" s="19">
        <v>36.51</v>
      </c>
      <c r="K12" s="19">
        <v>26.6</v>
      </c>
    </row>
    <row r="13" spans="1:11" x14ac:dyDescent="0.25">
      <c r="A13" s="16" t="s">
        <v>25</v>
      </c>
      <c r="B13" s="19">
        <v>3122.4</v>
      </c>
      <c r="C13" s="19">
        <v>3090.64</v>
      </c>
      <c r="D13" s="19">
        <v>2892.3</v>
      </c>
      <c r="E13" s="19">
        <v>2734.42</v>
      </c>
      <c r="F13" s="19">
        <v>2090.83</v>
      </c>
      <c r="G13" s="19">
        <v>1795.16</v>
      </c>
      <c r="H13" s="19">
        <v>1160.8900000000001</v>
      </c>
      <c r="I13" s="19">
        <v>2111.89</v>
      </c>
      <c r="J13" s="19">
        <v>2007.97</v>
      </c>
      <c r="K13" s="19">
        <v>1829.77</v>
      </c>
    </row>
    <row r="14" spans="1:11" x14ac:dyDescent="0.25">
      <c r="A14" s="16" t="s">
        <v>26</v>
      </c>
      <c r="B14" s="19">
        <v>390.19</v>
      </c>
      <c r="C14" s="19">
        <v>370.38</v>
      </c>
      <c r="D14" s="19">
        <v>370.15</v>
      </c>
      <c r="E14" s="19">
        <v>335.67</v>
      </c>
      <c r="F14" s="19">
        <v>342.25</v>
      </c>
      <c r="G14" s="19">
        <v>353.62</v>
      </c>
      <c r="H14" s="16">
        <v>347.26</v>
      </c>
      <c r="I14" s="16">
        <v>337.54</v>
      </c>
      <c r="J14" s="16">
        <v>329.95</v>
      </c>
      <c r="K14" s="16">
        <v>277.14999999999998</v>
      </c>
    </row>
    <row r="15" spans="1:11" x14ac:dyDescent="0.25">
      <c r="A15" s="16" t="s">
        <v>27</v>
      </c>
      <c r="B15" s="19">
        <v>2732.21</v>
      </c>
      <c r="C15" s="19">
        <v>2720.26</v>
      </c>
      <c r="D15" s="19">
        <v>2522.15</v>
      </c>
      <c r="E15" s="19">
        <v>2398.75</v>
      </c>
      <c r="F15" s="19">
        <v>1748.58</v>
      </c>
      <c r="G15" s="19">
        <v>1441.54</v>
      </c>
      <c r="H15" s="19">
        <v>813.63</v>
      </c>
      <c r="I15" s="19">
        <v>1774.35</v>
      </c>
      <c r="J15" s="19">
        <v>1678.02</v>
      </c>
      <c r="K15" s="19">
        <v>1552.62</v>
      </c>
    </row>
    <row r="16" spans="1:11" x14ac:dyDescent="0.25">
      <c r="A16" s="16" t="s">
        <v>28</v>
      </c>
      <c r="B16" s="19">
        <v>2732.21</v>
      </c>
      <c r="C16" s="19">
        <v>2720.26</v>
      </c>
      <c r="D16" s="19">
        <v>2522.15</v>
      </c>
      <c r="E16" s="19">
        <v>2398.75</v>
      </c>
      <c r="F16" s="19">
        <v>1748.58</v>
      </c>
      <c r="G16" s="19">
        <v>1441.54</v>
      </c>
      <c r="H16" s="16">
        <v>813.63</v>
      </c>
      <c r="I16" s="19">
        <v>1774.35</v>
      </c>
      <c r="J16" s="19">
        <v>1678.02</v>
      </c>
      <c r="K16" s="19">
        <v>1552.62</v>
      </c>
    </row>
    <row r="17" spans="1:11" x14ac:dyDescent="0.25">
      <c r="A17" s="16" t="s">
        <v>29</v>
      </c>
      <c r="B17" s="19">
        <v>738.91</v>
      </c>
      <c r="C17" s="19">
        <v>730.36</v>
      </c>
      <c r="D17" s="19">
        <v>705.05</v>
      </c>
      <c r="E17" s="19">
        <v>822.02</v>
      </c>
      <c r="F17" s="19">
        <v>614.11</v>
      </c>
      <c r="G17" s="19">
        <v>515</v>
      </c>
      <c r="H17" s="16">
        <v>250.36</v>
      </c>
      <c r="I17" s="19">
        <v>589.66</v>
      </c>
      <c r="J17" s="19">
        <v>560.89</v>
      </c>
      <c r="K17" s="19">
        <v>484.69</v>
      </c>
    </row>
    <row r="18" spans="1:11" x14ac:dyDescent="0.25">
      <c r="A18" s="26" t="s">
        <v>30</v>
      </c>
      <c r="B18" s="29">
        <v>2144.86</v>
      </c>
      <c r="C18" s="29">
        <v>2082.4299999999998</v>
      </c>
      <c r="D18" s="29">
        <v>1968.44</v>
      </c>
      <c r="E18" s="29">
        <v>1606.93</v>
      </c>
      <c r="F18" s="29">
        <v>1225.19</v>
      </c>
      <c r="G18" s="22">
        <v>926.54</v>
      </c>
      <c r="H18" s="22">
        <v>563.27</v>
      </c>
      <c r="I18" s="29">
        <v>1184.69</v>
      </c>
      <c r="J18" s="29">
        <v>1117.1300000000001</v>
      </c>
      <c r="K18" s="29">
        <v>1067.93</v>
      </c>
    </row>
    <row r="19" spans="1:11" x14ac:dyDescent="0.25">
      <c r="A19" s="31"/>
      <c r="B19" s="19"/>
      <c r="C19" s="19"/>
      <c r="D19" s="19"/>
      <c r="E19" s="19"/>
      <c r="F19" s="19"/>
      <c r="G19" s="16"/>
      <c r="H19" s="16"/>
      <c r="I19" s="19"/>
      <c r="J19" s="19"/>
      <c r="K19" s="19"/>
    </row>
    <row r="20" spans="1:11" x14ac:dyDescent="0.25">
      <c r="A20" s="16" t="s">
        <v>35</v>
      </c>
      <c r="B20" s="16">
        <v>964.16</v>
      </c>
      <c r="C20" s="16">
        <v>964.16</v>
      </c>
      <c r="D20" s="16">
        <v>964.16</v>
      </c>
      <c r="E20" s="16">
        <v>964.16</v>
      </c>
      <c r="F20" s="16">
        <v>964.16</v>
      </c>
      <c r="G20" s="16">
        <v>964.16</v>
      </c>
      <c r="H20" s="16">
        <v>964.16</v>
      </c>
      <c r="I20" s="16">
        <v>964.16</v>
      </c>
      <c r="J20" s="16">
        <v>964.16</v>
      </c>
      <c r="K20" s="16">
        <v>964.16</v>
      </c>
    </row>
    <row r="21" spans="1:11" x14ac:dyDescent="0.25">
      <c r="A21" s="16" t="s">
        <v>36</v>
      </c>
      <c r="B21" s="16">
        <v>222.46</v>
      </c>
      <c r="C21" s="16">
        <v>215.98</v>
      </c>
      <c r="D21" s="16">
        <v>204.16</v>
      </c>
      <c r="E21" s="16">
        <v>166.67</v>
      </c>
      <c r="F21" s="16">
        <v>127.07</v>
      </c>
      <c r="G21" s="16">
        <v>96.1</v>
      </c>
      <c r="H21" s="16">
        <v>58.42</v>
      </c>
      <c r="I21" s="19">
        <v>122.87</v>
      </c>
      <c r="J21" s="19">
        <v>115.87</v>
      </c>
      <c r="K21" s="19">
        <v>110.76</v>
      </c>
    </row>
    <row r="22" spans="1:11" x14ac:dyDescent="0.25">
      <c r="A22" s="16" t="s">
        <v>37</v>
      </c>
      <c r="B22" s="19">
        <v>2000</v>
      </c>
      <c r="C22" s="19">
        <v>2000</v>
      </c>
      <c r="D22" s="19">
        <v>3420</v>
      </c>
      <c r="E22" s="19">
        <v>1150</v>
      </c>
      <c r="F22" s="16">
        <v>860</v>
      </c>
      <c r="G22" s="16">
        <v>630</v>
      </c>
      <c r="H22" s="16">
        <v>485</v>
      </c>
      <c r="I22" s="19">
        <v>630</v>
      </c>
      <c r="J22" s="19">
        <v>485</v>
      </c>
      <c r="K22" s="19">
        <v>485</v>
      </c>
    </row>
    <row r="23" spans="1:11" x14ac:dyDescent="0.25">
      <c r="A23" s="16" t="s">
        <v>38</v>
      </c>
      <c r="B23" s="19">
        <v>216.2</v>
      </c>
      <c r="C23" s="19">
        <v>209.44</v>
      </c>
      <c r="D23" s="19">
        <v>199.02</v>
      </c>
      <c r="E23" s="19">
        <v>381.03</v>
      </c>
      <c r="F23" s="16">
        <v>354.78</v>
      </c>
      <c r="G23" s="32">
        <v>312.57</v>
      </c>
      <c r="H23" s="32">
        <v>292.26</v>
      </c>
      <c r="I23" s="32">
        <v>294.27</v>
      </c>
      <c r="J23" s="32">
        <v>245.68</v>
      </c>
      <c r="K23" s="32">
        <v>186.53</v>
      </c>
    </row>
    <row r="24" spans="1:11" x14ac:dyDescent="0.25">
      <c r="A24" s="16"/>
      <c r="B24" s="16"/>
      <c r="C24" s="16"/>
      <c r="D24" s="16"/>
      <c r="E24" s="16"/>
      <c r="F24" s="16"/>
      <c r="G24" s="16"/>
      <c r="H24" s="16"/>
      <c r="I24" s="16"/>
      <c r="J24" s="16"/>
      <c r="K24" s="16"/>
    </row>
    <row r="25" spans="1:11" x14ac:dyDescent="0.25">
      <c r="A25" s="16"/>
      <c r="B25" s="28">
        <v>44561</v>
      </c>
      <c r="C25" s="28">
        <v>44196</v>
      </c>
      <c r="D25" s="28">
        <v>43830</v>
      </c>
      <c r="E25" s="28">
        <v>43465</v>
      </c>
      <c r="F25" s="28">
        <v>43100</v>
      </c>
      <c r="G25" s="28">
        <v>42735</v>
      </c>
      <c r="H25" s="28">
        <v>42369</v>
      </c>
      <c r="I25" s="28">
        <v>42004</v>
      </c>
      <c r="J25" s="28">
        <v>41639</v>
      </c>
      <c r="K25" s="28">
        <v>41274</v>
      </c>
    </row>
    <row r="26" spans="1:11" x14ac:dyDescent="0.25">
      <c r="A26" s="16" t="s">
        <v>42</v>
      </c>
      <c r="B26" s="16">
        <v>96.42</v>
      </c>
      <c r="C26" s="16">
        <v>96.42</v>
      </c>
      <c r="D26" s="16">
        <v>96.42</v>
      </c>
      <c r="E26" s="16">
        <v>96.42</v>
      </c>
      <c r="F26" s="16">
        <v>96.42</v>
      </c>
      <c r="G26" s="19">
        <v>96.42</v>
      </c>
      <c r="H26" s="19">
        <v>96.42</v>
      </c>
      <c r="I26" s="19">
        <v>96.42</v>
      </c>
      <c r="J26" s="19">
        <v>96.42</v>
      </c>
      <c r="K26" s="19">
        <v>96.42</v>
      </c>
    </row>
    <row r="27" spans="1:11" x14ac:dyDescent="0.25">
      <c r="A27" s="16" t="s">
        <v>41</v>
      </c>
      <c r="B27" s="16">
        <v>96.42</v>
      </c>
      <c r="C27" s="16">
        <v>96.42</v>
      </c>
      <c r="D27" s="16">
        <v>96.42</v>
      </c>
      <c r="E27" s="16">
        <v>96.42</v>
      </c>
      <c r="F27" s="16">
        <v>96.42</v>
      </c>
      <c r="G27" s="16">
        <v>96.42</v>
      </c>
      <c r="H27" s="16">
        <v>96.42</v>
      </c>
      <c r="I27" s="16">
        <v>96.42</v>
      </c>
      <c r="J27" s="16">
        <v>96.42</v>
      </c>
      <c r="K27" s="16">
        <v>96.42</v>
      </c>
    </row>
    <row r="28" spans="1:11" x14ac:dyDescent="0.25">
      <c r="A28" s="16" t="s">
        <v>59</v>
      </c>
      <c r="B28" s="19">
        <v>1988.06</v>
      </c>
      <c r="C28" s="19">
        <v>1922.92</v>
      </c>
      <c r="D28" s="19">
        <v>1822.45</v>
      </c>
      <c r="E28" s="19">
        <v>3577.32</v>
      </c>
      <c r="F28" s="19">
        <v>3324.17</v>
      </c>
      <c r="G28" s="19">
        <v>2917.28</v>
      </c>
      <c r="H28" s="19">
        <v>2721.42</v>
      </c>
      <c r="I28" s="19">
        <v>2740.79</v>
      </c>
      <c r="J28" s="19">
        <v>2272.33</v>
      </c>
      <c r="K28" s="19">
        <v>1701.99</v>
      </c>
    </row>
    <row r="29" spans="1:11" x14ac:dyDescent="0.25">
      <c r="A29" s="16" t="s">
        <v>60</v>
      </c>
      <c r="B29" s="19">
        <v>1988.06</v>
      </c>
      <c r="C29" s="19">
        <v>1922.92</v>
      </c>
      <c r="D29" s="19">
        <v>1822.45</v>
      </c>
      <c r="E29" s="19">
        <v>3577.32</v>
      </c>
      <c r="F29" s="19">
        <v>3324.17</v>
      </c>
      <c r="G29" s="19">
        <v>2917.28</v>
      </c>
      <c r="H29" s="19">
        <v>2721.42</v>
      </c>
      <c r="I29" s="19">
        <v>2740.79</v>
      </c>
      <c r="J29" s="19">
        <v>2272.33</v>
      </c>
      <c r="K29" s="19">
        <v>1701.99</v>
      </c>
    </row>
    <row r="30" spans="1:11" x14ac:dyDescent="0.25">
      <c r="A30" s="22" t="s">
        <v>61</v>
      </c>
      <c r="B30" s="29">
        <v>2084.48</v>
      </c>
      <c r="C30" s="29">
        <v>2019.34</v>
      </c>
      <c r="D30" s="29">
        <v>1918.87</v>
      </c>
      <c r="E30" s="29">
        <v>3673.74</v>
      </c>
      <c r="F30" s="29">
        <v>3420.59</v>
      </c>
      <c r="G30" s="29">
        <v>3013.7</v>
      </c>
      <c r="H30" s="29">
        <v>2817.84</v>
      </c>
      <c r="I30" s="29">
        <v>2837.21</v>
      </c>
      <c r="J30" s="29">
        <v>2368.75</v>
      </c>
      <c r="K30" s="29">
        <v>1798.41</v>
      </c>
    </row>
    <row r="31" spans="1:11" x14ac:dyDescent="0.25">
      <c r="A31" s="16"/>
      <c r="B31" s="19"/>
      <c r="C31" s="19"/>
      <c r="D31" s="19"/>
      <c r="E31" s="19"/>
      <c r="F31" s="19"/>
      <c r="G31" s="19"/>
      <c r="H31" s="19"/>
      <c r="I31" s="19"/>
      <c r="J31" s="19"/>
      <c r="K31" s="19"/>
    </row>
    <row r="32" spans="1:11" x14ac:dyDescent="0.25">
      <c r="A32" s="16" t="s">
        <v>63</v>
      </c>
      <c r="B32" s="19">
        <v>27.47</v>
      </c>
      <c r="C32" s="19">
        <v>31.72</v>
      </c>
      <c r="D32" s="19">
        <v>53.14</v>
      </c>
      <c r="E32" s="19">
        <v>35.14</v>
      </c>
      <c r="F32" s="19">
        <v>35.14</v>
      </c>
      <c r="G32" s="19">
        <v>33.15</v>
      </c>
      <c r="H32" s="19">
        <v>16.79</v>
      </c>
      <c r="I32" s="19">
        <v>15.46</v>
      </c>
      <c r="J32" s="19">
        <v>1189.48</v>
      </c>
      <c r="K32" s="19">
        <v>1049.95</v>
      </c>
    </row>
    <row r="33" spans="1:11" x14ac:dyDescent="0.25">
      <c r="A33" s="16"/>
      <c r="B33" s="16"/>
      <c r="C33" s="16"/>
      <c r="D33" s="16"/>
      <c r="E33" s="16"/>
      <c r="F33" s="16"/>
      <c r="G33" s="16"/>
      <c r="H33" s="16"/>
      <c r="I33" s="16"/>
      <c r="J33" s="16"/>
      <c r="K33" s="16"/>
    </row>
    <row r="34" spans="1:11" x14ac:dyDescent="0.25">
      <c r="A34" s="16" t="s">
        <v>69</v>
      </c>
      <c r="B34" s="16">
        <v>6.59</v>
      </c>
      <c r="C34" s="16">
        <v>3.12</v>
      </c>
      <c r="D34" s="16">
        <v>0</v>
      </c>
      <c r="E34" s="16">
        <v>0</v>
      </c>
      <c r="F34" s="16">
        <v>0</v>
      </c>
      <c r="G34" s="19">
        <v>0</v>
      </c>
      <c r="H34" s="19">
        <v>0.94</v>
      </c>
      <c r="I34" s="19">
        <v>4.1100000000000003</v>
      </c>
      <c r="J34" s="19">
        <v>0.01</v>
      </c>
      <c r="K34" s="19">
        <v>0.24</v>
      </c>
    </row>
    <row r="35" spans="1:11" x14ac:dyDescent="0.25">
      <c r="A35" s="16" t="s">
        <v>70</v>
      </c>
      <c r="B35" s="19">
        <v>1889.66</v>
      </c>
      <c r="C35" s="19">
        <v>1809.01</v>
      </c>
      <c r="D35" s="19">
        <v>1626.58</v>
      </c>
      <c r="E35" s="19">
        <v>1240.3699999999999</v>
      </c>
      <c r="F35" s="16">
        <v>984.64</v>
      </c>
      <c r="G35" s="16">
        <v>799.16</v>
      </c>
      <c r="H35" s="16">
        <v>743.54</v>
      </c>
      <c r="I35" s="16">
        <v>728.71</v>
      </c>
      <c r="J35" s="16">
        <v>633.04</v>
      </c>
      <c r="K35" s="16">
        <v>539.4</v>
      </c>
    </row>
    <row r="36" spans="1:11" x14ac:dyDescent="0.25">
      <c r="A36" s="16" t="s">
        <v>71</v>
      </c>
      <c r="B36" s="16">
        <v>568.45000000000005</v>
      </c>
      <c r="C36" s="16">
        <v>574.46</v>
      </c>
      <c r="D36" s="16">
        <v>478.51</v>
      </c>
      <c r="E36" s="16">
        <v>457.32</v>
      </c>
      <c r="F36" s="16">
        <v>420.61</v>
      </c>
      <c r="G36" s="16">
        <v>512.84</v>
      </c>
      <c r="H36" s="16">
        <v>465.93</v>
      </c>
      <c r="I36" s="16">
        <v>409.57</v>
      </c>
      <c r="J36" s="16">
        <v>500.25</v>
      </c>
      <c r="K36" s="16">
        <v>558.03</v>
      </c>
    </row>
    <row r="37" spans="1:11" x14ac:dyDescent="0.25">
      <c r="A37" s="16" t="s">
        <v>72</v>
      </c>
      <c r="B37" s="16">
        <v>138.54</v>
      </c>
      <c r="C37" s="16">
        <v>105.96</v>
      </c>
      <c r="D37" s="16">
        <v>85.46</v>
      </c>
      <c r="E37" s="16">
        <v>157.26</v>
      </c>
      <c r="F37" s="16">
        <v>87.46</v>
      </c>
      <c r="G37" s="16">
        <v>320.7</v>
      </c>
      <c r="H37" s="16">
        <v>265.32</v>
      </c>
      <c r="I37" s="16">
        <v>213.06</v>
      </c>
      <c r="J37" s="16">
        <v>213.88</v>
      </c>
      <c r="K37" s="16">
        <v>30.76</v>
      </c>
    </row>
    <row r="38" spans="1:11" x14ac:dyDescent="0.25">
      <c r="A38" s="16" t="s">
        <v>43</v>
      </c>
      <c r="B38" s="16">
        <f>B41-B30/B30</f>
        <v>8208.93</v>
      </c>
      <c r="C38" s="16">
        <f t="shared" ref="C38:K38" si="2">C41-C30/C30</f>
        <v>7898.73</v>
      </c>
      <c r="D38" s="16">
        <f t="shared" si="2"/>
        <v>7171.94</v>
      </c>
      <c r="E38" s="16">
        <f t="shared" si="2"/>
        <v>8087.08</v>
      </c>
      <c r="F38" s="16">
        <f t="shared" si="2"/>
        <v>7361.59</v>
      </c>
      <c r="G38" s="16">
        <f t="shared" si="2"/>
        <v>6804.97</v>
      </c>
      <c r="H38" s="16">
        <f t="shared" si="2"/>
        <v>6079.46</v>
      </c>
      <c r="I38" s="16">
        <f t="shared" si="2"/>
        <v>5818.5</v>
      </c>
      <c r="J38" s="16">
        <f t="shared" si="2"/>
        <v>6313.27</v>
      </c>
      <c r="K38" s="16">
        <f t="shared" si="2"/>
        <v>5162.92</v>
      </c>
    </row>
    <row r="39" spans="1:11" x14ac:dyDescent="0.25">
      <c r="A39" s="22" t="s">
        <v>73</v>
      </c>
      <c r="B39" s="29">
        <v>2603.2399999999998</v>
      </c>
      <c r="C39" s="29">
        <v>2492.5500000000002</v>
      </c>
      <c r="D39" s="29">
        <v>2190.5500000000002</v>
      </c>
      <c r="E39" s="29">
        <v>1854.95</v>
      </c>
      <c r="F39" s="29">
        <v>1492.71</v>
      </c>
      <c r="G39" s="29">
        <v>1632.7</v>
      </c>
      <c r="H39" s="29">
        <v>1475.73</v>
      </c>
      <c r="I39" s="29">
        <v>1355.45</v>
      </c>
      <c r="J39" s="29">
        <v>1347.18</v>
      </c>
      <c r="K39" s="29">
        <v>1128.43</v>
      </c>
    </row>
    <row r="40" spans="1:11" x14ac:dyDescent="0.25">
      <c r="A40" s="16"/>
      <c r="B40" s="19"/>
      <c r="C40" s="19"/>
      <c r="D40" s="19"/>
      <c r="E40" s="19"/>
      <c r="F40" s="19"/>
      <c r="G40" s="19"/>
      <c r="H40" s="19"/>
      <c r="I40" s="19"/>
      <c r="J40" s="19"/>
      <c r="K40" s="19"/>
    </row>
    <row r="41" spans="1:11" x14ac:dyDescent="0.25">
      <c r="A41" s="22" t="s">
        <v>74</v>
      </c>
      <c r="B41" s="29">
        <v>8209.93</v>
      </c>
      <c r="C41" s="29">
        <v>7899.73</v>
      </c>
      <c r="D41" s="29">
        <v>7172.94</v>
      </c>
      <c r="E41" s="29">
        <v>8088.08</v>
      </c>
      <c r="F41" s="29">
        <v>7362.59</v>
      </c>
      <c r="G41" s="29">
        <v>6805.97</v>
      </c>
      <c r="H41" s="29">
        <v>6080.46</v>
      </c>
      <c r="I41" s="29">
        <v>5819.5</v>
      </c>
      <c r="J41" s="29">
        <v>6314.27</v>
      </c>
      <c r="K41" s="29">
        <v>5163.92</v>
      </c>
    </row>
    <row r="42" spans="1:11" x14ac:dyDescent="0.25">
      <c r="A42" s="16"/>
      <c r="B42" s="16"/>
      <c r="C42" s="16"/>
      <c r="D42" s="16"/>
      <c r="E42" s="16"/>
      <c r="F42" s="16"/>
      <c r="G42" s="16"/>
      <c r="H42" s="16"/>
      <c r="I42" s="16"/>
      <c r="J42" s="16"/>
      <c r="K42" s="16"/>
    </row>
    <row r="43" spans="1:11" x14ac:dyDescent="0.25">
      <c r="A43" s="16" t="s">
        <v>79</v>
      </c>
      <c r="B43" s="19">
        <v>3240.2</v>
      </c>
      <c r="C43" s="19">
        <v>2817.99</v>
      </c>
      <c r="D43" s="19">
        <v>2484.75</v>
      </c>
      <c r="E43" s="19">
        <v>2505.8200000000002</v>
      </c>
      <c r="F43" s="19">
        <v>2710.34</v>
      </c>
      <c r="G43" s="19">
        <v>2917.63</v>
      </c>
      <c r="H43" s="19">
        <v>3128.64</v>
      </c>
      <c r="I43" s="19">
        <v>3421.42</v>
      </c>
      <c r="J43" s="19">
        <v>3664.02</v>
      </c>
      <c r="K43" s="19">
        <v>3548.35</v>
      </c>
    </row>
    <row r="44" spans="1:11" x14ac:dyDescent="0.25">
      <c r="A44" s="16" t="s">
        <v>86</v>
      </c>
      <c r="B44" s="19">
        <v>63.28</v>
      </c>
      <c r="C44" s="19">
        <v>722.94</v>
      </c>
      <c r="D44" s="19">
        <v>1007.45</v>
      </c>
      <c r="E44" s="19">
        <v>1925.13</v>
      </c>
      <c r="F44" s="19">
        <v>1393.59</v>
      </c>
      <c r="G44" s="19">
        <v>1275.04</v>
      </c>
      <c r="H44" s="19">
        <v>983.14</v>
      </c>
      <c r="I44" s="19">
        <v>507.36</v>
      </c>
      <c r="J44" s="19">
        <v>626.96</v>
      </c>
      <c r="K44" s="19">
        <v>364.86</v>
      </c>
    </row>
    <row r="45" spans="1:11" x14ac:dyDescent="0.25">
      <c r="A45" s="16" t="s">
        <v>44</v>
      </c>
      <c r="B45" s="19">
        <v>1580.22</v>
      </c>
      <c r="C45" s="19">
        <v>1416.48</v>
      </c>
      <c r="D45" s="19">
        <v>1283.07</v>
      </c>
      <c r="E45" s="19">
        <v>965.55</v>
      </c>
      <c r="F45" s="19">
        <v>902.47</v>
      </c>
      <c r="G45" s="19">
        <v>943.18</v>
      </c>
      <c r="H45" s="19">
        <v>820.81</v>
      </c>
      <c r="I45" s="19">
        <v>844.1</v>
      </c>
      <c r="J45" s="19">
        <v>735.93</v>
      </c>
      <c r="K45" s="19">
        <v>745.58</v>
      </c>
    </row>
    <row r="46" spans="1:11" x14ac:dyDescent="0.25">
      <c r="A46" s="16" t="s">
        <v>87</v>
      </c>
      <c r="B46" s="19">
        <v>165.27</v>
      </c>
      <c r="C46" s="19">
        <v>164.93</v>
      </c>
      <c r="D46" s="19">
        <v>124.33</v>
      </c>
      <c r="E46" s="19">
        <v>124.59</v>
      </c>
      <c r="F46" s="19">
        <v>88.97</v>
      </c>
      <c r="G46" s="19">
        <v>97.93</v>
      </c>
      <c r="H46" s="19">
        <v>78.42</v>
      </c>
      <c r="I46" s="19">
        <v>99.1</v>
      </c>
      <c r="J46" s="19">
        <v>84.27</v>
      </c>
      <c r="K46" s="19">
        <v>87.57</v>
      </c>
    </row>
    <row r="47" spans="1:11" x14ac:dyDescent="0.25">
      <c r="A47" s="16" t="s">
        <v>88</v>
      </c>
      <c r="B47" s="16">
        <v>735.41</v>
      </c>
      <c r="C47" s="19">
        <v>1769.87</v>
      </c>
      <c r="D47" s="19">
        <v>1308.05</v>
      </c>
      <c r="E47" s="19">
        <v>1610.06</v>
      </c>
      <c r="F47" s="19">
        <v>1457.42</v>
      </c>
      <c r="G47" s="19">
        <v>880</v>
      </c>
      <c r="H47" s="19">
        <v>499.55</v>
      </c>
      <c r="I47" s="19">
        <v>445.82</v>
      </c>
      <c r="J47" s="19">
        <v>749.36</v>
      </c>
      <c r="K47" s="19">
        <v>236.96</v>
      </c>
    </row>
    <row r="48" spans="1:11" x14ac:dyDescent="0.25">
      <c r="A48" s="16" t="s">
        <v>89</v>
      </c>
      <c r="B48" s="16">
        <v>11.85</v>
      </c>
      <c r="C48" s="16">
        <v>13.22</v>
      </c>
      <c r="D48" s="16">
        <v>12.46</v>
      </c>
      <c r="E48" s="16">
        <v>17.89</v>
      </c>
      <c r="F48" s="16">
        <v>28.8</v>
      </c>
      <c r="G48" s="19">
        <v>57.02</v>
      </c>
      <c r="H48" s="19">
        <v>82.97</v>
      </c>
      <c r="I48" s="19">
        <v>52.07</v>
      </c>
      <c r="J48" s="16">
        <v>101.36</v>
      </c>
      <c r="K48" s="19">
        <v>54.15</v>
      </c>
    </row>
    <row r="49" spans="1:11" x14ac:dyDescent="0.25">
      <c r="A49" s="16" t="s">
        <v>90</v>
      </c>
      <c r="B49" s="16">
        <v>182.73</v>
      </c>
      <c r="C49" s="16">
        <v>97.64</v>
      </c>
      <c r="D49" s="16">
        <v>81.81</v>
      </c>
      <c r="E49" s="16">
        <v>93.73</v>
      </c>
      <c r="F49" s="16">
        <v>66.14</v>
      </c>
      <c r="G49" s="19">
        <v>25.82</v>
      </c>
      <c r="H49" s="19">
        <v>14.72</v>
      </c>
      <c r="I49" s="19">
        <v>15.22</v>
      </c>
      <c r="J49" s="19">
        <v>3.84</v>
      </c>
      <c r="K49" s="19">
        <v>1</v>
      </c>
    </row>
    <row r="50" spans="1:11" x14ac:dyDescent="0.25">
      <c r="A50" s="16" t="s">
        <v>45</v>
      </c>
      <c r="B50" s="19">
        <v>2738.76</v>
      </c>
      <c r="C50" s="19">
        <v>4185.08</v>
      </c>
      <c r="D50" s="19">
        <v>3817.17</v>
      </c>
      <c r="E50" s="19">
        <v>4736.95</v>
      </c>
      <c r="F50" s="19">
        <v>3937.39</v>
      </c>
      <c r="G50" s="19">
        <v>3278.99</v>
      </c>
      <c r="H50" s="19">
        <v>2479.61</v>
      </c>
      <c r="I50" s="19">
        <v>1963.67</v>
      </c>
      <c r="J50" s="19">
        <v>2301.7199999999998</v>
      </c>
      <c r="K50" s="19">
        <v>1490.12</v>
      </c>
    </row>
    <row r="51" spans="1:11" x14ac:dyDescent="0.25">
      <c r="A51" s="16"/>
      <c r="B51" s="19"/>
      <c r="C51" s="19"/>
      <c r="D51" s="19"/>
      <c r="E51" s="19"/>
      <c r="F51" s="19"/>
      <c r="G51" s="19"/>
      <c r="H51" s="19"/>
      <c r="I51" s="19"/>
      <c r="J51" s="19"/>
      <c r="K51" s="19"/>
    </row>
    <row r="52" spans="1:11" x14ac:dyDescent="0.25">
      <c r="A52" s="22" t="s">
        <v>46</v>
      </c>
      <c r="B52" s="29">
        <v>8209.93</v>
      </c>
      <c r="C52" s="29">
        <v>7899.73</v>
      </c>
      <c r="D52" s="29">
        <v>7172.94</v>
      </c>
      <c r="E52" s="29">
        <v>8088.08</v>
      </c>
      <c r="F52" s="29">
        <v>7362.59</v>
      </c>
      <c r="G52" s="29">
        <v>6805.97</v>
      </c>
      <c r="H52" s="29">
        <v>6080.46</v>
      </c>
      <c r="I52" s="29">
        <v>5819.5</v>
      </c>
      <c r="J52" s="29">
        <v>6314.27</v>
      </c>
      <c r="K52" s="29">
        <v>5163.92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AB807-0F65-4CFF-BADD-29D35C5E95B9}">
  <sheetPr>
    <tabColor theme="9" tint="-0.249977111117893"/>
  </sheetPr>
  <dimension ref="A1:P27"/>
  <sheetViews>
    <sheetView workbookViewId="0">
      <selection activeCell="D11" sqref="D11"/>
    </sheetView>
  </sheetViews>
  <sheetFormatPr defaultRowHeight="15" x14ac:dyDescent="0.25"/>
  <cols>
    <col min="1" max="1" width="29.85546875" customWidth="1"/>
    <col min="2" max="2" width="11" customWidth="1"/>
    <col min="3" max="3" width="11.140625" customWidth="1"/>
    <col min="4" max="5" width="11.7109375" customWidth="1"/>
    <col min="6" max="6" width="10.7109375" customWidth="1"/>
    <col min="7" max="7" width="11.28515625" customWidth="1"/>
    <col min="8" max="8" width="12.140625" customWidth="1"/>
    <col min="9" max="9" width="13" customWidth="1"/>
    <col min="10" max="10" width="12.7109375" customWidth="1"/>
    <col min="11" max="11" width="10.42578125" customWidth="1"/>
    <col min="12" max="12" width="11.5703125" customWidth="1"/>
  </cols>
  <sheetData>
    <row r="1" spans="1:14" x14ac:dyDescent="0.25">
      <c r="A1" s="8" t="s">
        <v>141</v>
      </c>
      <c r="B1" s="7">
        <v>44561</v>
      </c>
      <c r="C1" s="7">
        <v>44196</v>
      </c>
      <c r="D1" s="7">
        <v>43830</v>
      </c>
      <c r="E1" s="7">
        <v>43465</v>
      </c>
      <c r="F1" s="7">
        <v>43100</v>
      </c>
      <c r="G1" s="7">
        <v>42735</v>
      </c>
      <c r="H1" s="7">
        <v>42369</v>
      </c>
      <c r="I1" s="7">
        <v>42004</v>
      </c>
      <c r="J1" s="7">
        <v>41639</v>
      </c>
      <c r="K1" s="7">
        <v>41274</v>
      </c>
      <c r="L1" s="7" t="s">
        <v>136</v>
      </c>
    </row>
    <row r="2" spans="1:14" x14ac:dyDescent="0.25">
      <c r="B2" s="12"/>
      <c r="C2" s="12"/>
      <c r="D2" s="12"/>
      <c r="E2" s="12"/>
      <c r="F2" s="12"/>
      <c r="G2" s="12"/>
      <c r="H2" s="12"/>
      <c r="I2" s="12"/>
      <c r="J2" s="12"/>
      <c r="K2" s="12"/>
    </row>
    <row r="3" spans="1:14" x14ac:dyDescent="0.25">
      <c r="A3" s="8" t="s">
        <v>114</v>
      </c>
      <c r="B3" s="10"/>
      <c r="C3" s="10"/>
      <c r="D3" s="10"/>
      <c r="E3" s="10"/>
      <c r="F3" s="10"/>
      <c r="G3" s="10"/>
      <c r="H3" s="10"/>
      <c r="I3" s="10"/>
      <c r="J3" s="10"/>
      <c r="K3" s="10"/>
      <c r="L3" s="10"/>
    </row>
    <row r="4" spans="1:14" x14ac:dyDescent="0.25">
      <c r="A4" s="16" t="s">
        <v>115</v>
      </c>
      <c r="B4" s="17">
        <f>'Cleaned Data'!B7/'Cleaned Data'!B3</f>
        <v>0.53414514926159518</v>
      </c>
      <c r="C4" s="17">
        <f>'Cleaned Data'!C7/'Cleaned Data'!C3</f>
        <v>0.5421845493980163</v>
      </c>
      <c r="D4" s="17">
        <f>'Cleaned Data'!D7/'Cleaned Data'!D3</f>
        <v>0.53420352658684289</v>
      </c>
      <c r="E4" s="17">
        <f>'Cleaned Data'!E7/'Cleaned Data'!E3</f>
        <v>0.55772400057738614</v>
      </c>
      <c r="F4" s="17">
        <f>'Cleaned Data'!F7/'Cleaned Data'!F3</f>
        <v>0.52593110613810745</v>
      </c>
      <c r="G4" s="17">
        <f>'Cleaned Data'!G7/'Cleaned Data'!G3</f>
        <v>0.54806912552310316</v>
      </c>
      <c r="H4" s="17">
        <f>'Cleaned Data'!H7/'Cleaned Data'!H3</f>
        <v>0.5449469194440334</v>
      </c>
      <c r="I4" s="17">
        <f>'Cleaned Data'!I7/'Cleaned Data'!I3</f>
        <v>0.49011957576175769</v>
      </c>
      <c r="J4" s="17">
        <f>'Cleaned Data'!J7/'Cleaned Data'!J3</f>
        <v>0.51163107553524034</v>
      </c>
      <c r="K4" s="17">
        <f>'Cleaned Data'!K7/'Cleaned Data'!K3</f>
        <v>0.48647974150911938</v>
      </c>
      <c r="L4" s="16"/>
    </row>
    <row r="5" spans="1:14" x14ac:dyDescent="0.25">
      <c r="A5" s="16" t="s">
        <v>116</v>
      </c>
      <c r="B5" s="17">
        <f>'Cleaned Data'!B10/'Cleaned Data'!B3</f>
        <v>0.24416614942407616</v>
      </c>
      <c r="C5" s="17">
        <f>'Cleaned Data'!C10/'Cleaned Data'!C3</f>
        <v>0.23981219517858759</v>
      </c>
      <c r="D5" s="17">
        <f>'Cleaned Data'!D10/'Cleaned Data'!D3</f>
        <v>0.23655135056472282</v>
      </c>
      <c r="E5" s="17">
        <f>'Cleaned Data'!E10/'Cleaned Data'!E3</f>
        <v>0.23180901625625316</v>
      </c>
      <c r="F5" s="17">
        <f>'Cleaned Data'!F10/'Cleaned Data'!F3</f>
        <v>0.20945192615089514</v>
      </c>
      <c r="G5" s="17">
        <f>'Cleaned Data'!G10/'Cleaned Data'!G3</f>
        <v>0.18554391899217246</v>
      </c>
      <c r="H5" s="17">
        <f>'Cleaned Data'!H10/'Cleaned Data'!H3</f>
        <v>0.19019829217485332</v>
      </c>
      <c r="I5" s="17">
        <f>'Cleaned Data'!I10/'Cleaned Data'!I3</f>
        <v>0.20617280442909269</v>
      </c>
      <c r="J5" s="17">
        <f>'Cleaned Data'!J10/'Cleaned Data'!J3</f>
        <v>0.21399508847880191</v>
      </c>
      <c r="K5" s="17">
        <f>'Cleaned Data'!K10/'Cleaned Data'!K3</f>
        <v>0.21900935025730303</v>
      </c>
      <c r="L5" s="16"/>
    </row>
    <row r="6" spans="1:14" x14ac:dyDescent="0.25">
      <c r="A6" s="16" t="s">
        <v>117</v>
      </c>
      <c r="B6" s="17">
        <f>'Cleaned Data'!B18/'Cleaned Data'!B3</f>
        <v>0.14581550177743363</v>
      </c>
      <c r="C6" s="17">
        <f>'Cleaned Data'!C18/'Cleaned Data'!C3</f>
        <v>0.15598691538520884</v>
      </c>
      <c r="D6" s="17">
        <f>'Cleaned Data'!D18/'Cleaned Data'!D3</f>
        <v>0.15914430547583053</v>
      </c>
      <c r="E6" s="17">
        <f>'Cleaned Data'!E18/'Cleaned Data'!E3</f>
        <v>0.14230354038647677</v>
      </c>
      <c r="F6" s="17">
        <f>'Cleaned Data'!F18/'Cleaned Data'!F3</f>
        <v>0.12240149456521739</v>
      </c>
      <c r="G6" s="17">
        <f>'Cleaned Data'!G18/'Cleaned Data'!G3</f>
        <v>0.10045100717708537</v>
      </c>
      <c r="H6" s="17">
        <f>'Cleaned Data'!H18/'Cleaned Data'!H3</f>
        <v>6.8898916371366956E-2</v>
      </c>
      <c r="I6" s="17">
        <f>'Cleaned Data'!I18/'Cleaned Data'!I3</f>
        <v>0.12021402681322071</v>
      </c>
      <c r="J6" s="17">
        <f>'Cleaned Data'!J18/'Cleaned Data'!J3</f>
        <v>0.1227473753028497</v>
      </c>
      <c r="K6" s="17">
        <f>'Cleaned Data'!K18/'Cleaned Data'!K3</f>
        <v>0.12813320007246959</v>
      </c>
      <c r="L6" s="16"/>
    </row>
    <row r="7" spans="1:14" x14ac:dyDescent="0.25">
      <c r="A7" s="16" t="s">
        <v>118</v>
      </c>
      <c r="B7" s="17">
        <f>'Cleaned Data'!B18/'Cleaned Data'!B52</f>
        <v>0.26125192297620076</v>
      </c>
      <c r="C7" s="17">
        <f>'Cleaned Data'!C18/'Cleaned Data'!C52</f>
        <v>0.26360774355579242</v>
      </c>
      <c r="D7" s="17">
        <f>'Cleaned Data'!D18/'Cleaned Data'!D52</f>
        <v>0.2744258281820286</v>
      </c>
      <c r="E7" s="17">
        <f>'Cleaned Data'!E18/'Cleaned Data'!E52</f>
        <v>0.1986787964510737</v>
      </c>
      <c r="F7" s="17">
        <f>'Cleaned Data'!F18/'Cleaned Data'!F52</f>
        <v>0.16640747345703075</v>
      </c>
      <c r="G7" s="17">
        <f>'Cleaned Data'!G18/'Cleaned Data'!G52</f>
        <v>0.13613636263456935</v>
      </c>
      <c r="H7" s="17">
        <f>'Cleaned Data'!H18/'Cleaned Data'!H52</f>
        <v>9.2636083454212342E-2</v>
      </c>
      <c r="I7" s="17">
        <f>'Cleaned Data'!I18/'Cleaned Data'!I52</f>
        <v>0.20357247186184382</v>
      </c>
      <c r="J7" s="17">
        <f>'Cleaned Data'!J18/'Cleaned Data'!J52</f>
        <v>0.17692148102631025</v>
      </c>
      <c r="K7" s="17">
        <f>'Cleaned Data'!K18/'Cleaned Data'!K52</f>
        <v>0.20680606980743313</v>
      </c>
      <c r="L7" s="16"/>
    </row>
    <row r="8" spans="1:14" x14ac:dyDescent="0.25">
      <c r="A8" s="16" t="s">
        <v>119</v>
      </c>
      <c r="B8" s="17">
        <f>'Cleaned Data'!B3/'Cleaned Data'!B30</f>
        <v>7.0566328292907583</v>
      </c>
      <c r="C8" s="17">
        <f>'Cleaned Data'!C3/'Cleaned Data'!C30</f>
        <v>6.6110858003109936</v>
      </c>
      <c r="D8" s="17">
        <f>'Cleaned Data'!D3/'Cleaned Data'!D30</f>
        <v>6.4459291145309479</v>
      </c>
      <c r="E8" s="17">
        <f>'Cleaned Data'!E3/'Cleaned Data'!E30</f>
        <v>3.0737803981773344</v>
      </c>
      <c r="F8" s="17">
        <f>'Cleaned Data'!F3/'Cleaned Data'!F30</f>
        <v>2.9262787998561652</v>
      </c>
      <c r="G8" s="17">
        <f>'Cleaned Data'!G3/'Cleaned Data'!G30</f>
        <v>3.0606231542622027</v>
      </c>
      <c r="H8" s="17">
        <f>'Cleaned Data'!H3/'Cleaned Data'!H30</f>
        <v>2.901268347386651</v>
      </c>
      <c r="I8" s="17">
        <f>'Cleaned Data'!I3/'Cleaned Data'!I30</f>
        <v>3.4734263589935184</v>
      </c>
      <c r="J8" s="17">
        <f>'Cleaned Data'!J3/'Cleaned Data'!J30</f>
        <v>3.8421319261213718</v>
      </c>
      <c r="K8" s="17">
        <f>'Cleaned Data'!K3/'Cleaned Data'!K30</f>
        <v>4.6343881539804608</v>
      </c>
      <c r="L8" s="16"/>
    </row>
    <row r="10" spans="1:14" x14ac:dyDescent="0.25">
      <c r="A10" s="8" t="s">
        <v>120</v>
      </c>
      <c r="B10" s="8"/>
      <c r="C10" s="8"/>
      <c r="D10" s="8"/>
      <c r="E10" s="8"/>
      <c r="F10" s="8"/>
      <c r="G10" s="8"/>
      <c r="H10" s="8"/>
      <c r="I10" s="8"/>
      <c r="J10" s="8"/>
      <c r="K10" s="8"/>
      <c r="L10" s="15"/>
    </row>
    <row r="11" spans="1:14" x14ac:dyDescent="0.25">
      <c r="A11" s="16" t="s">
        <v>121</v>
      </c>
      <c r="B11" s="18">
        <f>'Cleaned Data'!B50/'Cleaned Data'!B39</f>
        <v>1.0520582043914508</v>
      </c>
      <c r="C11" s="18">
        <f>'Cleaned Data'!C50/'Cleaned Data'!C39</f>
        <v>1.6790355258670837</v>
      </c>
      <c r="D11" s="18">
        <f>'Cleaned Data'!D50/'Cleaned Data'!D39</f>
        <v>1.7425623701810047</v>
      </c>
      <c r="E11" s="18">
        <f>'Cleaned Data'!E50/'Cleaned Data'!E39</f>
        <v>2.5536806922019459</v>
      </c>
      <c r="F11" s="18">
        <f>'Cleaned Data'!F50/'Cleaned Data'!F39</f>
        <v>2.6377461127747517</v>
      </c>
      <c r="G11" s="18">
        <f>'Cleaned Data'!G50/'Cleaned Data'!G39</f>
        <v>2.0083236356954735</v>
      </c>
      <c r="H11" s="18">
        <f>'Cleaned Data'!H50/'Cleaned Data'!H39</f>
        <v>1.6802599391487603</v>
      </c>
      <c r="I11" s="18">
        <f>'Cleaned Data'!I50/'Cleaned Data'!I39</f>
        <v>1.44872182669962</v>
      </c>
      <c r="J11" s="18">
        <f>'Cleaned Data'!J50/'Cleaned Data'!J39</f>
        <v>1.708546742083463</v>
      </c>
      <c r="K11" s="18">
        <f>'Cleaned Data'!K50/'Cleaned Data'!K39</f>
        <v>1.3205249771806844</v>
      </c>
      <c r="L11" s="16"/>
    </row>
    <row r="12" spans="1:14" x14ac:dyDescent="0.25">
      <c r="A12" s="16" t="s">
        <v>122</v>
      </c>
      <c r="B12" s="18">
        <f>('Cleaned Data'!B50-'Cleaned Data'!B45)/'Cleaned Data'!B39</f>
        <v>0.44503772222307597</v>
      </c>
      <c r="C12" s="18">
        <f>('Cleaned Data'!C50-'Cleaned Data'!C45)/'Cleaned Data'!C39</f>
        <v>1.1107500351046116</v>
      </c>
      <c r="D12" s="18">
        <f>('Cleaned Data'!D50-'Cleaned Data'!D45)/'Cleaned Data'!D39</f>
        <v>1.1568327588961678</v>
      </c>
      <c r="E12" s="18">
        <f>('Cleaned Data'!E50-'Cleaned Data'!E45)/'Cleaned Data'!E39</f>
        <v>2.033154532467182</v>
      </c>
      <c r="F12" s="18">
        <f>('Cleaned Data'!F50-'Cleaned Data'!F45)/'Cleaned Data'!F39</f>
        <v>2.0331611632534115</v>
      </c>
      <c r="G12" s="18">
        <f>('Cleaned Data'!G50-'Cleaned Data'!G45)/'Cleaned Data'!G39</f>
        <v>1.4306424940282967</v>
      </c>
      <c r="H12" s="18">
        <f>('Cleaned Data'!H50-'Cleaned Data'!H45)/'Cleaned Data'!H39</f>
        <v>1.1240538580905721</v>
      </c>
      <c r="I12" s="18">
        <f>('Cleaned Data'!I50-'Cleaned Data'!I45)/'Cleaned Data'!I39</f>
        <v>0.82597661293297442</v>
      </c>
      <c r="J12" s="18">
        <f>('Cleaned Data'!J50-'Cleaned Data'!J45)/'Cleaned Data'!J39</f>
        <v>1.1622723021422525</v>
      </c>
      <c r="K12" s="18">
        <f>('Cleaned Data'!K50-'Cleaned Data'!K45)/'Cleaned Data'!K39</f>
        <v>0.65980167134868783</v>
      </c>
      <c r="L12" s="16"/>
    </row>
    <row r="13" spans="1:14" x14ac:dyDescent="0.25">
      <c r="A13" s="16" t="s">
        <v>123</v>
      </c>
      <c r="B13" s="18">
        <f>('Cleaned Data'!B47+'Cleaned Data'!B44)/'Cleaned Data'!B39</f>
        <v>0.30680613389468508</v>
      </c>
      <c r="C13" s="18">
        <f>('Cleaned Data'!C47+'Cleaned Data'!C44)/'Cleaned Data'!C39</f>
        <v>1.0001043108463219</v>
      </c>
      <c r="D13" s="18">
        <f>('Cleaned Data'!D47+'Cleaned Data'!D44)/'Cleaned Data'!D39</f>
        <v>1.0570404692885347</v>
      </c>
      <c r="E13" s="18">
        <f>('Cleaned Data'!E47+'Cleaned Data'!E44)/'Cleaned Data'!E39</f>
        <v>1.905814172888757</v>
      </c>
      <c r="F13" s="18">
        <f>('Cleaned Data'!F47+'Cleaned Data'!F44)/'Cleaned Data'!F39</f>
        <v>1.9099557181234132</v>
      </c>
      <c r="G13" s="18">
        <f>('Cleaned Data'!G47+'Cleaned Data'!G44)/'Cleaned Data'!G39</f>
        <v>1.3199240521834996</v>
      </c>
      <c r="H13" s="18">
        <f>('Cleaned Data'!H47+'Cleaned Data'!H44)/'Cleaned Data'!H39</f>
        <v>1.0047163098940863</v>
      </c>
      <c r="I13" s="18">
        <f>('Cleaned Data'!I47+'Cleaned Data'!I44)/'Cleaned Data'!I39</f>
        <v>0.7032203327308274</v>
      </c>
      <c r="J13" s="18">
        <f>('Cleaned Data'!J47+'Cleaned Data'!J44)/'Cleaned Data'!J39</f>
        <v>1.021630368621862</v>
      </c>
      <c r="K13" s="18">
        <f>('Cleaned Data'!K47+'Cleaned Data'!K44)/'Cleaned Data'!K39</f>
        <v>0.53332506225463694</v>
      </c>
      <c r="L13" s="16"/>
    </row>
    <row r="14" spans="1:14" x14ac:dyDescent="0.25">
      <c r="A14" s="16" t="s">
        <v>124</v>
      </c>
      <c r="B14" s="19">
        <f>'Cleaned Data'!B50-'Cleaned Data'!B39</f>
        <v>135.52000000000044</v>
      </c>
      <c r="C14" s="19">
        <f>'Cleaned Data'!C50-'Cleaned Data'!C39</f>
        <v>1692.5299999999997</v>
      </c>
      <c r="D14" s="19">
        <f>'Cleaned Data'!D50-'Cleaned Data'!D39</f>
        <v>1626.62</v>
      </c>
      <c r="E14" s="19">
        <f>'Cleaned Data'!E50-'Cleaned Data'!E39</f>
        <v>2882</v>
      </c>
      <c r="F14" s="19">
        <f>'Cleaned Data'!F50-'Cleaned Data'!F39</f>
        <v>2444.6799999999998</v>
      </c>
      <c r="G14" s="19">
        <f>'Cleaned Data'!G50-'Cleaned Data'!G39</f>
        <v>1646.2899999999997</v>
      </c>
      <c r="H14" s="19">
        <f>'Cleaned Data'!H50-'Cleaned Data'!H39</f>
        <v>1003.8800000000001</v>
      </c>
      <c r="I14" s="19">
        <f>'Cleaned Data'!I50-'Cleaned Data'!I39</f>
        <v>608.22</v>
      </c>
      <c r="J14" s="19">
        <f>'Cleaned Data'!J50-'Cleaned Data'!J39</f>
        <v>954.53999999999974</v>
      </c>
      <c r="K14" s="19">
        <f>'Cleaned Data'!K50-'Cleaned Data'!K39</f>
        <v>361.68999999999983</v>
      </c>
      <c r="L14" s="16"/>
    </row>
    <row r="16" spans="1:14" x14ac:dyDescent="0.25">
      <c r="A16" s="8" t="s">
        <v>125</v>
      </c>
      <c r="B16" s="8"/>
      <c r="C16" s="8"/>
      <c r="D16" s="8"/>
      <c r="E16" s="8"/>
      <c r="F16" s="8"/>
      <c r="G16" s="8"/>
      <c r="H16" s="8"/>
      <c r="I16" s="8"/>
      <c r="J16" s="8"/>
      <c r="K16" s="8"/>
      <c r="L16" s="8"/>
      <c r="N16" s="14"/>
    </row>
    <row r="17" spans="1:16" x14ac:dyDescent="0.25">
      <c r="A17" s="16" t="s">
        <v>128</v>
      </c>
      <c r="B17" s="18">
        <f>'Cleaned Data'!B46/'Cleaned Data'!B3*365</f>
        <v>4.1010176478866249</v>
      </c>
      <c r="C17" s="18">
        <f>'Cleaned Data'!C46/'Cleaned Data'!C3*365</f>
        <v>4.509311964092964</v>
      </c>
      <c r="D17" s="18">
        <f>'Cleaned Data'!D46/'Cleaned Data'!D3*365</f>
        <v>3.6689155866730268</v>
      </c>
      <c r="E17" s="18">
        <f>'Cleaned Data'!E46/'Cleaned Data'!E3*365</f>
        <v>4.0271220932549436</v>
      </c>
      <c r="F17" s="18">
        <f>'Cleaned Data'!F46/'Cleaned Data'!F3*365</f>
        <v>3.244290481138107</v>
      </c>
      <c r="G17" s="18">
        <f>'Cleaned Data'!G46/'Cleaned Data'!G3*365</f>
        <v>3.8752412237906291</v>
      </c>
      <c r="H17" s="18">
        <f>'Cleaned Data'!H46/'Cleaned Data'!H3*365</f>
        <v>3.501188334142681</v>
      </c>
      <c r="I17" s="18">
        <f>'Cleaned Data'!I46/'Cleaned Data'!I3*365</f>
        <v>3.670429961318499</v>
      </c>
      <c r="J17" s="18">
        <f>'Cleaned Data'!J46/'Cleaned Data'!J3*365</f>
        <v>3.3796704775822572</v>
      </c>
      <c r="K17" s="18">
        <f>'Cleaned Data'!K46/'Cleaned Data'!K3*365</f>
        <v>3.8350152918040967</v>
      </c>
      <c r="L17" s="16"/>
    </row>
    <row r="18" spans="1:16" x14ac:dyDescent="0.25">
      <c r="A18" s="16" t="s">
        <v>126</v>
      </c>
      <c r="B18" s="18">
        <f>'Cleaned Data'!B45/'Cleaned Data'!B6*365</f>
        <v>84.171398550883268</v>
      </c>
      <c r="C18" s="18">
        <f>'Cleaned Data'!C45/'Cleaned Data'!C6*365</f>
        <v>84.592259299557412</v>
      </c>
      <c r="D18" s="18">
        <f>'Cleaned Data'!D45/'Cleaned Data'!D6*365</f>
        <v>81.28603514082539</v>
      </c>
      <c r="E18" s="18">
        <f>'Cleaned Data'!E45/'Cleaned Data'!E6*365</f>
        <v>70.565594778046957</v>
      </c>
      <c r="F18" s="18">
        <f>'Cleaned Data'!F45/'Cleaned Data'!F6*365</f>
        <v>69.417258136574759</v>
      </c>
      <c r="G18" s="18">
        <f>'Cleaned Data'!G45/'Cleaned Data'!G6*365</f>
        <v>82.585833821116353</v>
      </c>
      <c r="H18" s="18">
        <f>'Cleaned Data'!H45/'Cleaned Data'!H6*365</f>
        <v>80.532135369066182</v>
      </c>
      <c r="I18" s="18">
        <f>'Cleaned Data'!I45/'Cleaned Data'!I6*365</f>
        <v>61.315298748803436</v>
      </c>
      <c r="J18" s="18">
        <f>'Cleaned Data'!J45/'Cleaned Data'!J6*365</f>
        <v>60.435184164403644</v>
      </c>
      <c r="K18" s="18">
        <f>'Cleaned Data'!K45/'Cleaned Data'!K6*365</f>
        <v>63.584083926214099</v>
      </c>
      <c r="L18" s="16"/>
    </row>
    <row r="19" spans="1:16" x14ac:dyDescent="0.25">
      <c r="A19" s="16" t="s">
        <v>127</v>
      </c>
      <c r="B19" s="18">
        <f>'Cleaned Data'!B35/'Cleaned Data'!B6*365</f>
        <v>100.65391210442982</v>
      </c>
      <c r="C19" s="18">
        <f>'Cleaned Data'!C35/'Cleaned Data'!C6*365</f>
        <v>108.03417132292186</v>
      </c>
      <c r="D19" s="18">
        <f>'Cleaned Data'!D35/'Cleaned Data'!D6*365</f>
        <v>103.04834423637351</v>
      </c>
      <c r="E19" s="18">
        <f>'Cleaned Data'!E35/'Cleaned Data'!E6*365</f>
        <v>90.650351400596676</v>
      </c>
      <c r="F19" s="18">
        <f>'Cleaned Data'!F35/'Cleaned Data'!F6*365</f>
        <v>75.737707681803244</v>
      </c>
      <c r="G19" s="18">
        <f>'Cleaned Data'!G35/'Cleaned Data'!G6*365</f>
        <v>69.975290990567387</v>
      </c>
      <c r="H19" s="18">
        <f>'Cleaned Data'!H35/'Cleaned Data'!H6*365</f>
        <v>72.950943497661413</v>
      </c>
      <c r="I19" s="18">
        <f>'Cleaned Data'!I35/'Cleaned Data'!I6*365</f>
        <v>52.933386270869036</v>
      </c>
      <c r="J19" s="18">
        <f>'Cleaned Data'!J35/'Cleaned Data'!J6*365</f>
        <v>51.985771722085097</v>
      </c>
      <c r="K19" s="18">
        <f>'Cleaned Data'!K35/'Cleaned Data'!K6*365</f>
        <v>46.000771037044828</v>
      </c>
      <c r="L19" s="16"/>
    </row>
    <row r="20" spans="1:16" x14ac:dyDescent="0.25">
      <c r="A20" s="16" t="s">
        <v>129</v>
      </c>
      <c r="B20" s="18">
        <f>B17+B18</f>
        <v>88.272416198769889</v>
      </c>
      <c r="C20" s="18">
        <f t="shared" ref="C20:K20" si="0">C17+C18</f>
        <v>89.101571263650371</v>
      </c>
      <c r="D20" s="18">
        <f t="shared" si="0"/>
        <v>84.954950727498414</v>
      </c>
      <c r="E20" s="18">
        <f t="shared" si="0"/>
        <v>74.592716871301903</v>
      </c>
      <c r="F20" s="18">
        <f t="shared" si="0"/>
        <v>72.661548617712867</v>
      </c>
      <c r="G20" s="18">
        <f t="shared" si="0"/>
        <v>86.461075044906977</v>
      </c>
      <c r="H20" s="18">
        <f t="shared" si="0"/>
        <v>84.033323703208865</v>
      </c>
      <c r="I20" s="18">
        <f t="shared" si="0"/>
        <v>64.985728710121933</v>
      </c>
      <c r="J20" s="18">
        <f t="shared" si="0"/>
        <v>63.814854641985903</v>
      </c>
      <c r="K20" s="18">
        <f t="shared" si="0"/>
        <v>67.419099218018189</v>
      </c>
      <c r="L20" s="16"/>
    </row>
    <row r="21" spans="1:16" x14ac:dyDescent="0.25">
      <c r="A21" s="16" t="s">
        <v>130</v>
      </c>
      <c r="B21" s="18">
        <f>B20-B19</f>
        <v>-12.381495905659932</v>
      </c>
      <c r="C21" s="18">
        <f t="shared" ref="C21:K21" si="1">C20-C19</f>
        <v>-18.932600059271493</v>
      </c>
      <c r="D21" s="18">
        <f t="shared" si="1"/>
        <v>-18.093393508875096</v>
      </c>
      <c r="E21" s="18">
        <f t="shared" si="1"/>
        <v>-16.057634529294774</v>
      </c>
      <c r="F21" s="18">
        <f t="shared" si="1"/>
        <v>-3.0761590640903762</v>
      </c>
      <c r="G21" s="18">
        <f t="shared" si="1"/>
        <v>16.485784054339589</v>
      </c>
      <c r="H21" s="18">
        <f t="shared" si="1"/>
        <v>11.082380205547452</v>
      </c>
      <c r="I21" s="18">
        <f t="shared" si="1"/>
        <v>12.052342439252897</v>
      </c>
      <c r="J21" s="18">
        <f t="shared" si="1"/>
        <v>11.829082919900806</v>
      </c>
      <c r="K21" s="18">
        <f t="shared" si="1"/>
        <v>21.418328180973361</v>
      </c>
      <c r="L21" s="16"/>
    </row>
    <row r="22" spans="1:16" x14ac:dyDescent="0.25">
      <c r="A22" s="16" t="s">
        <v>131</v>
      </c>
      <c r="B22" s="17">
        <f>'Cleaned Data'!B18/'Cleaned Data'!B52</f>
        <v>0.26125192297620076</v>
      </c>
      <c r="C22" s="17">
        <f>'Cleaned Data'!C18/'Cleaned Data'!C52</f>
        <v>0.26360774355579242</v>
      </c>
      <c r="D22" s="17">
        <f>'Cleaned Data'!D18/'Cleaned Data'!D52</f>
        <v>0.2744258281820286</v>
      </c>
      <c r="E22" s="17">
        <f>'Cleaned Data'!E18/'Cleaned Data'!E52</f>
        <v>0.1986787964510737</v>
      </c>
      <c r="F22" s="17">
        <f>'Cleaned Data'!F18/'Cleaned Data'!F52</f>
        <v>0.16640747345703075</v>
      </c>
      <c r="G22" s="17">
        <f>'Cleaned Data'!G18/'Cleaned Data'!G52</f>
        <v>0.13613636263456935</v>
      </c>
      <c r="H22" s="17">
        <f>'Cleaned Data'!H18/'Cleaned Data'!H52</f>
        <v>9.2636083454212342E-2</v>
      </c>
      <c r="I22" s="17">
        <f>'Cleaned Data'!I18/'Cleaned Data'!I52</f>
        <v>0.20357247186184382</v>
      </c>
      <c r="J22" s="17">
        <f>'Cleaned Data'!J18/'Cleaned Data'!J52</f>
        <v>0.17692148102631025</v>
      </c>
      <c r="K22" s="17">
        <f>'Cleaned Data'!K18/'Cleaned Data'!K52</f>
        <v>0.20680606980743313</v>
      </c>
      <c r="L22" s="16"/>
    </row>
    <row r="23" spans="1:16" x14ac:dyDescent="0.25">
      <c r="P23" s="13"/>
    </row>
    <row r="24" spans="1:16" x14ac:dyDescent="0.25">
      <c r="A24" s="8" t="s">
        <v>132</v>
      </c>
      <c r="B24" s="8"/>
      <c r="C24" s="8"/>
      <c r="D24" s="8"/>
      <c r="E24" s="8"/>
      <c r="F24" s="8"/>
      <c r="G24" s="8"/>
      <c r="H24" s="8"/>
      <c r="I24" s="8"/>
      <c r="J24" s="8"/>
      <c r="K24" s="8"/>
      <c r="L24" s="8"/>
    </row>
    <row r="25" spans="1:16" x14ac:dyDescent="0.25">
      <c r="A25" s="16" t="s">
        <v>133</v>
      </c>
      <c r="B25" s="18">
        <f>('Cleaned Data'!B34+'Cleaned Data'!B32)/'Cleaned Data'!B52</f>
        <v>4.148634641221058E-3</v>
      </c>
      <c r="C25" s="18">
        <f>('Cleaned Data'!C34+'Cleaned Data'!C32)/'Cleaned Data'!C52</f>
        <v>4.410277313275264E-3</v>
      </c>
      <c r="D25" s="18">
        <f>('Cleaned Data'!D34+'Cleaned Data'!D32)/'Cleaned Data'!D52</f>
        <v>7.4083987876658666E-3</v>
      </c>
      <c r="E25" s="18">
        <f>('Cleaned Data'!E34+'Cleaned Data'!E32)/'Cleaned Data'!E52</f>
        <v>4.344665235754345E-3</v>
      </c>
      <c r="F25" s="18">
        <f>('Cleaned Data'!F34+'Cleaned Data'!F32)/'Cleaned Data'!F52</f>
        <v>4.7727769711473815E-3</v>
      </c>
      <c r="G25" s="18">
        <f>('Cleaned Data'!G34+'Cleaned Data'!G32)/'Cleaned Data'!G52</f>
        <v>4.8707237910246438E-3</v>
      </c>
      <c r="H25" s="18">
        <f>('Cleaned Data'!H34+'Cleaned Data'!H32)/'Cleaned Data'!H52</f>
        <v>2.9158978103630316E-3</v>
      </c>
      <c r="I25" s="18">
        <f>('Cleaned Data'!I34+'Cleaned Data'!I32)/'Cleaned Data'!I52</f>
        <v>3.3628318584070795E-3</v>
      </c>
      <c r="J25" s="18">
        <f>('Cleaned Data'!J34+'Cleaned Data'!J32)/'Cleaned Data'!J52</f>
        <v>0.18838123805285487</v>
      </c>
      <c r="K25" s="18">
        <f>('Cleaned Data'!K34+'Cleaned Data'!K32)/'Cleaned Data'!K52</f>
        <v>0.20337069513083084</v>
      </c>
      <c r="L25" s="16"/>
    </row>
    <row r="26" spans="1:16" x14ac:dyDescent="0.25">
      <c r="A26" s="16" t="s">
        <v>134</v>
      </c>
      <c r="B26" s="18">
        <f>'Cleaned Data'!B30/'Cleaned Data'!B52</f>
        <v>0.25389741447247416</v>
      </c>
      <c r="C26" s="18">
        <f>'Cleaned Data'!C30/'Cleaned Data'!C52</f>
        <v>0.25562139465526035</v>
      </c>
      <c r="D26" s="18">
        <f>'Cleaned Data'!D30/'Cleaned Data'!D52</f>
        <v>0.26751513326474219</v>
      </c>
      <c r="E26" s="18">
        <f>'Cleaned Data'!E30/'Cleaned Data'!E52</f>
        <v>0.4542165755037042</v>
      </c>
      <c r="F26" s="18">
        <f>'Cleaned Data'!F30/'Cleaned Data'!F52</f>
        <v>0.46459058564988681</v>
      </c>
      <c r="G26" s="18">
        <f>'Cleaned Data'!G30/'Cleaned Data'!G52</f>
        <v>0.44280242199128111</v>
      </c>
      <c r="H26" s="18">
        <f>'Cleaned Data'!H30/'Cleaned Data'!H52</f>
        <v>0.46342546452077643</v>
      </c>
      <c r="I26" s="18">
        <f>'Cleaned Data'!I30/'Cleaned Data'!I52</f>
        <v>0.48753501159893464</v>
      </c>
      <c r="J26" s="18">
        <f>'Cleaned Data'!J30/'Cleaned Data'!J52</f>
        <v>0.37514233632708133</v>
      </c>
      <c r="K26" s="18">
        <f>'Cleaned Data'!K30/'Cleaned Data'!K52</f>
        <v>0.34826449673891152</v>
      </c>
      <c r="L26" s="16"/>
    </row>
    <row r="27" spans="1:16" x14ac:dyDescent="0.25">
      <c r="A27" s="16" t="s">
        <v>135</v>
      </c>
      <c r="B27" s="18">
        <f>'Cleaned Data'!B38/'Cleaned Data'!B30</f>
        <v>3.9381188593797973</v>
      </c>
      <c r="C27" s="18">
        <f>'Cleaned Data'!C38/'Cleaned Data'!C30</f>
        <v>3.9115404042905109</v>
      </c>
      <c r="D27" s="18">
        <f>'Cleaned Data'!D38/'Cleaned Data'!D30</f>
        <v>3.7375851412550096</v>
      </c>
      <c r="E27" s="18">
        <f>'Cleaned Data'!E38/'Cleaned Data'!E30</f>
        <v>2.2013207249288191</v>
      </c>
      <c r="F27" s="18">
        <f>'Cleaned Data'!F38/'Cleaned Data'!F30</f>
        <v>2.1521404202199035</v>
      </c>
      <c r="G27" s="18">
        <f>'Cleaned Data'!G38/'Cleaned Data'!G30</f>
        <v>2.2580117463582972</v>
      </c>
      <c r="H27" s="18">
        <f>'Cleaned Data'!H38/'Cleaned Data'!H30</f>
        <v>2.1574894245237486</v>
      </c>
      <c r="I27" s="18">
        <f>'Cleaned Data'!I38/'Cleaned Data'!I30</f>
        <v>2.0507822825945206</v>
      </c>
      <c r="J27" s="18">
        <f>'Cleaned Data'!J38/'Cleaned Data'!J30</f>
        <v>2.6652327176781005</v>
      </c>
      <c r="K27" s="18">
        <f>'Cleaned Data'!K38/'Cleaned Data'!K30</f>
        <v>2.8708247841148569</v>
      </c>
      <c r="L27" s="1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B3C3E05A-C140-4203-8AE2-D71378CACA2D}">
          <x14:colorSeries rgb="FF376092"/>
          <x14:colorNegative rgb="FFD00000"/>
          <x14:colorAxis rgb="FF000000"/>
          <x14:colorMarkers rgb="FFD00000"/>
          <x14:colorFirst rgb="FFD00000"/>
          <x14:colorLast rgb="FFD00000"/>
          <x14:colorHigh rgb="FFD00000"/>
          <x14:colorLow rgb="FFD00000"/>
          <x14:sparklines>
            <x14:sparkline>
              <xm:f>'Ratio Analysis'!B6:K6</xm:f>
              <xm:sqref>L6</xm:sqref>
            </x14:sparkline>
          </x14:sparklines>
        </x14:sparklineGroup>
        <x14:sparklineGroup displayEmptyCellsAs="gap" xr2:uid="{22246B88-7EAA-4E03-B32F-9B1C49EC859E}">
          <x14:colorSeries rgb="FF376092"/>
          <x14:colorNegative rgb="FFD00000"/>
          <x14:colorAxis rgb="FF000000"/>
          <x14:colorMarkers rgb="FFD00000"/>
          <x14:colorFirst rgb="FFD00000"/>
          <x14:colorLast rgb="FFD00000"/>
          <x14:colorHigh rgb="FFD00000"/>
          <x14:colorLow rgb="FFD00000"/>
          <x14:sparklines>
            <x14:sparkline>
              <xm:f>'Ratio Analysis'!B5:K5</xm:f>
              <xm:sqref>L5</xm:sqref>
            </x14:sparkline>
          </x14:sparklines>
        </x14:sparklineGroup>
        <x14:sparklineGroup displayEmptyCellsAs="gap" xr2:uid="{AAED47BE-3FDA-4CC2-8E89-0C76F8C6F028}">
          <x14:colorSeries rgb="FF376092"/>
          <x14:colorNegative rgb="FFD00000"/>
          <x14:colorAxis rgb="FF000000"/>
          <x14:colorMarkers rgb="FFD00000"/>
          <x14:colorFirst rgb="FFD00000"/>
          <x14:colorLast rgb="FFD00000"/>
          <x14:colorHigh rgb="FFD00000"/>
          <x14:colorLow rgb="FFD00000"/>
          <x14:sparklines>
            <x14:sparkline>
              <xm:f>'Ratio Analysis'!B4:K4</xm:f>
              <xm:sqref>L4</xm:sqref>
            </x14:sparkline>
          </x14:sparklines>
        </x14:sparklineGroup>
        <x14:sparklineGroup displayEmptyCellsAs="gap" xr2:uid="{8E6655A9-1F6B-4F59-B55E-ED18DA5EA826}">
          <x14:colorSeries rgb="FF376092"/>
          <x14:colorNegative rgb="FFD00000"/>
          <x14:colorAxis rgb="FF000000"/>
          <x14:colorMarkers rgb="FFD00000"/>
          <x14:colorFirst rgb="FFD00000"/>
          <x14:colorLast rgb="FFD00000"/>
          <x14:colorHigh rgb="FFD00000"/>
          <x14:colorLow rgb="FFD00000"/>
          <x14:sparklines>
            <x14:sparkline>
              <xm:f>'Ratio Analysis'!B7:K7</xm:f>
              <xm:sqref>L7</xm:sqref>
            </x14:sparkline>
          </x14:sparklines>
        </x14:sparklineGroup>
        <x14:sparklineGroup displayEmptyCellsAs="gap" xr2:uid="{1CF14632-1A91-40FC-846A-1C11E025B4BC}">
          <x14:colorSeries rgb="FF376092"/>
          <x14:colorNegative rgb="FFD00000"/>
          <x14:colorAxis rgb="FF000000"/>
          <x14:colorMarkers rgb="FFD00000"/>
          <x14:colorFirst rgb="FFD00000"/>
          <x14:colorLast rgb="FFD00000"/>
          <x14:colorHigh rgb="FFD00000"/>
          <x14:colorLow rgb="FFD00000"/>
          <x14:sparklines>
            <x14:sparkline>
              <xm:f>'Ratio Analysis'!B8:K8</xm:f>
              <xm:sqref>L8</xm:sqref>
            </x14:sparkline>
          </x14:sparklines>
        </x14:sparklineGroup>
        <x14:sparklineGroup displayEmptyCellsAs="gap" xr2:uid="{F9842354-A058-4EB2-9193-5BC4B6650F9F}">
          <x14:colorSeries rgb="FF376092"/>
          <x14:colorNegative rgb="FFD00000"/>
          <x14:colorAxis rgb="FF000000"/>
          <x14:colorMarkers rgb="FFD00000"/>
          <x14:colorFirst rgb="FFD00000"/>
          <x14:colorLast rgb="FFD00000"/>
          <x14:colorHigh rgb="FFD00000"/>
          <x14:colorLow rgb="FFD00000"/>
          <x14:sparklines>
            <x14:sparkline>
              <xm:f>'Ratio Analysis'!B11:K11</xm:f>
              <xm:sqref>L11</xm:sqref>
            </x14:sparkline>
          </x14:sparklines>
        </x14:sparklineGroup>
        <x14:sparklineGroup displayEmptyCellsAs="gap" xr2:uid="{008D904D-8598-4BBC-B1CF-33499E6C51FD}">
          <x14:colorSeries rgb="FF376092"/>
          <x14:colorNegative rgb="FFD00000"/>
          <x14:colorAxis rgb="FF000000"/>
          <x14:colorMarkers rgb="FFD00000"/>
          <x14:colorFirst rgb="FFD00000"/>
          <x14:colorLast rgb="FFD00000"/>
          <x14:colorHigh rgb="FFD00000"/>
          <x14:colorLow rgb="FFD00000"/>
          <x14:sparklines>
            <x14:sparkline>
              <xm:f>'Ratio Analysis'!B12:K12</xm:f>
              <xm:sqref>L12</xm:sqref>
            </x14:sparkline>
          </x14:sparklines>
        </x14:sparklineGroup>
        <x14:sparklineGroup displayEmptyCellsAs="gap" xr2:uid="{46D1ED02-EBE1-4281-9FC1-F6FF167C9442}">
          <x14:colorSeries rgb="FF376092"/>
          <x14:colorNegative rgb="FFD00000"/>
          <x14:colorAxis rgb="FF000000"/>
          <x14:colorMarkers rgb="FFD00000"/>
          <x14:colorFirst rgb="FFD00000"/>
          <x14:colorLast rgb="FFD00000"/>
          <x14:colorHigh rgb="FFD00000"/>
          <x14:colorLow rgb="FFD00000"/>
          <x14:sparklines>
            <x14:sparkline>
              <xm:f>'Ratio Analysis'!B13:K13</xm:f>
              <xm:sqref>L13</xm:sqref>
            </x14:sparkline>
          </x14:sparklines>
        </x14:sparklineGroup>
        <x14:sparklineGroup displayEmptyCellsAs="gap" xr2:uid="{473354FE-1A8C-4583-B6C8-8FE91E5FC79D}">
          <x14:colorSeries rgb="FF376092"/>
          <x14:colorNegative rgb="FFD00000"/>
          <x14:colorAxis rgb="FF000000"/>
          <x14:colorMarkers rgb="FFD00000"/>
          <x14:colorFirst rgb="FFD00000"/>
          <x14:colorLast rgb="FFD00000"/>
          <x14:colorHigh rgb="FFD00000"/>
          <x14:colorLow rgb="FFD00000"/>
          <x14:sparklines>
            <x14:sparkline>
              <xm:f>'Ratio Analysis'!B14:K14</xm:f>
              <xm:sqref>L14</xm:sqref>
            </x14:sparkline>
          </x14:sparklines>
        </x14:sparklineGroup>
        <x14:sparklineGroup displayEmptyCellsAs="gap" xr2:uid="{0AAB47B6-D3B7-4A68-B1A3-7F80FAB7C25B}">
          <x14:colorSeries rgb="FF376092"/>
          <x14:colorNegative rgb="FFD00000"/>
          <x14:colorAxis rgb="FF000000"/>
          <x14:colorMarkers rgb="FFD00000"/>
          <x14:colorFirst rgb="FFD00000"/>
          <x14:colorLast rgb="FFD00000"/>
          <x14:colorHigh rgb="FFD00000"/>
          <x14:colorLow rgb="FFD00000"/>
          <x14:sparklines>
            <x14:sparkline>
              <xm:f>'Ratio Analysis'!B17:K17</xm:f>
              <xm:sqref>L17</xm:sqref>
            </x14:sparkline>
          </x14:sparklines>
        </x14:sparklineGroup>
        <x14:sparklineGroup displayEmptyCellsAs="gap" xr2:uid="{E0CA8E7D-1E00-48E9-A703-B8AAEEE4F04C}">
          <x14:colorSeries rgb="FF376092"/>
          <x14:colorNegative rgb="FFD00000"/>
          <x14:colorAxis rgb="FF000000"/>
          <x14:colorMarkers rgb="FFD00000"/>
          <x14:colorFirst rgb="FFD00000"/>
          <x14:colorLast rgb="FFD00000"/>
          <x14:colorHigh rgb="FFD00000"/>
          <x14:colorLow rgb="FFD00000"/>
          <x14:sparklines>
            <x14:sparkline>
              <xm:f>'Ratio Analysis'!B18:K18</xm:f>
              <xm:sqref>L18</xm:sqref>
            </x14:sparkline>
          </x14:sparklines>
        </x14:sparklineGroup>
        <x14:sparklineGroup displayEmptyCellsAs="gap" xr2:uid="{0AE2337B-5692-4CCC-842A-56D9DCBD5FBA}">
          <x14:colorSeries rgb="FF376092"/>
          <x14:colorNegative rgb="FFD00000"/>
          <x14:colorAxis rgb="FF000000"/>
          <x14:colorMarkers rgb="FFD00000"/>
          <x14:colorFirst rgb="FFD00000"/>
          <x14:colorLast rgb="FFD00000"/>
          <x14:colorHigh rgb="FFD00000"/>
          <x14:colorLow rgb="FFD00000"/>
          <x14:sparklines>
            <x14:sparkline>
              <xm:f>'Ratio Analysis'!B19:K19</xm:f>
              <xm:sqref>L19</xm:sqref>
            </x14:sparkline>
          </x14:sparklines>
        </x14:sparklineGroup>
        <x14:sparklineGroup displayEmptyCellsAs="gap" xr2:uid="{0C05C02A-2502-4E29-89E2-A1352FE81AC4}">
          <x14:colorSeries rgb="FF376092"/>
          <x14:colorNegative rgb="FFD00000"/>
          <x14:colorAxis rgb="FF000000"/>
          <x14:colorMarkers rgb="FFD00000"/>
          <x14:colorFirst rgb="FFD00000"/>
          <x14:colorLast rgb="FFD00000"/>
          <x14:colorHigh rgb="FFD00000"/>
          <x14:colorLow rgb="FFD00000"/>
          <x14:sparklines>
            <x14:sparkline>
              <xm:f>'Ratio Analysis'!B20:K20</xm:f>
              <xm:sqref>L20</xm:sqref>
            </x14:sparkline>
          </x14:sparklines>
        </x14:sparklineGroup>
        <x14:sparklineGroup displayEmptyCellsAs="gap" xr2:uid="{AB506804-B8E9-4720-909C-E943D49D1CF6}">
          <x14:colorSeries rgb="FF376092"/>
          <x14:colorNegative rgb="FFD00000"/>
          <x14:colorAxis rgb="FF000000"/>
          <x14:colorMarkers rgb="FFD00000"/>
          <x14:colorFirst rgb="FFD00000"/>
          <x14:colorLast rgb="FFD00000"/>
          <x14:colorHigh rgb="FFD00000"/>
          <x14:colorLow rgb="FFD00000"/>
          <x14:sparklines>
            <x14:sparkline>
              <xm:f>'Ratio Analysis'!B21:K21</xm:f>
              <xm:sqref>L21</xm:sqref>
            </x14:sparkline>
          </x14:sparklines>
        </x14:sparklineGroup>
        <x14:sparklineGroup displayEmptyCellsAs="gap" xr2:uid="{11931E3C-263A-4E46-9294-EAC3CC48EBD3}">
          <x14:colorSeries rgb="FF376092"/>
          <x14:colorNegative rgb="FFD00000"/>
          <x14:colorAxis rgb="FF000000"/>
          <x14:colorMarkers rgb="FFD00000"/>
          <x14:colorFirst rgb="FFD00000"/>
          <x14:colorLast rgb="FFD00000"/>
          <x14:colorHigh rgb="FFD00000"/>
          <x14:colorLow rgb="FFD00000"/>
          <x14:sparklines>
            <x14:sparkline>
              <xm:f>'Ratio Analysis'!B22:K22</xm:f>
              <xm:sqref>L22</xm:sqref>
            </x14:sparkline>
          </x14:sparklines>
        </x14:sparklineGroup>
        <x14:sparklineGroup displayEmptyCellsAs="gap" xr2:uid="{7C3C5752-DB47-4038-890E-906671DB0112}">
          <x14:colorSeries rgb="FF376092"/>
          <x14:colorNegative rgb="FFD00000"/>
          <x14:colorAxis rgb="FF000000"/>
          <x14:colorMarkers rgb="FFD00000"/>
          <x14:colorFirst rgb="FFD00000"/>
          <x14:colorLast rgb="FFD00000"/>
          <x14:colorHigh rgb="FFD00000"/>
          <x14:colorLow rgb="FFD00000"/>
          <x14:sparklines>
            <x14:sparkline>
              <xm:f>'Ratio Analysis'!B25:K25</xm:f>
              <xm:sqref>L25</xm:sqref>
            </x14:sparkline>
          </x14:sparklines>
        </x14:sparklineGroup>
        <x14:sparklineGroup displayEmptyCellsAs="gap" xr2:uid="{32CF6F83-8A8E-4A87-9DF7-709192823EE8}">
          <x14:colorSeries rgb="FF376092"/>
          <x14:colorNegative rgb="FFD00000"/>
          <x14:colorAxis rgb="FF000000"/>
          <x14:colorMarkers rgb="FFD00000"/>
          <x14:colorFirst rgb="FFD00000"/>
          <x14:colorLast rgb="FFD00000"/>
          <x14:colorHigh rgb="FFD00000"/>
          <x14:colorLow rgb="FFD00000"/>
          <x14:sparklines>
            <x14:sparkline>
              <xm:f>'Ratio Analysis'!B26:K26</xm:f>
              <xm:sqref>L26</xm:sqref>
            </x14:sparkline>
          </x14:sparklines>
        </x14:sparklineGroup>
        <x14:sparklineGroup displayEmptyCellsAs="gap" xr2:uid="{39C3C03A-3E90-42BA-AF53-349E8A6532D5}">
          <x14:colorSeries rgb="FF376092"/>
          <x14:colorNegative rgb="FFD00000"/>
          <x14:colorAxis rgb="FF000000"/>
          <x14:colorMarkers rgb="FFD00000"/>
          <x14:colorFirst rgb="FFD00000"/>
          <x14:colorLast rgb="FFD00000"/>
          <x14:colorHigh rgb="FFD00000"/>
          <x14:colorLow rgb="FFD00000"/>
          <x14:sparklines>
            <x14:sparkline>
              <xm:f>'Ratio Analysis'!B27:K27</xm:f>
              <xm:sqref>L27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8024A-0D02-49E9-82B4-72CAC2461F11}">
  <sheetPr>
    <tabColor theme="7" tint="-0.249977111117893"/>
  </sheetPr>
  <dimension ref="A1:Q72"/>
  <sheetViews>
    <sheetView workbookViewId="0">
      <pane ySplit="1" topLeftCell="A43" activePane="bottomLeft" state="frozen"/>
      <selection pane="bottomLeft" activeCell="D53" sqref="D53"/>
    </sheetView>
  </sheetViews>
  <sheetFormatPr defaultRowHeight="15" x14ac:dyDescent="0.25"/>
  <cols>
    <col min="1" max="1" width="35.85546875" customWidth="1"/>
    <col min="2" max="2" width="17.5703125" customWidth="1"/>
    <col min="3" max="3" width="12.140625" customWidth="1"/>
    <col min="4" max="4" width="11" customWidth="1"/>
    <col min="5" max="5" width="12.7109375" customWidth="1"/>
    <col min="6" max="6" width="14.7109375" bestFit="1" customWidth="1"/>
    <col min="7" max="7" width="10.5703125" customWidth="1"/>
    <col min="8" max="8" width="11.140625" customWidth="1"/>
    <col min="9" max="9" width="11" customWidth="1"/>
    <col min="10" max="10" width="10.5703125" customWidth="1"/>
    <col min="11" max="11" width="11.7109375" customWidth="1"/>
    <col min="12" max="13" width="11.5703125" customWidth="1"/>
    <col min="14" max="15" width="10.85546875" customWidth="1"/>
    <col min="16" max="16" width="11" customWidth="1"/>
    <col min="17" max="17" width="11.28515625" customWidth="1"/>
  </cols>
  <sheetData>
    <row r="1" spans="1:17" x14ac:dyDescent="0.25">
      <c r="A1" s="50" t="s">
        <v>141</v>
      </c>
      <c r="B1" s="25">
        <v>46752</v>
      </c>
      <c r="C1" s="25">
        <v>46387</v>
      </c>
      <c r="D1" s="25">
        <v>46022</v>
      </c>
      <c r="E1" s="25">
        <v>45657</v>
      </c>
      <c r="F1" s="25">
        <v>45291</v>
      </c>
      <c r="G1" s="25">
        <v>44926</v>
      </c>
      <c r="H1" s="25">
        <v>44561</v>
      </c>
      <c r="I1" s="25">
        <v>44196</v>
      </c>
      <c r="J1" s="25">
        <v>43830</v>
      </c>
      <c r="K1" s="25">
        <v>43465</v>
      </c>
      <c r="L1" s="25">
        <v>43100</v>
      </c>
      <c r="M1" s="25">
        <v>42735</v>
      </c>
      <c r="N1" s="25">
        <v>42369</v>
      </c>
      <c r="O1" s="25">
        <v>42004</v>
      </c>
      <c r="P1" s="25">
        <v>41639</v>
      </c>
      <c r="Q1" s="25">
        <v>41274</v>
      </c>
    </row>
    <row r="2" spans="1:17" x14ac:dyDescent="0.25">
      <c r="B2" s="12"/>
      <c r="C2" s="12"/>
      <c r="D2" s="12"/>
      <c r="E2" s="12"/>
      <c r="F2" s="12"/>
      <c r="G2" s="12"/>
      <c r="H2" s="12"/>
      <c r="I2" s="12"/>
      <c r="J2" s="12"/>
      <c r="K2" s="12"/>
      <c r="L2" s="12"/>
      <c r="M2" s="12"/>
      <c r="N2" s="12"/>
      <c r="O2" s="12"/>
      <c r="P2" s="12"/>
      <c r="Q2" s="12"/>
    </row>
    <row r="3" spans="1:17" x14ac:dyDescent="0.25">
      <c r="A3" s="8" t="s">
        <v>11</v>
      </c>
      <c r="B3" s="10">
        <f t="shared" ref="B3:F3" si="0">C3*(1+B7)</f>
        <v>29040.165741673434</v>
      </c>
      <c r="C3" s="10">
        <f t="shared" si="0"/>
        <v>25501.371093026999</v>
      </c>
      <c r="D3" s="10">
        <f t="shared" si="0"/>
        <v>22561.161253894745</v>
      </c>
      <c r="E3" s="10">
        <f t="shared" si="0"/>
        <v>20049.790220905168</v>
      </c>
      <c r="F3" s="10">
        <f t="shared" si="0"/>
        <v>17979.961391526584</v>
      </c>
      <c r="G3" s="10">
        <f>H3*(1+G7)</f>
        <v>16160.453396254523</v>
      </c>
      <c r="H3" s="23">
        <f>'Cleaned Data'!B3</f>
        <v>14709.41</v>
      </c>
      <c r="I3" s="23">
        <f>'Cleaned Data'!C3</f>
        <v>13350.03</v>
      </c>
      <c r="J3" s="23">
        <f>'Cleaned Data'!D3</f>
        <v>12368.9</v>
      </c>
      <c r="K3" s="23">
        <f>'Cleaned Data'!E3</f>
        <v>11292.27</v>
      </c>
      <c r="L3" s="23">
        <f>'Cleaned Data'!F3</f>
        <v>10009.6</v>
      </c>
      <c r="M3" s="23">
        <f>'Cleaned Data'!G3</f>
        <v>9223.7999999999993</v>
      </c>
      <c r="N3" s="23">
        <f>'Cleaned Data'!H3</f>
        <v>8175.31</v>
      </c>
      <c r="O3" s="23">
        <f>'Cleaned Data'!I3</f>
        <v>9854.84</v>
      </c>
      <c r="P3" s="23">
        <f>'Cleaned Data'!J3</f>
        <v>9101.0499999999993</v>
      </c>
      <c r="Q3" s="23">
        <f>'Cleaned Data'!K3</f>
        <v>8334.5300000000007</v>
      </c>
    </row>
    <row r="4" spans="1:17" x14ac:dyDescent="0.25">
      <c r="A4" t="s">
        <v>137</v>
      </c>
      <c r="B4" s="20">
        <f t="shared" ref="B4:G4" si="1">B3/C3-1</f>
        <v>0.13876879936130448</v>
      </c>
      <c r="C4" s="20">
        <f t="shared" si="1"/>
        <v>0.13032174213216452</v>
      </c>
      <c r="D4" s="20">
        <f t="shared" si="1"/>
        <v>0.12525672365245311</v>
      </c>
      <c r="E4" s="20">
        <f t="shared" si="1"/>
        <v>0.11511864704859898</v>
      </c>
      <c r="F4" s="20">
        <f t="shared" si="1"/>
        <v>0.11259015763095892</v>
      </c>
      <c r="G4" s="20">
        <f t="shared" si="1"/>
        <v>9.8647287433997866E-2</v>
      </c>
      <c r="H4" s="20">
        <f>H3/I3-1</f>
        <v>0.10182598840601842</v>
      </c>
      <c r="I4" s="20">
        <f t="shared" ref="I4:P4" si="2">I3/J3-1</f>
        <v>7.932233262456645E-2</v>
      </c>
      <c r="J4" s="20">
        <f t="shared" si="2"/>
        <v>9.5342211973323376E-2</v>
      </c>
      <c r="K4" s="20">
        <f t="shared" si="2"/>
        <v>0.12814398177749364</v>
      </c>
      <c r="L4" s="20">
        <f t="shared" si="2"/>
        <v>8.5192653786942518E-2</v>
      </c>
      <c r="M4" s="20">
        <f t="shared" si="2"/>
        <v>0.12825079415948748</v>
      </c>
      <c r="N4" s="20">
        <f t="shared" si="2"/>
        <v>-0.17042691712904523</v>
      </c>
      <c r="O4" s="20">
        <f t="shared" si="2"/>
        <v>8.2824509259920687E-2</v>
      </c>
      <c r="P4" s="20">
        <f t="shared" si="2"/>
        <v>9.1969193223852885E-2</v>
      </c>
      <c r="Q4" s="20"/>
    </row>
    <row r="5" spans="1:17" x14ac:dyDescent="0.25">
      <c r="A5" t="s">
        <v>138</v>
      </c>
      <c r="B5" s="21">
        <f t="shared" ref="B5:F5" si="3">AVERAGE(C4,D4,E4)</f>
        <v>0.12356570427773887</v>
      </c>
      <c r="C5" s="21">
        <f t="shared" si="3"/>
        <v>0.11765517611067033</v>
      </c>
      <c r="D5" s="21">
        <f t="shared" si="3"/>
        <v>0.10878536403785193</v>
      </c>
      <c r="E5" s="21">
        <f t="shared" si="3"/>
        <v>0.10435447782365841</v>
      </c>
      <c r="F5" s="21">
        <f t="shared" si="3"/>
        <v>9.3265202821527574E-2</v>
      </c>
      <c r="G5" s="21">
        <f>AVERAGE(H4,I4,J4)</f>
        <v>9.2163511001302753E-2</v>
      </c>
      <c r="H5" s="21"/>
      <c r="I5" s="21"/>
      <c r="J5" s="21"/>
      <c r="K5" s="21"/>
      <c r="L5" s="21"/>
      <c r="M5" s="21"/>
      <c r="N5" s="21"/>
      <c r="O5" s="21"/>
      <c r="P5" s="21"/>
      <c r="Q5" s="21"/>
    </row>
    <row r="6" spans="1:17" x14ac:dyDescent="0.25">
      <c r="A6" t="s">
        <v>139</v>
      </c>
      <c r="B6">
        <v>1</v>
      </c>
      <c r="C6">
        <v>2</v>
      </c>
      <c r="D6">
        <v>3</v>
      </c>
      <c r="E6">
        <v>4</v>
      </c>
      <c r="F6">
        <v>5</v>
      </c>
      <c r="G6">
        <v>6</v>
      </c>
      <c r="H6">
        <v>7</v>
      </c>
      <c r="I6">
        <v>8</v>
      </c>
      <c r="J6">
        <v>9</v>
      </c>
    </row>
    <row r="7" spans="1:17" x14ac:dyDescent="0.25">
      <c r="A7" s="6" t="s">
        <v>140</v>
      </c>
      <c r="B7" s="9">
        <f t="shared" ref="B7:F7" si="4">FORECAST(B6,C4:E4,C6:E6)</f>
        <v>0.13876879936130443</v>
      </c>
      <c r="C7" s="9">
        <f t="shared" si="4"/>
        <v>0.13032174213216452</v>
      </c>
      <c r="D7" s="9">
        <f t="shared" si="4"/>
        <v>0.12525672365245305</v>
      </c>
      <c r="E7" s="9">
        <f t="shared" si="4"/>
        <v>0.11511864704859892</v>
      </c>
      <c r="F7" s="9">
        <f t="shared" si="4"/>
        <v>0.11259015763095898</v>
      </c>
      <c r="G7" s="9">
        <f>FORECAST(G6,H4:J4,H6:J6)</f>
        <v>9.8647287433997796E-2</v>
      </c>
    </row>
    <row r="9" spans="1:17" x14ac:dyDescent="0.25">
      <c r="A9" s="7" t="s">
        <v>141</v>
      </c>
      <c r="B9" s="7">
        <v>46752</v>
      </c>
      <c r="C9" s="7">
        <v>46387</v>
      </c>
      <c r="D9" s="7">
        <v>46022</v>
      </c>
      <c r="E9" s="7">
        <v>45657</v>
      </c>
      <c r="F9" s="7">
        <v>45291</v>
      </c>
      <c r="G9" s="7">
        <v>44926</v>
      </c>
      <c r="H9" s="7">
        <v>44561</v>
      </c>
      <c r="I9" s="7">
        <v>44196</v>
      </c>
      <c r="J9" s="7">
        <v>43830</v>
      </c>
      <c r="K9" s="7">
        <v>43465</v>
      </c>
      <c r="L9" s="7">
        <v>43100</v>
      </c>
      <c r="M9" s="7">
        <v>42735</v>
      </c>
      <c r="N9" s="7">
        <v>42369</v>
      </c>
      <c r="O9" s="7">
        <v>42004</v>
      </c>
      <c r="P9" s="7">
        <v>41639</v>
      </c>
      <c r="Q9" s="7">
        <v>41274</v>
      </c>
    </row>
    <row r="10" spans="1:17" x14ac:dyDescent="0.25">
      <c r="A10" t="s">
        <v>11</v>
      </c>
      <c r="B10">
        <f>B3</f>
        <v>29040.165741673434</v>
      </c>
      <c r="C10">
        <f t="shared" ref="C10:Q10" si="5">C3</f>
        <v>25501.371093026999</v>
      </c>
      <c r="D10">
        <f t="shared" si="5"/>
        <v>22561.161253894745</v>
      </c>
      <c r="E10">
        <f t="shared" si="5"/>
        <v>20049.790220905168</v>
      </c>
      <c r="F10">
        <f t="shared" si="5"/>
        <v>17979.961391526584</v>
      </c>
      <c r="G10">
        <f t="shared" si="5"/>
        <v>16160.453396254523</v>
      </c>
      <c r="H10">
        <f t="shared" si="5"/>
        <v>14709.41</v>
      </c>
      <c r="I10">
        <f t="shared" si="5"/>
        <v>13350.03</v>
      </c>
      <c r="J10">
        <f t="shared" si="5"/>
        <v>12368.9</v>
      </c>
      <c r="K10">
        <f t="shared" si="5"/>
        <v>11292.27</v>
      </c>
      <c r="L10">
        <f t="shared" si="5"/>
        <v>10009.6</v>
      </c>
      <c r="M10">
        <f t="shared" si="5"/>
        <v>9223.7999999999993</v>
      </c>
      <c r="N10">
        <f t="shared" si="5"/>
        <v>8175.31</v>
      </c>
      <c r="O10">
        <f t="shared" si="5"/>
        <v>9854.84</v>
      </c>
      <c r="P10">
        <f t="shared" si="5"/>
        <v>9101.0499999999993</v>
      </c>
      <c r="Q10">
        <f t="shared" si="5"/>
        <v>8334.5300000000007</v>
      </c>
    </row>
    <row r="12" spans="1:17" x14ac:dyDescent="0.25">
      <c r="A12" s="8" t="s">
        <v>21</v>
      </c>
      <c r="B12" s="23">
        <f t="shared" ref="B12:G12" si="6">B10*B14</f>
        <v>22194.514348834753</v>
      </c>
      <c r="C12" s="23">
        <f t="shared" si="6"/>
        <v>19488.922627801552</v>
      </c>
      <c r="D12" s="23">
        <f t="shared" si="6"/>
        <v>17256.76348378064</v>
      </c>
      <c r="E12" s="23">
        <f t="shared" si="6"/>
        <v>15311.827755583048</v>
      </c>
      <c r="F12" s="23">
        <f t="shared" si="6"/>
        <v>13738.720303920345</v>
      </c>
      <c r="G12" s="23">
        <f t="shared" si="6"/>
        <v>12392.824643913689</v>
      </c>
      <c r="H12" s="23">
        <v>11180.57</v>
      </c>
      <c r="I12" s="23">
        <v>10217.86</v>
      </c>
      <c r="J12" s="23">
        <v>9587.2099999999991</v>
      </c>
      <c r="K12" s="23">
        <v>8680.6299999999992</v>
      </c>
      <c r="L12" s="23">
        <v>7992.63</v>
      </c>
      <c r="M12" s="23">
        <v>7523.16</v>
      </c>
      <c r="N12" s="23">
        <v>6608.41</v>
      </c>
      <c r="O12" s="23">
        <v>7890.47</v>
      </c>
      <c r="P12" s="23">
        <v>7048.15</v>
      </c>
      <c r="Q12" s="23">
        <v>6601.21</v>
      </c>
    </row>
    <row r="13" spans="1:17" x14ac:dyDescent="0.25">
      <c r="A13" t="s">
        <v>142</v>
      </c>
      <c r="B13">
        <f t="shared" ref="B13:Q13" si="7">B12/B10</f>
        <v>0.76426954812399761</v>
      </c>
      <c r="C13">
        <f t="shared" si="7"/>
        <v>0.76423038419022615</v>
      </c>
      <c r="D13">
        <f t="shared" si="7"/>
        <v>0.76488808752260462</v>
      </c>
      <c r="E13">
        <f t="shared" si="7"/>
        <v>0.76369017265916217</v>
      </c>
      <c r="F13">
        <f t="shared" si="7"/>
        <v>0.764112892388912</v>
      </c>
      <c r="G13">
        <f t="shared" si="7"/>
        <v>0.7668611975197398</v>
      </c>
      <c r="H13">
        <f t="shared" si="7"/>
        <v>0.76009642806883482</v>
      </c>
      <c r="I13">
        <f t="shared" si="7"/>
        <v>0.76538105157816128</v>
      </c>
      <c r="J13">
        <f t="shared" si="7"/>
        <v>0.77510611291222331</v>
      </c>
      <c r="K13">
        <f t="shared" si="7"/>
        <v>0.76872320622868551</v>
      </c>
      <c r="L13">
        <f t="shared" si="7"/>
        <v>0.79849644341432224</v>
      </c>
      <c r="M13">
        <f t="shared" si="7"/>
        <v>0.81562479672152477</v>
      </c>
      <c r="N13">
        <f t="shared" si="7"/>
        <v>0.80833754316350082</v>
      </c>
      <c r="O13">
        <f t="shared" si="7"/>
        <v>0.80066951873394188</v>
      </c>
      <c r="P13">
        <f t="shared" si="7"/>
        <v>0.77443262041193051</v>
      </c>
      <c r="Q13">
        <f t="shared" si="7"/>
        <v>0.7920314642817291</v>
      </c>
    </row>
    <row r="14" spans="1:17" x14ac:dyDescent="0.25">
      <c r="A14" t="s">
        <v>138</v>
      </c>
      <c r="B14">
        <f t="shared" ref="B14:F14" si="8">AVERAGE(C13,D13,E13)</f>
        <v>0.76426954812399772</v>
      </c>
      <c r="C14">
        <f t="shared" si="8"/>
        <v>0.76423038419022626</v>
      </c>
      <c r="D14">
        <f t="shared" si="8"/>
        <v>0.76488808752260462</v>
      </c>
      <c r="E14">
        <f t="shared" si="8"/>
        <v>0.76369017265916217</v>
      </c>
      <c r="F14">
        <f t="shared" si="8"/>
        <v>0.764112892388912</v>
      </c>
      <c r="G14">
        <f>AVERAGE(H13,I13,J13)</f>
        <v>0.7668611975197398</v>
      </c>
    </row>
    <row r="16" spans="1:17" x14ac:dyDescent="0.25">
      <c r="A16" s="8" t="s">
        <v>45</v>
      </c>
      <c r="B16" s="8">
        <f t="shared" ref="B16:G16" si="9">B10*B18</f>
        <v>7173.5577426968393</v>
      </c>
      <c r="C16" s="8">
        <f t="shared" si="9"/>
        <v>6358.9936843204623</v>
      </c>
      <c r="D16" s="8">
        <f t="shared" si="9"/>
        <v>5739.0326180754855</v>
      </c>
      <c r="E16" s="8">
        <f t="shared" si="9"/>
        <v>4758.4215564530177</v>
      </c>
      <c r="F16" s="8">
        <f t="shared" si="9"/>
        <v>4609.5189207736848</v>
      </c>
      <c r="G16" s="8">
        <f t="shared" si="9"/>
        <v>4354.1096413945952</v>
      </c>
      <c r="H16" s="24">
        <v>2738.76</v>
      </c>
      <c r="I16" s="24">
        <v>4185.08</v>
      </c>
      <c r="J16" s="24">
        <v>3817.17</v>
      </c>
      <c r="K16" s="24">
        <v>4736.95</v>
      </c>
      <c r="L16" s="24">
        <v>3937.39</v>
      </c>
      <c r="M16" s="24">
        <v>3278.99</v>
      </c>
      <c r="N16" s="24">
        <v>2479.61</v>
      </c>
      <c r="O16" s="24">
        <v>1963.67</v>
      </c>
      <c r="P16" s="24">
        <v>2301.7199999999998</v>
      </c>
      <c r="Q16" s="24">
        <v>1490.12</v>
      </c>
    </row>
    <row r="17" spans="1:17" x14ac:dyDescent="0.25">
      <c r="A17" t="s">
        <v>143</v>
      </c>
      <c r="B17">
        <f t="shared" ref="B17:Q17" si="10">B16/B10</f>
        <v>0.24702192840458162</v>
      </c>
      <c r="C17">
        <f t="shared" si="10"/>
        <v>0.24935889372862943</v>
      </c>
      <c r="D17">
        <f t="shared" si="10"/>
        <v>0.25437664992021425</v>
      </c>
      <c r="E17">
        <f t="shared" si="10"/>
        <v>0.23733024156490121</v>
      </c>
      <c r="F17">
        <f t="shared" si="10"/>
        <v>0.25636978970077284</v>
      </c>
      <c r="G17">
        <f t="shared" si="10"/>
        <v>0.26942991849496861</v>
      </c>
      <c r="H17">
        <f t="shared" si="10"/>
        <v>0.18619101649896225</v>
      </c>
      <c r="I17">
        <f t="shared" si="10"/>
        <v>0.31348843410838773</v>
      </c>
      <c r="J17">
        <f t="shared" si="10"/>
        <v>0.30861030487755581</v>
      </c>
      <c r="K17">
        <f t="shared" si="10"/>
        <v>0.41948607321645687</v>
      </c>
      <c r="L17">
        <f t="shared" si="10"/>
        <v>0.39336137308184138</v>
      </c>
      <c r="M17">
        <f t="shared" si="10"/>
        <v>0.35549231336325593</v>
      </c>
      <c r="N17">
        <f t="shared" si="10"/>
        <v>0.30330470648819435</v>
      </c>
      <c r="O17">
        <f t="shared" si="10"/>
        <v>0.1992594501787954</v>
      </c>
      <c r="P17">
        <f t="shared" si="10"/>
        <v>0.25290708214986185</v>
      </c>
      <c r="Q17">
        <f t="shared" si="10"/>
        <v>0.17878872593895515</v>
      </c>
    </row>
    <row r="18" spans="1:17" x14ac:dyDescent="0.25">
      <c r="A18" t="s">
        <v>138</v>
      </c>
      <c r="B18">
        <f t="shared" ref="B18:F18" si="11">AVERAGE(C17,D17,E17)</f>
        <v>0.24702192840458162</v>
      </c>
      <c r="C18">
        <f t="shared" si="11"/>
        <v>0.24935889372862943</v>
      </c>
      <c r="D18">
        <f t="shared" si="11"/>
        <v>0.25437664992021425</v>
      </c>
      <c r="E18">
        <f t="shared" si="11"/>
        <v>0.23733024156490123</v>
      </c>
      <c r="F18">
        <f t="shared" si="11"/>
        <v>0.25636978970077284</v>
      </c>
      <c r="G18">
        <f>AVERAGE(H17,I17,J17)</f>
        <v>0.26942991849496861</v>
      </c>
    </row>
    <row r="20" spans="1:17" x14ac:dyDescent="0.25">
      <c r="A20" s="8" t="s">
        <v>73</v>
      </c>
      <c r="B20" s="8">
        <f t="shared" ref="B20:G20" si="12">B10*B22</f>
        <v>5229.9816553134378</v>
      </c>
      <c r="C20" s="8">
        <f t="shared" si="12"/>
        <v>4600.4481852520576</v>
      </c>
      <c r="D20" s="8">
        <f t="shared" si="12"/>
        <v>4069.257101480332</v>
      </c>
      <c r="E20" s="8">
        <f t="shared" si="12"/>
        <v>3599.3114170085514</v>
      </c>
      <c r="F20" s="8">
        <f t="shared" si="12"/>
        <v>3260.0520595944167</v>
      </c>
      <c r="G20" s="8">
        <f t="shared" si="12"/>
        <v>2913.119701284385</v>
      </c>
      <c r="H20" s="8">
        <v>2603.2399999999998</v>
      </c>
      <c r="I20" s="8">
        <v>2492.5500000000002</v>
      </c>
      <c r="J20" s="8">
        <v>2190.5500000000002</v>
      </c>
      <c r="K20" s="8">
        <v>1854.95</v>
      </c>
      <c r="L20" s="8">
        <v>1492.71</v>
      </c>
      <c r="M20" s="8">
        <v>1632.7</v>
      </c>
      <c r="N20" s="8">
        <v>1475.73</v>
      </c>
      <c r="O20" s="8">
        <v>1355.45</v>
      </c>
      <c r="P20" s="8">
        <v>1347.18</v>
      </c>
      <c r="Q20" s="8">
        <v>1128.43</v>
      </c>
    </row>
    <row r="21" spans="1:17" x14ac:dyDescent="0.25">
      <c r="A21" t="s">
        <v>144</v>
      </c>
      <c r="B21">
        <f t="shared" ref="B21:Q21" si="13">B20/B10</f>
        <v>0.18009475916345308</v>
      </c>
      <c r="C21">
        <f t="shared" si="13"/>
        <v>0.18040003294214982</v>
      </c>
      <c r="D21">
        <f t="shared" si="13"/>
        <v>0.18036558737763794</v>
      </c>
      <c r="E21">
        <f t="shared" si="13"/>
        <v>0.17951865717057147</v>
      </c>
      <c r="F21">
        <f t="shared" si="13"/>
        <v>0.18131585427824007</v>
      </c>
      <c r="G21">
        <f t="shared" si="13"/>
        <v>0.18026225068410229</v>
      </c>
      <c r="H21">
        <f t="shared" si="13"/>
        <v>0.17697786654937211</v>
      </c>
      <c r="I21">
        <f t="shared" si="13"/>
        <v>0.18670744560124583</v>
      </c>
      <c r="J21">
        <f t="shared" si="13"/>
        <v>0.17710143990168895</v>
      </c>
      <c r="K21">
        <f t="shared" si="13"/>
        <v>0.164267237676747</v>
      </c>
      <c r="L21">
        <f t="shared" si="13"/>
        <v>0.14912783727621484</v>
      </c>
      <c r="M21">
        <f t="shared" si="13"/>
        <v>0.17700947548732629</v>
      </c>
      <c r="N21">
        <f t="shared" si="13"/>
        <v>0.18051058614291079</v>
      </c>
      <c r="O21">
        <f t="shared" si="13"/>
        <v>0.13754155318604869</v>
      </c>
      <c r="P21">
        <f t="shared" si="13"/>
        <v>0.14802467847116543</v>
      </c>
      <c r="Q21">
        <f t="shared" si="13"/>
        <v>0.13539215768615626</v>
      </c>
    </row>
    <row r="22" spans="1:17" x14ac:dyDescent="0.25">
      <c r="A22" t="s">
        <v>138</v>
      </c>
      <c r="B22">
        <f t="shared" ref="B22:F22" si="14">AVERAGE(C21,D21,E21)</f>
        <v>0.18009475916345308</v>
      </c>
      <c r="C22">
        <f t="shared" si="14"/>
        <v>0.18040003294214982</v>
      </c>
      <c r="D22">
        <f t="shared" si="14"/>
        <v>0.18036558737763794</v>
      </c>
      <c r="E22">
        <f t="shared" si="14"/>
        <v>0.17951865717057147</v>
      </c>
      <c r="F22">
        <f t="shared" si="14"/>
        <v>0.18131585427824007</v>
      </c>
      <c r="G22">
        <f>AVERAGE(H21,I21,J21)</f>
        <v>0.18026225068410229</v>
      </c>
    </row>
    <row r="24" spans="1:17" x14ac:dyDescent="0.25">
      <c r="A24" s="8" t="s">
        <v>124</v>
      </c>
      <c r="B24" s="8">
        <f>B16-B20</f>
        <v>1943.5760873834015</v>
      </c>
      <c r="C24" s="8">
        <f t="shared" ref="C24:Q24" si="15">C16-C20</f>
        <v>1758.5454990684048</v>
      </c>
      <c r="D24" s="8">
        <f t="shared" si="15"/>
        <v>1669.7755165951535</v>
      </c>
      <c r="E24" s="8">
        <f t="shared" si="15"/>
        <v>1159.1101394444663</v>
      </c>
      <c r="F24" s="8">
        <f t="shared" si="15"/>
        <v>1349.4668611792681</v>
      </c>
      <c r="G24" s="8">
        <f t="shared" si="15"/>
        <v>1440.9899401102102</v>
      </c>
      <c r="H24" s="8">
        <f t="shared" si="15"/>
        <v>135.52000000000044</v>
      </c>
      <c r="I24" s="8">
        <f t="shared" si="15"/>
        <v>1692.5299999999997</v>
      </c>
      <c r="J24" s="8">
        <f t="shared" si="15"/>
        <v>1626.62</v>
      </c>
      <c r="K24" s="8">
        <f t="shared" si="15"/>
        <v>2882</v>
      </c>
      <c r="L24" s="8">
        <f t="shared" si="15"/>
        <v>2444.6799999999998</v>
      </c>
      <c r="M24" s="8">
        <f t="shared" si="15"/>
        <v>1646.2899999999997</v>
      </c>
      <c r="N24" s="8">
        <f t="shared" si="15"/>
        <v>1003.8800000000001</v>
      </c>
      <c r="O24" s="8">
        <f t="shared" si="15"/>
        <v>608.22</v>
      </c>
      <c r="P24" s="8">
        <f t="shared" si="15"/>
        <v>954.53999999999974</v>
      </c>
      <c r="Q24" s="8">
        <f t="shared" si="15"/>
        <v>361.68999999999983</v>
      </c>
    </row>
    <row r="26" spans="1:17" x14ac:dyDescent="0.25">
      <c r="A26" s="8" t="s">
        <v>79</v>
      </c>
      <c r="B26" s="8">
        <f t="shared" ref="B26:F26" si="16">B10*B28</f>
        <v>6218.522532150846</v>
      </c>
      <c r="C26" s="8">
        <f t="shared" si="16"/>
        <v>5460.1274579057053</v>
      </c>
      <c r="D26" s="8">
        <f t="shared" si="16"/>
        <v>4811.6428822987536</v>
      </c>
      <c r="E26" s="8">
        <f t="shared" si="16"/>
        <v>4311.175833280613</v>
      </c>
      <c r="F26" s="8">
        <f t="shared" si="16"/>
        <v>3848.4101867148465</v>
      </c>
      <c r="G26" s="8">
        <f>G10*G28</f>
        <v>3405.8294501094615</v>
      </c>
      <c r="H26" s="24">
        <v>3240.2</v>
      </c>
      <c r="I26" s="24">
        <v>2817.99</v>
      </c>
      <c r="J26" s="24">
        <v>2484.75</v>
      </c>
      <c r="K26" s="24">
        <v>2505.8200000000002</v>
      </c>
      <c r="L26" s="24">
        <v>2710.34</v>
      </c>
      <c r="M26" s="24">
        <v>2917.63</v>
      </c>
      <c r="N26" s="24">
        <v>3128.64</v>
      </c>
      <c r="O26" s="24">
        <v>3421.42</v>
      </c>
      <c r="P26" s="24">
        <v>3664.02</v>
      </c>
      <c r="Q26" s="24">
        <v>3548.35</v>
      </c>
    </row>
    <row r="27" spans="1:17" x14ac:dyDescent="0.25">
      <c r="A27" t="s">
        <v>145</v>
      </c>
      <c r="B27">
        <f t="shared" ref="B27:G27" si="17">B26/B10</f>
        <v>0.21413522868525145</v>
      </c>
      <c r="C27">
        <f t="shared" si="17"/>
        <v>0.21411113300487214</v>
      </c>
      <c r="D27">
        <f t="shared" si="17"/>
        <v>0.21327106473600144</v>
      </c>
      <c r="E27">
        <f t="shared" si="17"/>
        <v>0.21502348831488077</v>
      </c>
      <c r="F27">
        <f t="shared" si="17"/>
        <v>0.21403884596373421</v>
      </c>
      <c r="G27">
        <f t="shared" si="17"/>
        <v>0.21075085992938936</v>
      </c>
      <c r="H27">
        <f>H26/H10</f>
        <v>0.2202807590515187</v>
      </c>
      <c r="I27">
        <f t="shared" ref="I27:Q27" si="18">I26/I10</f>
        <v>0.21108491891029454</v>
      </c>
      <c r="J27">
        <f t="shared" si="18"/>
        <v>0.20088690182635482</v>
      </c>
      <c r="K27">
        <f t="shared" si="18"/>
        <v>0.22190578156561969</v>
      </c>
      <c r="L27">
        <f t="shared" si="18"/>
        <v>0.27077405690537087</v>
      </c>
      <c r="M27">
        <f t="shared" si="18"/>
        <v>0.31631540146143677</v>
      </c>
      <c r="N27">
        <f t="shared" si="18"/>
        <v>0.3826937449466748</v>
      </c>
      <c r="O27">
        <f t="shared" si="18"/>
        <v>0.34718168940337946</v>
      </c>
      <c r="P27">
        <f t="shared" si="18"/>
        <v>0.4025931073887079</v>
      </c>
      <c r="Q27">
        <f t="shared" si="18"/>
        <v>0.42574086361198527</v>
      </c>
    </row>
    <row r="28" spans="1:17" x14ac:dyDescent="0.25">
      <c r="A28" t="s">
        <v>138</v>
      </c>
      <c r="B28">
        <f t="shared" ref="B28:F28" si="19">AVERAGE(C27:E27)</f>
        <v>0.21413522868525145</v>
      </c>
      <c r="C28">
        <f t="shared" si="19"/>
        <v>0.21411113300487214</v>
      </c>
      <c r="D28">
        <f t="shared" si="19"/>
        <v>0.21327106473600144</v>
      </c>
      <c r="E28">
        <f t="shared" si="19"/>
        <v>0.21502348831488075</v>
      </c>
      <c r="F28">
        <f t="shared" si="19"/>
        <v>0.21403884596373421</v>
      </c>
      <c r="G28">
        <f>AVERAGE(H27:J27)</f>
        <v>0.21075085992938936</v>
      </c>
    </row>
    <row r="30" spans="1:17" x14ac:dyDescent="0.25">
      <c r="A30" s="8" t="s">
        <v>26</v>
      </c>
      <c r="B30" s="8">
        <f t="shared" ref="B30:F30" si="20">B26*B32</f>
        <v>800.1032618101865</v>
      </c>
      <c r="C30" s="8">
        <f t="shared" si="20"/>
        <v>702.28366996581644</v>
      </c>
      <c r="D30" s="8">
        <f t="shared" si="20"/>
        <v>624.87515700838628</v>
      </c>
      <c r="E30" s="8">
        <f t="shared" si="20"/>
        <v>549.70028285418061</v>
      </c>
      <c r="F30" s="8">
        <f t="shared" si="20"/>
        <v>494.47429457566085</v>
      </c>
      <c r="G30" s="8">
        <f>G26*G32</f>
        <v>455.04650997883465</v>
      </c>
      <c r="H30" s="24">
        <v>390.19</v>
      </c>
      <c r="I30" s="24">
        <v>370.38</v>
      </c>
      <c r="J30" s="24">
        <v>370.15</v>
      </c>
      <c r="K30" s="24">
        <v>335.67</v>
      </c>
      <c r="L30" s="24">
        <v>342.25</v>
      </c>
      <c r="M30" s="24">
        <v>353.62</v>
      </c>
      <c r="N30" s="8">
        <v>347.26</v>
      </c>
      <c r="O30" s="8">
        <v>337.54</v>
      </c>
      <c r="P30" s="8">
        <v>329.95</v>
      </c>
      <c r="Q30" s="8">
        <v>277.14999999999998</v>
      </c>
    </row>
    <row r="31" spans="1:17" x14ac:dyDescent="0.25">
      <c r="A31" t="s">
        <v>146</v>
      </c>
      <c r="B31">
        <f t="shared" ref="B31:G31" si="21">B30/B26</f>
        <v>0.12866452725281818</v>
      </c>
      <c r="C31">
        <f t="shared" si="21"/>
        <v>0.12862038027133993</v>
      </c>
      <c r="D31">
        <f t="shared" si="21"/>
        <v>0.12986731814765382</v>
      </c>
      <c r="E31">
        <f t="shared" si="21"/>
        <v>0.12750588333946081</v>
      </c>
      <c r="F31">
        <f t="shared" si="21"/>
        <v>0.12848793932690514</v>
      </c>
      <c r="G31">
        <f t="shared" si="21"/>
        <v>0.13360813177659547</v>
      </c>
      <c r="H31">
        <f>H30/H26</f>
        <v>0.1204215789148818</v>
      </c>
      <c r="I31">
        <f t="shared" ref="I31:Q31" si="22">I30/I26</f>
        <v>0.13143410728923807</v>
      </c>
      <c r="J31">
        <f t="shared" si="22"/>
        <v>0.14896870912566657</v>
      </c>
      <c r="K31">
        <f t="shared" si="22"/>
        <v>0.13395615008260769</v>
      </c>
      <c r="L31">
        <f t="shared" si="22"/>
        <v>0.12627567021111741</v>
      </c>
      <c r="M31">
        <f t="shared" si="22"/>
        <v>0.12120111186133951</v>
      </c>
      <c r="N31">
        <f t="shared" si="22"/>
        <v>0.1109939142886366</v>
      </c>
      <c r="O31">
        <f t="shared" si="22"/>
        <v>9.8654944438274175E-2</v>
      </c>
      <c r="P31">
        <f t="shared" si="22"/>
        <v>9.0051364348447877E-2</v>
      </c>
      <c r="Q31">
        <f t="shared" si="22"/>
        <v>7.8106725661222814E-2</v>
      </c>
    </row>
    <row r="32" spans="1:17" x14ac:dyDescent="0.25">
      <c r="A32" t="s">
        <v>138</v>
      </c>
      <c r="B32">
        <f t="shared" ref="B32:F32" si="23">AVERAGE(C31,D31,E31)</f>
        <v>0.12866452725281818</v>
      </c>
      <c r="C32">
        <f t="shared" si="23"/>
        <v>0.12862038027133993</v>
      </c>
      <c r="D32">
        <f t="shared" si="23"/>
        <v>0.12986731814765382</v>
      </c>
      <c r="E32">
        <f t="shared" si="23"/>
        <v>0.12750588333946081</v>
      </c>
      <c r="F32">
        <f t="shared" si="23"/>
        <v>0.12848793932690514</v>
      </c>
      <c r="G32">
        <f>AVERAGE(H31,I31,J31)</f>
        <v>0.13360813177659547</v>
      </c>
    </row>
    <row r="34" spans="1:17" x14ac:dyDescent="0.25">
      <c r="A34" s="8" t="s">
        <v>147</v>
      </c>
      <c r="B34" s="24">
        <f t="shared" ref="B34:F34" si="24">AVERAGE(C34:G34)</f>
        <v>153.90822976000001</v>
      </c>
      <c r="C34" s="24">
        <f t="shared" si="24"/>
        <v>161.7885248</v>
      </c>
      <c r="D34" s="24">
        <f t="shared" si="24"/>
        <v>162.18710400000001</v>
      </c>
      <c r="E34" s="24">
        <f t="shared" si="24"/>
        <v>156.67592000000002</v>
      </c>
      <c r="F34" s="24">
        <f t="shared" si="24"/>
        <v>149.22160000000002</v>
      </c>
      <c r="G34" s="24">
        <f>AVERAGE(H34:L34)</f>
        <v>139.66800000000001</v>
      </c>
      <c r="H34" s="24">
        <v>201.19</v>
      </c>
      <c r="I34" s="24">
        <v>164.18</v>
      </c>
      <c r="J34" s="24">
        <v>129.12</v>
      </c>
      <c r="K34" s="24">
        <v>111.95</v>
      </c>
      <c r="L34" s="24">
        <v>91.9</v>
      </c>
      <c r="M34" s="24">
        <v>3.51</v>
      </c>
      <c r="N34" s="24">
        <v>3.29</v>
      </c>
      <c r="O34" s="24">
        <v>14.23</v>
      </c>
      <c r="P34" s="24">
        <v>36.51</v>
      </c>
      <c r="Q34" s="24">
        <v>26.6</v>
      </c>
    </row>
    <row r="35" spans="1:17" x14ac:dyDescent="0.25">
      <c r="G35" s="1"/>
    </row>
    <row r="36" spans="1:17" x14ac:dyDescent="0.25">
      <c r="A36" s="6" t="s">
        <v>148</v>
      </c>
      <c r="B36" s="1">
        <f>B12</f>
        <v>22194.514348834753</v>
      </c>
      <c r="C36" s="1">
        <f t="shared" ref="C36:Q36" si="25">C12</f>
        <v>19488.922627801552</v>
      </c>
      <c r="D36" s="1">
        <f t="shared" si="25"/>
        <v>17256.76348378064</v>
      </c>
      <c r="E36" s="1">
        <f t="shared" si="25"/>
        <v>15311.827755583048</v>
      </c>
      <c r="F36" s="1">
        <f t="shared" si="25"/>
        <v>13738.720303920345</v>
      </c>
      <c r="G36" s="1">
        <f t="shared" si="25"/>
        <v>12392.824643913689</v>
      </c>
      <c r="H36" s="1">
        <f t="shared" si="25"/>
        <v>11180.57</v>
      </c>
      <c r="I36" s="1">
        <f t="shared" si="25"/>
        <v>10217.86</v>
      </c>
      <c r="J36" s="1">
        <f t="shared" si="25"/>
        <v>9587.2099999999991</v>
      </c>
      <c r="K36" s="1">
        <f t="shared" si="25"/>
        <v>8680.6299999999992</v>
      </c>
      <c r="L36" s="1">
        <f t="shared" si="25"/>
        <v>7992.63</v>
      </c>
      <c r="M36" s="1">
        <f t="shared" si="25"/>
        <v>7523.16</v>
      </c>
      <c r="N36" s="1">
        <f t="shared" si="25"/>
        <v>6608.41</v>
      </c>
      <c r="O36" s="1">
        <f t="shared" si="25"/>
        <v>7890.47</v>
      </c>
      <c r="P36" s="1">
        <f t="shared" si="25"/>
        <v>7048.15</v>
      </c>
      <c r="Q36" s="1">
        <f t="shared" si="25"/>
        <v>6601.21</v>
      </c>
    </row>
    <row r="37" spans="1:17" x14ac:dyDescent="0.25">
      <c r="A37" s="8" t="s">
        <v>149</v>
      </c>
      <c r="B37" s="24">
        <f>B10-B36</f>
        <v>6845.6513928386812</v>
      </c>
      <c r="C37" s="24">
        <f t="shared" ref="C37:Q37" si="26">C10-C36</f>
        <v>6012.4484652254469</v>
      </c>
      <c r="D37" s="24">
        <f t="shared" si="26"/>
        <v>5304.3977701141048</v>
      </c>
      <c r="E37" s="24">
        <f t="shared" si="26"/>
        <v>4737.9624653221199</v>
      </c>
      <c r="F37" s="24">
        <f t="shared" si="26"/>
        <v>4241.2410876062386</v>
      </c>
      <c r="G37" s="24">
        <f t="shared" si="26"/>
        <v>3767.6287523408337</v>
      </c>
      <c r="H37" s="24">
        <f t="shared" si="26"/>
        <v>3528.84</v>
      </c>
      <c r="I37" s="24">
        <f t="shared" si="26"/>
        <v>3132.17</v>
      </c>
      <c r="J37" s="24">
        <f t="shared" si="26"/>
        <v>2781.6900000000005</v>
      </c>
      <c r="K37" s="24">
        <f t="shared" si="26"/>
        <v>2611.6400000000012</v>
      </c>
      <c r="L37" s="24">
        <f t="shared" si="26"/>
        <v>2016.9700000000003</v>
      </c>
      <c r="M37" s="24">
        <f t="shared" si="26"/>
        <v>1700.6399999999994</v>
      </c>
      <c r="N37" s="24">
        <f t="shared" si="26"/>
        <v>1566.9000000000005</v>
      </c>
      <c r="O37" s="24">
        <f t="shared" si="26"/>
        <v>1964.37</v>
      </c>
      <c r="P37" s="24">
        <f t="shared" si="26"/>
        <v>2052.8999999999996</v>
      </c>
      <c r="Q37" s="24">
        <f t="shared" si="26"/>
        <v>1733.3200000000006</v>
      </c>
    </row>
    <row r="38" spans="1:17" x14ac:dyDescent="0.25">
      <c r="A38" t="s">
        <v>150</v>
      </c>
      <c r="B38" s="9">
        <f>B37/B10</f>
        <v>0.23573045187600233</v>
      </c>
      <c r="C38" s="9">
        <f t="shared" ref="C38:Q38" si="27">C37/C10</f>
        <v>0.23576961580977379</v>
      </c>
      <c r="D38" s="9">
        <f t="shared" si="27"/>
        <v>0.23511191247739538</v>
      </c>
      <c r="E38" s="9">
        <f t="shared" si="27"/>
        <v>0.23630982734083789</v>
      </c>
      <c r="F38" s="9">
        <f t="shared" si="27"/>
        <v>0.235887107611088</v>
      </c>
      <c r="G38" s="9">
        <f t="shared" si="27"/>
        <v>0.23313880248026023</v>
      </c>
      <c r="H38" s="9">
        <f t="shared" si="27"/>
        <v>0.23990357193116515</v>
      </c>
      <c r="I38" s="9">
        <f t="shared" si="27"/>
        <v>0.23461894842183875</v>
      </c>
      <c r="J38" s="9">
        <f t="shared" si="27"/>
        <v>0.22489388708777666</v>
      </c>
      <c r="K38" s="9">
        <f t="shared" si="27"/>
        <v>0.23127679377131447</v>
      </c>
      <c r="L38" s="9">
        <f t="shared" si="27"/>
        <v>0.20150355658567776</v>
      </c>
      <c r="M38" s="9">
        <f t="shared" si="27"/>
        <v>0.1843752032784752</v>
      </c>
      <c r="N38" s="9">
        <f t="shared" si="27"/>
        <v>0.19166245683649921</v>
      </c>
      <c r="O38" s="9">
        <f t="shared" si="27"/>
        <v>0.1993304812660581</v>
      </c>
      <c r="P38" s="9">
        <f t="shared" si="27"/>
        <v>0.22556737958806949</v>
      </c>
      <c r="Q38" s="9">
        <f t="shared" si="27"/>
        <v>0.20796853571827092</v>
      </c>
    </row>
    <row r="40" spans="1:17" x14ac:dyDescent="0.25">
      <c r="A40" s="8" t="s">
        <v>151</v>
      </c>
      <c r="B40" s="8">
        <f t="shared" ref="B40:F40" si="28">B37*B42</f>
        <v>1535.3217375461597</v>
      </c>
      <c r="C40" s="8">
        <f t="shared" si="28"/>
        <v>1349.3314136202027</v>
      </c>
      <c r="D40" s="8">
        <f t="shared" si="28"/>
        <v>1200.4910868151283</v>
      </c>
      <c r="E40" s="8">
        <f t="shared" si="28"/>
        <v>1052.24417251145</v>
      </c>
      <c r="F40" s="8">
        <f t="shared" si="28"/>
        <v>953.68962273729267</v>
      </c>
      <c r="G40" s="8">
        <f>G37*G42</f>
        <v>874.1312788655946</v>
      </c>
      <c r="H40" s="24">
        <v>738.91</v>
      </c>
      <c r="I40" s="24">
        <v>730.36</v>
      </c>
      <c r="J40" s="24">
        <v>705.05</v>
      </c>
      <c r="K40" s="24">
        <v>822.02</v>
      </c>
      <c r="L40" s="24">
        <v>614.11</v>
      </c>
      <c r="M40" s="24">
        <v>515</v>
      </c>
      <c r="N40" s="8">
        <v>250.36</v>
      </c>
      <c r="O40" s="24">
        <v>589.66</v>
      </c>
      <c r="P40" s="24">
        <v>560.89</v>
      </c>
      <c r="Q40" s="24">
        <v>484.69</v>
      </c>
    </row>
    <row r="41" spans="1:17" x14ac:dyDescent="0.25">
      <c r="A41" t="s">
        <v>152</v>
      </c>
      <c r="B41" s="9">
        <f t="shared" ref="B41:G41" si="29">B40/B37</f>
        <v>0.22427693866390544</v>
      </c>
      <c r="C41" s="9">
        <f t="shared" si="29"/>
        <v>0.22442294872453553</v>
      </c>
      <c r="D41" s="9">
        <f t="shared" si="29"/>
        <v>0.22631995918158757</v>
      </c>
      <c r="E41" s="9">
        <f t="shared" si="29"/>
        <v>0.22208790808559328</v>
      </c>
      <c r="F41" s="9">
        <f t="shared" si="29"/>
        <v>0.22486097890642576</v>
      </c>
      <c r="G41" s="9">
        <f t="shared" si="29"/>
        <v>0.23201099055274368</v>
      </c>
      <c r="H41" s="9">
        <f>H40/H37</f>
        <v>0.20939175479761052</v>
      </c>
      <c r="I41" s="9">
        <f t="shared" ref="I41:Q41" si="30">I40/I37</f>
        <v>0.23318019136892315</v>
      </c>
      <c r="J41" s="9">
        <f t="shared" si="30"/>
        <v>0.25346102549169741</v>
      </c>
      <c r="K41" s="9">
        <f t="shared" si="30"/>
        <v>0.31475241610635446</v>
      </c>
      <c r="L41" s="9">
        <f t="shared" si="30"/>
        <v>0.30447155882338356</v>
      </c>
      <c r="M41" s="9">
        <f t="shared" si="30"/>
        <v>0.30282717094740813</v>
      </c>
      <c r="N41" s="9">
        <f t="shared" si="30"/>
        <v>0.15978045822962533</v>
      </c>
      <c r="O41" s="9">
        <f t="shared" si="30"/>
        <v>0.30017766510382465</v>
      </c>
      <c r="P41" s="9">
        <f t="shared" si="30"/>
        <v>0.27321837400750165</v>
      </c>
      <c r="Q41" s="9">
        <f t="shared" si="30"/>
        <v>0.27963099716151651</v>
      </c>
    </row>
    <row r="42" spans="1:17" x14ac:dyDescent="0.25">
      <c r="A42" t="s">
        <v>138</v>
      </c>
      <c r="B42" s="9">
        <f t="shared" ref="B42:F42" si="31">AVERAGE(C41:E41)</f>
        <v>0.22427693866390544</v>
      </c>
      <c r="C42" s="9">
        <f t="shared" si="31"/>
        <v>0.22442294872453553</v>
      </c>
      <c r="D42" s="9">
        <f t="shared" si="31"/>
        <v>0.22631995918158757</v>
      </c>
      <c r="E42" s="9">
        <f t="shared" si="31"/>
        <v>0.22208790808559331</v>
      </c>
      <c r="F42" s="9">
        <f t="shared" si="31"/>
        <v>0.22486097890642576</v>
      </c>
      <c r="G42" s="9">
        <f>AVERAGE(H41:J41)</f>
        <v>0.23201099055274368</v>
      </c>
      <c r="H42" s="9"/>
      <c r="I42" s="9"/>
      <c r="J42" s="9"/>
      <c r="K42" s="9"/>
      <c r="L42" s="9"/>
      <c r="M42" s="9"/>
      <c r="N42" s="9"/>
      <c r="O42" s="9"/>
      <c r="P42" s="9"/>
      <c r="Q42" s="9"/>
    </row>
    <row r="44" spans="1:17" x14ac:dyDescent="0.25">
      <c r="A44" s="8" t="s">
        <v>153</v>
      </c>
      <c r="B44" s="24">
        <f>B37-B30</f>
        <v>6045.5481310284949</v>
      </c>
      <c r="C44" s="24">
        <f t="shared" ref="C44:Q44" si="32">C37-C30</f>
        <v>5310.1647952596304</v>
      </c>
      <c r="D44" s="24">
        <f t="shared" si="32"/>
        <v>4679.5226131057188</v>
      </c>
      <c r="E44" s="24">
        <f t="shared" si="32"/>
        <v>4188.2621824679391</v>
      </c>
      <c r="F44" s="24">
        <f t="shared" si="32"/>
        <v>3746.7667930305779</v>
      </c>
      <c r="G44" s="24">
        <f t="shared" si="32"/>
        <v>3312.5822423619989</v>
      </c>
      <c r="H44" s="24">
        <f t="shared" si="32"/>
        <v>3138.65</v>
      </c>
      <c r="I44" s="24">
        <f t="shared" si="32"/>
        <v>2761.79</v>
      </c>
      <c r="J44" s="24">
        <f t="shared" si="32"/>
        <v>2411.5400000000004</v>
      </c>
      <c r="K44" s="24">
        <f t="shared" si="32"/>
        <v>2275.9700000000012</v>
      </c>
      <c r="L44" s="24">
        <f t="shared" si="32"/>
        <v>1674.7200000000003</v>
      </c>
      <c r="M44" s="24">
        <f t="shared" si="32"/>
        <v>1347.0199999999995</v>
      </c>
      <c r="N44" s="24">
        <f t="shared" si="32"/>
        <v>1219.6400000000006</v>
      </c>
      <c r="O44" s="24">
        <f t="shared" si="32"/>
        <v>1626.83</v>
      </c>
      <c r="P44" s="24">
        <f t="shared" si="32"/>
        <v>1722.9499999999996</v>
      </c>
      <c r="Q44" s="24">
        <f t="shared" si="32"/>
        <v>1456.1700000000005</v>
      </c>
    </row>
    <row r="45" spans="1:17" x14ac:dyDescent="0.25">
      <c r="A45" s="8" t="s">
        <v>154</v>
      </c>
      <c r="B45" s="24">
        <f>B44-B34</f>
        <v>5891.6399012684951</v>
      </c>
      <c r="C45" s="24">
        <f t="shared" ref="C45:Q45" si="33">C44-C34</f>
        <v>5148.3762704596302</v>
      </c>
      <c r="D45" s="24">
        <f t="shared" si="33"/>
        <v>4517.3355091057192</v>
      </c>
      <c r="E45" s="24">
        <f t="shared" si="33"/>
        <v>4031.5862624679389</v>
      </c>
      <c r="F45" s="24">
        <f t="shared" si="33"/>
        <v>3597.545193030578</v>
      </c>
      <c r="G45" s="24">
        <f t="shared" si="33"/>
        <v>3172.9142423619987</v>
      </c>
      <c r="H45" s="24">
        <f t="shared" si="33"/>
        <v>2937.46</v>
      </c>
      <c r="I45" s="24">
        <f t="shared" si="33"/>
        <v>2597.61</v>
      </c>
      <c r="J45" s="24">
        <f t="shared" si="33"/>
        <v>2282.4200000000005</v>
      </c>
      <c r="K45" s="24">
        <f t="shared" si="33"/>
        <v>2164.0200000000013</v>
      </c>
      <c r="L45" s="24">
        <f t="shared" si="33"/>
        <v>1582.8200000000002</v>
      </c>
      <c r="M45" s="24">
        <f t="shared" si="33"/>
        <v>1343.5099999999995</v>
      </c>
      <c r="N45" s="24">
        <f t="shared" si="33"/>
        <v>1216.3500000000006</v>
      </c>
      <c r="O45" s="24">
        <f t="shared" si="33"/>
        <v>1612.6</v>
      </c>
      <c r="P45" s="24">
        <f t="shared" si="33"/>
        <v>1686.4399999999996</v>
      </c>
      <c r="Q45" s="24">
        <f t="shared" si="33"/>
        <v>1429.5700000000006</v>
      </c>
    </row>
    <row r="46" spans="1:17" x14ac:dyDescent="0.25">
      <c r="A46" s="8" t="s">
        <v>155</v>
      </c>
      <c r="B46" s="24">
        <f>B45-B40</f>
        <v>4356.3181637223352</v>
      </c>
      <c r="C46" s="24">
        <f t="shared" ref="C46:Q46" si="34">C45-C40</f>
        <v>3799.0448568394277</v>
      </c>
      <c r="D46" s="24">
        <f t="shared" si="34"/>
        <v>3316.844422290591</v>
      </c>
      <c r="E46" s="24">
        <f t="shared" si="34"/>
        <v>2979.342089956489</v>
      </c>
      <c r="F46" s="24">
        <f t="shared" si="34"/>
        <v>2643.8555702932854</v>
      </c>
      <c r="G46" s="24">
        <f t="shared" si="34"/>
        <v>2298.7829634964041</v>
      </c>
      <c r="H46" s="24">
        <f t="shared" si="34"/>
        <v>2198.5500000000002</v>
      </c>
      <c r="I46" s="24">
        <f t="shared" si="34"/>
        <v>1867.25</v>
      </c>
      <c r="J46" s="24">
        <f t="shared" si="34"/>
        <v>1577.3700000000006</v>
      </c>
      <c r="K46" s="24">
        <f t="shared" si="34"/>
        <v>1342.0000000000014</v>
      </c>
      <c r="L46" s="24">
        <f t="shared" si="34"/>
        <v>968.71000000000015</v>
      </c>
      <c r="M46" s="24">
        <f t="shared" si="34"/>
        <v>828.50999999999954</v>
      </c>
      <c r="N46" s="24">
        <f t="shared" si="34"/>
        <v>965.99000000000058</v>
      </c>
      <c r="O46" s="24">
        <f t="shared" si="34"/>
        <v>1022.9399999999999</v>
      </c>
      <c r="P46" s="24">
        <f t="shared" si="34"/>
        <v>1125.5499999999997</v>
      </c>
      <c r="Q46" s="24">
        <f t="shared" si="34"/>
        <v>944.88000000000056</v>
      </c>
    </row>
    <row r="48" spans="1:17" x14ac:dyDescent="0.25">
      <c r="A48" t="s">
        <v>156</v>
      </c>
      <c r="B48">
        <f>B24-C24</f>
        <v>185.03058831499675</v>
      </c>
      <c r="C48">
        <f t="shared" ref="C48:Q48" si="35">C24-D24</f>
        <v>88.769982473251275</v>
      </c>
      <c r="D48">
        <f t="shared" si="35"/>
        <v>510.66537715068716</v>
      </c>
      <c r="E48">
        <f t="shared" si="35"/>
        <v>-190.35672173480179</v>
      </c>
      <c r="F48">
        <f t="shared" si="35"/>
        <v>-91.52307893094212</v>
      </c>
      <c r="G48">
        <f t="shared" si="35"/>
        <v>1305.4699401102098</v>
      </c>
      <c r="H48">
        <f t="shared" si="35"/>
        <v>-1557.0099999999993</v>
      </c>
      <c r="I48">
        <f t="shared" si="35"/>
        <v>65.909999999999854</v>
      </c>
      <c r="J48">
        <f t="shared" si="35"/>
        <v>-1255.3800000000001</v>
      </c>
      <c r="K48">
        <f t="shared" si="35"/>
        <v>437.32000000000016</v>
      </c>
      <c r="L48">
        <f t="shared" si="35"/>
        <v>798.3900000000001</v>
      </c>
      <c r="M48">
        <f t="shared" si="35"/>
        <v>642.40999999999963</v>
      </c>
      <c r="N48">
        <f t="shared" si="35"/>
        <v>395.66000000000008</v>
      </c>
      <c r="O48">
        <f t="shared" si="35"/>
        <v>-346.31999999999971</v>
      </c>
      <c r="P48">
        <f t="shared" si="35"/>
        <v>592.84999999999991</v>
      </c>
      <c r="Q48">
        <f t="shared" si="35"/>
        <v>361.68999999999983</v>
      </c>
    </row>
    <row r="49" spans="1:17" x14ac:dyDescent="0.25">
      <c r="A49" t="s">
        <v>157</v>
      </c>
      <c r="B49">
        <f>B26-C26</f>
        <v>758.39507424514068</v>
      </c>
      <c r="C49">
        <f t="shared" ref="C49:Q49" si="36">C26-D26</f>
        <v>648.48457560695169</v>
      </c>
      <c r="D49">
        <f t="shared" si="36"/>
        <v>500.46704901814064</v>
      </c>
      <c r="E49">
        <f t="shared" si="36"/>
        <v>462.76564656576647</v>
      </c>
      <c r="F49">
        <f t="shared" si="36"/>
        <v>442.58073660538503</v>
      </c>
      <c r="G49">
        <f t="shared" si="36"/>
        <v>165.62945010946169</v>
      </c>
      <c r="H49">
        <f t="shared" si="36"/>
        <v>422.21000000000004</v>
      </c>
      <c r="I49">
        <f t="shared" si="36"/>
        <v>333.23999999999978</v>
      </c>
      <c r="J49">
        <f t="shared" si="36"/>
        <v>-21.070000000000164</v>
      </c>
      <c r="K49">
        <f t="shared" si="36"/>
        <v>-204.51999999999998</v>
      </c>
      <c r="L49">
        <f t="shared" si="36"/>
        <v>-207.28999999999996</v>
      </c>
      <c r="M49">
        <f t="shared" si="36"/>
        <v>-211.00999999999976</v>
      </c>
      <c r="N49">
        <f t="shared" si="36"/>
        <v>-292.7800000000002</v>
      </c>
      <c r="O49">
        <f t="shared" si="36"/>
        <v>-242.59999999999991</v>
      </c>
      <c r="P49">
        <f t="shared" si="36"/>
        <v>115.67000000000007</v>
      </c>
      <c r="Q49">
        <f t="shared" si="36"/>
        <v>3548.35</v>
      </c>
    </row>
    <row r="50" spans="1:17" x14ac:dyDescent="0.25">
      <c r="A50" s="8" t="s">
        <v>159</v>
      </c>
      <c r="B50" s="8">
        <f>B49-B30</f>
        <v>-41.708187565045819</v>
      </c>
      <c r="C50" s="8">
        <f t="shared" ref="C50:Q50" si="37">C49-C30</f>
        <v>-53.79909435886475</v>
      </c>
      <c r="D50" s="8">
        <f t="shared" si="37"/>
        <v>-124.40810799024564</v>
      </c>
      <c r="E50" s="8">
        <f t="shared" si="37"/>
        <v>-86.93463628841414</v>
      </c>
      <c r="F50" s="8">
        <f t="shared" si="37"/>
        <v>-51.893557970275822</v>
      </c>
      <c r="G50" s="8">
        <f t="shared" si="37"/>
        <v>-289.41705986937296</v>
      </c>
      <c r="H50" s="8">
        <f t="shared" si="37"/>
        <v>32.020000000000039</v>
      </c>
      <c r="I50" s="8">
        <f t="shared" si="37"/>
        <v>-37.140000000000214</v>
      </c>
      <c r="J50" s="8">
        <f t="shared" si="37"/>
        <v>-391.22000000000014</v>
      </c>
      <c r="K50" s="8">
        <f t="shared" si="37"/>
        <v>-540.19000000000005</v>
      </c>
      <c r="L50" s="8">
        <f t="shared" si="37"/>
        <v>-549.54</v>
      </c>
      <c r="M50" s="8">
        <f t="shared" si="37"/>
        <v>-564.62999999999977</v>
      </c>
      <c r="N50" s="8">
        <f t="shared" si="37"/>
        <v>-640.04000000000019</v>
      </c>
      <c r="O50" s="8">
        <f t="shared" si="37"/>
        <v>-580.13999999999987</v>
      </c>
      <c r="P50" s="8">
        <f t="shared" si="37"/>
        <v>-214.27999999999992</v>
      </c>
      <c r="Q50" s="8">
        <f t="shared" si="37"/>
        <v>3271.2</v>
      </c>
    </row>
    <row r="52" spans="1:17" x14ac:dyDescent="0.25">
      <c r="A52" s="8" t="s">
        <v>158</v>
      </c>
      <c r="B52" s="24">
        <f>B44*(1-B41)+B30-B48-B50</f>
        <v>5346.4519647163643</v>
      </c>
      <c r="C52" s="24">
        <f t="shared" ref="C52:Q52" si="38">C44*(1-C41)+C30-C48-C50</f>
        <v>4785.7547355456754</v>
      </c>
      <c r="D52" s="24">
        <f t="shared" si="38"/>
        <v>3859.0711341662613</v>
      </c>
      <c r="E52" s="24">
        <f t="shared" si="38"/>
        <v>4085.0914367270298</v>
      </c>
      <c r="F52" s="24">
        <f t="shared" si="38"/>
        <v>3542.156075692511</v>
      </c>
      <c r="G52" s="24">
        <f t="shared" si="38"/>
        <v>1983.0203847621608</v>
      </c>
      <c r="H52" s="24">
        <f t="shared" si="38"/>
        <v>4396.6225688044788</v>
      </c>
      <c r="I52" s="24">
        <f t="shared" si="38"/>
        <v>2459.4052792792222</v>
      </c>
      <c r="J52" s="24">
        <f t="shared" si="38"/>
        <v>3817.0585985857529</v>
      </c>
      <c r="K52" s="24">
        <f t="shared" si="38"/>
        <v>1998.1429435144214</v>
      </c>
      <c r="L52" s="24">
        <f t="shared" si="38"/>
        <v>1258.2153910073032</v>
      </c>
      <c r="M52" s="24">
        <f t="shared" si="38"/>
        <v>1214.9457441904219</v>
      </c>
      <c r="N52" s="24">
        <f t="shared" si="38"/>
        <v>1616.4053619248202</v>
      </c>
      <c r="O52" s="1">
        <f t="shared" si="38"/>
        <v>2402.4919690791448</v>
      </c>
      <c r="P52" s="1">
        <f t="shared" si="38"/>
        <v>1203.5884025037749</v>
      </c>
      <c r="Q52" s="1">
        <f t="shared" si="38"/>
        <v>-2306.7602691366847</v>
      </c>
    </row>
    <row r="53" spans="1:17" x14ac:dyDescent="0.25">
      <c r="A53" t="s">
        <v>162</v>
      </c>
      <c r="B53">
        <v>6</v>
      </c>
      <c r="C53">
        <v>5</v>
      </c>
      <c r="D53">
        <v>4</v>
      </c>
      <c r="E53">
        <v>3</v>
      </c>
      <c r="F53">
        <v>2</v>
      </c>
      <c r="G53">
        <v>1</v>
      </c>
    </row>
    <row r="54" spans="1:17" x14ac:dyDescent="0.25">
      <c r="A54" s="34" t="s">
        <v>160</v>
      </c>
      <c r="B54" s="33">
        <v>8.8499999999999995E-2</v>
      </c>
      <c r="C54" s="34"/>
      <c r="D54" s="34"/>
      <c r="E54" s="34"/>
      <c r="F54" s="34"/>
      <c r="G54" s="34"/>
      <c r="H54" s="34"/>
      <c r="I54" s="34"/>
      <c r="J54" s="34"/>
      <c r="K54" s="34"/>
      <c r="L54" s="34"/>
      <c r="M54" s="34"/>
      <c r="N54" s="34"/>
      <c r="O54" s="34"/>
      <c r="P54" s="34"/>
      <c r="Q54" s="34"/>
    </row>
    <row r="55" spans="1:17" x14ac:dyDescent="0.25">
      <c r="A55" s="35" t="s">
        <v>161</v>
      </c>
      <c r="B55" s="35">
        <f>B52/(1+B54)^B53</f>
        <v>3214.3641001918595</v>
      </c>
      <c r="C55" s="35">
        <f t="shared" ref="C55:Q55" si="39">C52/(1+C54)^C53</f>
        <v>4785.7547355456754</v>
      </c>
      <c r="D55" s="35">
        <f t="shared" si="39"/>
        <v>3859.0711341662613</v>
      </c>
      <c r="E55" s="35">
        <f t="shared" si="39"/>
        <v>4085.0914367270298</v>
      </c>
      <c r="F55" s="35">
        <f t="shared" si="39"/>
        <v>3542.156075692511</v>
      </c>
      <c r="G55" s="35">
        <f t="shared" si="39"/>
        <v>1983.0203847621608</v>
      </c>
      <c r="H55" s="35">
        <f t="shared" si="39"/>
        <v>4396.6225688044788</v>
      </c>
      <c r="I55" s="35">
        <f t="shared" si="39"/>
        <v>2459.4052792792222</v>
      </c>
      <c r="J55" s="35">
        <f t="shared" si="39"/>
        <v>3817.0585985857529</v>
      </c>
      <c r="K55" s="35">
        <f t="shared" si="39"/>
        <v>1998.1429435144214</v>
      </c>
      <c r="L55" s="35">
        <f t="shared" si="39"/>
        <v>1258.2153910073032</v>
      </c>
      <c r="M55" s="35">
        <f t="shared" si="39"/>
        <v>1214.9457441904219</v>
      </c>
      <c r="N55" s="35">
        <f t="shared" si="39"/>
        <v>1616.4053619248202</v>
      </c>
      <c r="O55" s="35">
        <f t="shared" si="39"/>
        <v>2402.4919690791448</v>
      </c>
      <c r="P55" s="35">
        <f t="shared" si="39"/>
        <v>1203.5884025037749</v>
      </c>
      <c r="Q55" s="35">
        <f t="shared" si="39"/>
        <v>-2306.7602691366847</v>
      </c>
    </row>
    <row r="56" spans="1:17" x14ac:dyDescent="0.25">
      <c r="A56" s="34" t="s">
        <v>163</v>
      </c>
      <c r="B56" s="34">
        <f>SUM(B55:G55)</f>
        <v>21469.457867085497</v>
      </c>
      <c r="C56" s="34"/>
      <c r="D56" s="34"/>
      <c r="E56" s="34"/>
      <c r="F56" s="34"/>
      <c r="G56" s="34"/>
      <c r="H56" s="34"/>
      <c r="I56" s="34"/>
      <c r="J56" s="34"/>
      <c r="K56" s="34"/>
      <c r="L56" s="34"/>
      <c r="M56" s="34"/>
      <c r="N56" s="34"/>
      <c r="O56" s="34"/>
      <c r="P56" s="34"/>
      <c r="Q56" s="34"/>
    </row>
    <row r="57" spans="1:17" x14ac:dyDescent="0.25">
      <c r="A57" s="34" t="s">
        <v>164</v>
      </c>
      <c r="B57" s="34">
        <v>0.04</v>
      </c>
      <c r="C57" s="34" t="s">
        <v>165</v>
      </c>
      <c r="D57" s="34"/>
      <c r="E57" s="34"/>
      <c r="F57" s="34"/>
      <c r="G57" s="34"/>
      <c r="H57" s="34"/>
      <c r="I57" s="34"/>
      <c r="J57" s="34"/>
      <c r="K57" s="34"/>
      <c r="L57" s="34"/>
      <c r="M57" s="34"/>
      <c r="N57" s="34"/>
      <c r="O57" s="34"/>
      <c r="P57" s="34"/>
      <c r="Q57" s="34"/>
    </row>
    <row r="58" spans="1:17" x14ac:dyDescent="0.25">
      <c r="A58" s="36" t="s">
        <v>166</v>
      </c>
      <c r="B58" s="35">
        <f>B52*(1-B57)/($B$54-B57)</f>
        <v>105826.67806448886</v>
      </c>
      <c r="C58" s="34"/>
      <c r="D58" s="34"/>
      <c r="E58" s="34"/>
      <c r="F58" s="34"/>
      <c r="G58" s="34"/>
      <c r="H58" s="34"/>
      <c r="I58" s="34"/>
      <c r="J58" s="34"/>
      <c r="K58" s="34"/>
      <c r="L58" s="34"/>
      <c r="M58" s="34"/>
      <c r="N58" s="34"/>
      <c r="O58" s="34"/>
      <c r="P58" s="34"/>
      <c r="Q58" s="34"/>
    </row>
    <row r="59" spans="1:17" x14ac:dyDescent="0.25">
      <c r="A59" s="36" t="s">
        <v>167</v>
      </c>
      <c r="B59" s="35">
        <f>B55+B58</f>
        <v>109041.04216468072</v>
      </c>
      <c r="C59" s="11"/>
      <c r="D59" s="11"/>
      <c r="E59" s="11"/>
      <c r="F59" s="11"/>
      <c r="G59" s="11"/>
      <c r="H59" s="11"/>
      <c r="I59" s="11"/>
      <c r="J59" s="11"/>
      <c r="K59" s="11"/>
      <c r="L59" s="11"/>
      <c r="M59" s="11"/>
      <c r="N59" s="11"/>
      <c r="O59" s="11"/>
      <c r="P59" s="11"/>
      <c r="Q59" s="11"/>
    </row>
    <row r="60" spans="1:17" x14ac:dyDescent="0.25">
      <c r="B60" s="34"/>
      <c r="C60" s="11"/>
      <c r="D60" s="11"/>
      <c r="E60" s="11"/>
      <c r="F60" s="11"/>
      <c r="G60" s="11"/>
      <c r="H60" s="11"/>
      <c r="I60" s="11"/>
      <c r="J60" s="11"/>
      <c r="K60" s="11"/>
      <c r="L60" s="11"/>
      <c r="M60" s="11"/>
      <c r="N60" s="11"/>
      <c r="O60" s="11"/>
      <c r="P60" s="11"/>
      <c r="Q60" s="11"/>
    </row>
    <row r="61" spans="1:17" x14ac:dyDescent="0.25">
      <c r="A61" s="34" t="s">
        <v>168</v>
      </c>
      <c r="B61" s="34">
        <f>E61/10000000</f>
        <v>9.6416000000000004</v>
      </c>
      <c r="D61">
        <v>964.16</v>
      </c>
      <c r="E61">
        <f>D61*100000</f>
        <v>96416000</v>
      </c>
    </row>
    <row r="62" spans="1:17" x14ac:dyDescent="0.25">
      <c r="A62" s="34" t="s">
        <v>169</v>
      </c>
      <c r="B62" s="11">
        <f>B59/B61</f>
        <v>11309.434343333131</v>
      </c>
      <c r="C62" t="s">
        <v>170</v>
      </c>
    </row>
    <row r="63" spans="1:17" x14ac:dyDescent="0.25">
      <c r="B63" s="11"/>
    </row>
    <row r="65" spans="2:8" x14ac:dyDescent="0.25">
      <c r="B65" s="39" t="s">
        <v>171</v>
      </c>
      <c r="C65" s="39"/>
      <c r="D65" s="39"/>
      <c r="E65" s="39"/>
      <c r="F65" s="39"/>
      <c r="G65" s="39"/>
      <c r="H65" s="39"/>
    </row>
    <row r="66" spans="2:8" x14ac:dyDescent="0.25">
      <c r="B66" s="34">
        <f>B59</f>
        <v>109041.04216468072</v>
      </c>
      <c r="C66" s="37">
        <v>0.06</v>
      </c>
      <c r="D66" s="37">
        <v>7.0000000000000007E-2</v>
      </c>
      <c r="E66" s="37">
        <v>0.08</v>
      </c>
      <c r="F66" s="37">
        <v>0.09</v>
      </c>
      <c r="G66" s="37">
        <v>0.1</v>
      </c>
      <c r="H66" s="37">
        <v>0.11</v>
      </c>
    </row>
    <row r="67" spans="2:8" x14ac:dyDescent="0.25">
      <c r="B67" s="37">
        <v>0.01</v>
      </c>
      <c r="C67">
        <f t="dataTable" ref="C67:H72" dt2D="1" dtr="1" r1="B54" r2="B57"/>
        <v>109628.78656786525</v>
      </c>
      <c r="D67">
        <v>91779.024109517268</v>
      </c>
      <c r="E67">
        <v>78983.277997885176</v>
      </c>
      <c r="F67">
        <v>69350.257684654556</v>
      </c>
      <c r="G67">
        <v>61828.904364247181</v>
      </c>
      <c r="H67">
        <v>55788.305999216522</v>
      </c>
    </row>
    <row r="68" spans="2:8" x14ac:dyDescent="0.25">
      <c r="B68" s="37">
        <v>0.02</v>
      </c>
      <c r="C68">
        <v>134757.11080203214</v>
      </c>
      <c r="D68">
        <v>108353.025200138</v>
      </c>
      <c r="E68">
        <v>90694.553730121028</v>
      </c>
      <c r="F68">
        <v>78038.242127318663</v>
      </c>
      <c r="G68">
        <v>68511.969320142642</v>
      </c>
      <c r="H68">
        <v>61075.352942102705</v>
      </c>
    </row>
    <row r="69" spans="2:8" x14ac:dyDescent="0.25">
      <c r="B69" s="37">
        <v>0.03</v>
      </c>
      <c r="C69">
        <v>176637.65119231032</v>
      </c>
      <c r="D69">
        <v>133214.02683606907</v>
      </c>
      <c r="E69">
        <v>107090.3397552512</v>
      </c>
      <c r="F69">
        <v>89622.221384204109</v>
      </c>
      <c r="G69">
        <v>77104.481406293926</v>
      </c>
      <c r="H69">
        <v>67684.161620710423</v>
      </c>
    </row>
    <row r="70" spans="2:8" x14ac:dyDescent="0.25">
      <c r="B70" s="37">
        <v>0.04</v>
      </c>
      <c r="C70">
        <v>260398.73197286672</v>
      </c>
      <c r="D70">
        <v>174649.02956262085</v>
      </c>
      <c r="E70">
        <v>131684.01879294647</v>
      </c>
      <c r="F70">
        <v>105839.79234384374</v>
      </c>
      <c r="G70">
        <v>88561.164187828996</v>
      </c>
      <c r="H70">
        <v>76181.201350348929</v>
      </c>
    </row>
    <row r="71" spans="2:8" x14ac:dyDescent="0.25">
      <c r="B71" s="37">
        <v>0.05</v>
      </c>
      <c r="C71">
        <v>511681.97431453608</v>
      </c>
      <c r="D71">
        <v>257519.03501572451</v>
      </c>
      <c r="E71">
        <v>172673.48385577195</v>
      </c>
      <c r="F71">
        <v>130166.14878330323</v>
      </c>
      <c r="G71">
        <v>104600.5200819781</v>
      </c>
      <c r="H71">
        <v>87510.587656533622</v>
      </c>
    </row>
    <row r="72" spans="2:8" x14ac:dyDescent="0.25">
      <c r="B72" s="37">
        <v>0.06</v>
      </c>
      <c r="C72" t="e">
        <v>#DIV/0!</v>
      </c>
      <c r="D72">
        <v>506129.05137503508</v>
      </c>
      <c r="E72">
        <v>254652.41398142281</v>
      </c>
      <c r="F72">
        <v>170710.07618240232</v>
      </c>
      <c r="G72">
        <v>128659.55392320172</v>
      </c>
      <c r="H72">
        <v>103371.72848519216</v>
      </c>
    </row>
  </sheetData>
  <mergeCells count="1">
    <mergeCell ref="B65:H65"/>
  </mergeCells>
  <pageMargins left="0.7" right="0.7" top="0.75" bottom="0.75" header="0.3" footer="0.3"/>
  <ignoredErrors>
    <ignoredError sqref="G34" formulaRange="1"/>
  </ignoredError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373B9-5F18-4AC5-8C12-2EC0CE41367B}">
  <sheetPr>
    <tabColor theme="7" tint="-0.499984740745262"/>
  </sheetPr>
  <dimension ref="A1:B22"/>
  <sheetViews>
    <sheetView workbookViewId="0">
      <selection activeCell="E13" sqref="E13"/>
    </sheetView>
  </sheetViews>
  <sheetFormatPr defaultRowHeight="15" x14ac:dyDescent="0.25"/>
  <cols>
    <col min="1" max="1" width="30.28515625" customWidth="1"/>
    <col min="2" max="2" width="13.7109375" bestFit="1" customWidth="1"/>
  </cols>
  <sheetData>
    <row r="1" spans="1:2" x14ac:dyDescent="0.25">
      <c r="A1" s="42" t="s">
        <v>193</v>
      </c>
      <c r="B1" s="42"/>
    </row>
    <row r="2" spans="1:2" x14ac:dyDescent="0.25">
      <c r="A2" t="s">
        <v>180</v>
      </c>
      <c r="B2" s="11">
        <f>'DCF &amp; Sensitivity Analysis'!B61</f>
        <v>9.6416000000000004</v>
      </c>
    </row>
    <row r="3" spans="1:2" x14ac:dyDescent="0.25">
      <c r="A3" t="s">
        <v>178</v>
      </c>
      <c r="B3">
        <f>Rawdata!B38</f>
        <v>222.46</v>
      </c>
    </row>
    <row r="4" spans="1:2" x14ac:dyDescent="0.25">
      <c r="A4" t="s">
        <v>181</v>
      </c>
      <c r="B4">
        <v>19705</v>
      </c>
    </row>
    <row r="5" spans="1:2" x14ac:dyDescent="0.25">
      <c r="A5" t="s">
        <v>183</v>
      </c>
      <c r="B5" s="1">
        <f>Rawdata!B40</f>
        <v>216.2</v>
      </c>
    </row>
    <row r="6" spans="1:2" x14ac:dyDescent="0.25">
      <c r="A6" t="s">
        <v>172</v>
      </c>
      <c r="B6" s="45">
        <f>B4/B3</f>
        <v>88.577721837633732</v>
      </c>
    </row>
    <row r="7" spans="1:2" x14ac:dyDescent="0.25">
      <c r="A7" t="s">
        <v>184</v>
      </c>
      <c r="B7" s="40">
        <v>2271</v>
      </c>
    </row>
    <row r="8" spans="1:2" x14ac:dyDescent="0.25">
      <c r="A8" t="s">
        <v>186</v>
      </c>
      <c r="B8" s="40">
        <f>B7/B2</f>
        <v>235.54181878526384</v>
      </c>
    </row>
    <row r="9" spans="1:2" x14ac:dyDescent="0.25">
      <c r="A9" t="s">
        <v>187</v>
      </c>
      <c r="B9" s="40">
        <f>'DCF &amp; Sensitivity Analysis'!H3</f>
        <v>14709.41</v>
      </c>
    </row>
    <row r="10" spans="1:2" x14ac:dyDescent="0.25">
      <c r="A10" t="s">
        <v>185</v>
      </c>
      <c r="B10">
        <f>B9/B2</f>
        <v>1525.61919183538</v>
      </c>
    </row>
    <row r="11" spans="1:2" x14ac:dyDescent="0.25">
      <c r="A11" t="s">
        <v>182</v>
      </c>
      <c r="B11">
        <f>B4/B5</f>
        <v>91.142460684551352</v>
      </c>
    </row>
    <row r="12" spans="1:2" x14ac:dyDescent="0.25">
      <c r="A12" t="s">
        <v>179</v>
      </c>
      <c r="B12">
        <f>B4/B8</f>
        <v>83.658180537208281</v>
      </c>
    </row>
    <row r="13" spans="1:2" x14ac:dyDescent="0.25">
      <c r="A13" t="s">
        <v>173</v>
      </c>
      <c r="B13">
        <f>B4/B10</f>
        <v>12.916067197800592</v>
      </c>
    </row>
    <row r="14" spans="1:2" x14ac:dyDescent="0.25">
      <c r="A14" t="s">
        <v>188</v>
      </c>
      <c r="B14">
        <f>B2*B4</f>
        <v>189987.728</v>
      </c>
    </row>
    <row r="15" spans="1:2" x14ac:dyDescent="0.25">
      <c r="A15" t="s">
        <v>189</v>
      </c>
      <c r="B15" s="1">
        <f>'Cleaned Data'!B32+'Cleaned Data'!B34</f>
        <v>34.06</v>
      </c>
    </row>
    <row r="16" spans="1:2" x14ac:dyDescent="0.25">
      <c r="A16" t="s">
        <v>190</v>
      </c>
      <c r="B16" s="1">
        <f>'Cleaned Data'!B47</f>
        <v>735.41</v>
      </c>
    </row>
    <row r="17" spans="1:2" x14ac:dyDescent="0.25">
      <c r="A17" t="s">
        <v>191</v>
      </c>
      <c r="B17" s="1">
        <f>B14+B15-B16</f>
        <v>189286.378</v>
      </c>
    </row>
    <row r="18" spans="1:2" x14ac:dyDescent="0.25">
      <c r="A18" t="s">
        <v>175</v>
      </c>
      <c r="B18" s="1">
        <f>B17/B9</f>
        <v>12.868386835365932</v>
      </c>
    </row>
    <row r="19" spans="1:2" x14ac:dyDescent="0.25">
      <c r="A19" t="s">
        <v>174</v>
      </c>
      <c r="B19">
        <f>B17/'DCF &amp; Sensitivity Analysis'!H46</f>
        <v>86.096007823338098</v>
      </c>
    </row>
    <row r="20" spans="1:2" x14ac:dyDescent="0.25">
      <c r="A20" t="s">
        <v>192</v>
      </c>
      <c r="B20" s="11">
        <f>'DCF &amp; Sensitivity Analysis'!H55</f>
        <v>4396.6225688044788</v>
      </c>
    </row>
    <row r="21" spans="1:2" x14ac:dyDescent="0.25">
      <c r="A21" t="s">
        <v>176</v>
      </c>
      <c r="B21" s="41">
        <f>B20/B17</f>
        <v>2.3227358541376277E-2</v>
      </c>
    </row>
    <row r="22" spans="1:2" x14ac:dyDescent="0.25">
      <c r="A22" t="s">
        <v>177</v>
      </c>
      <c r="B22" s="41">
        <f>B20/B14</f>
        <v>2.3141613487816848E-2</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58-7E1E-467F-A427-2CB5D622255A}">
  <sheetPr>
    <tabColor theme="6" tint="-0.249977111117893"/>
  </sheetPr>
  <dimension ref="A1:C23"/>
  <sheetViews>
    <sheetView topLeftCell="A3" workbookViewId="0">
      <selection activeCell="E21" sqref="E21"/>
    </sheetView>
  </sheetViews>
  <sheetFormatPr defaultRowHeight="15" x14ac:dyDescent="0.25"/>
  <cols>
    <col min="1" max="1" width="36.7109375" customWidth="1"/>
    <col min="2" max="2" width="10.7109375" bestFit="1" customWidth="1"/>
  </cols>
  <sheetData>
    <row r="1" spans="1:2" x14ac:dyDescent="0.25">
      <c r="A1" s="42" t="s">
        <v>160</v>
      </c>
      <c r="B1" s="42"/>
    </row>
    <row r="3" spans="1:2" x14ac:dyDescent="0.25">
      <c r="A3" s="8" t="s">
        <v>201</v>
      </c>
    </row>
    <row r="4" spans="1:2" x14ac:dyDescent="0.25">
      <c r="A4" t="s">
        <v>195</v>
      </c>
      <c r="B4" s="1">
        <f>'DCF &amp; Sensitivity Analysis'!H34</f>
        <v>201.19</v>
      </c>
    </row>
    <row r="5" spans="1:2" x14ac:dyDescent="0.25">
      <c r="A5" t="s">
        <v>196</v>
      </c>
      <c r="B5" s="1">
        <f>'Cleaned Data'!B32</f>
        <v>27.47</v>
      </c>
    </row>
    <row r="6" spans="1:2" x14ac:dyDescent="0.25">
      <c r="A6" t="s">
        <v>197</v>
      </c>
      <c r="B6">
        <f>'Cleaned Data'!B34</f>
        <v>6.59</v>
      </c>
    </row>
    <row r="7" spans="1:2" x14ac:dyDescent="0.25">
      <c r="A7" t="s">
        <v>194</v>
      </c>
      <c r="B7" s="9">
        <v>5.9060000000000001E-2</v>
      </c>
    </row>
    <row r="8" spans="1:2" x14ac:dyDescent="0.25">
      <c r="A8" t="s">
        <v>198</v>
      </c>
      <c r="B8" s="44">
        <f>'DCF &amp; Sensitivity Analysis'!H41</f>
        <v>0.20939175479761052</v>
      </c>
    </row>
    <row r="9" spans="1:2" x14ac:dyDescent="0.25">
      <c r="A9" t="s">
        <v>199</v>
      </c>
      <c r="B9" s="44">
        <f>B7*(1-B8)</f>
        <v>4.6693322961653121E-2</v>
      </c>
    </row>
    <row r="12" spans="1:2" x14ac:dyDescent="0.25">
      <c r="A12" s="8" t="s">
        <v>200</v>
      </c>
    </row>
    <row r="13" spans="1:2" x14ac:dyDescent="0.25">
      <c r="A13" t="s">
        <v>202</v>
      </c>
      <c r="B13" s="9">
        <v>3.8699999999999998E-2</v>
      </c>
    </row>
    <row r="14" spans="1:2" x14ac:dyDescent="0.25">
      <c r="A14" t="s">
        <v>203</v>
      </c>
      <c r="B14">
        <v>-0.03</v>
      </c>
    </row>
    <row r="15" spans="1:2" x14ac:dyDescent="0.25">
      <c r="A15" t="s">
        <v>204</v>
      </c>
      <c r="B15" s="37">
        <v>0.05</v>
      </c>
    </row>
    <row r="16" spans="1:2" x14ac:dyDescent="0.25">
      <c r="A16" t="s">
        <v>205</v>
      </c>
      <c r="B16" s="44">
        <f>B13+B14*(B15-B13)</f>
        <v>3.8360999999999999E-2</v>
      </c>
    </row>
    <row r="18" spans="1:3" x14ac:dyDescent="0.25">
      <c r="A18" s="8" t="s">
        <v>206</v>
      </c>
    </row>
    <row r="19" spans="1:3" x14ac:dyDescent="0.25">
      <c r="A19" t="s">
        <v>189</v>
      </c>
      <c r="B19" s="1">
        <f>B5+B6</f>
        <v>34.06</v>
      </c>
      <c r="C19" s="9">
        <f>B19/B21</f>
        <v>1.7924260348502774E-4</v>
      </c>
    </row>
    <row r="20" spans="1:3" x14ac:dyDescent="0.25">
      <c r="A20" t="s">
        <v>188</v>
      </c>
      <c r="B20">
        <f>'Relative Valuation'!B14</f>
        <v>189987.728</v>
      </c>
      <c r="C20" s="9">
        <f>B20/B21</f>
        <v>0.99982075739651499</v>
      </c>
    </row>
    <row r="21" spans="1:3" x14ac:dyDescent="0.25">
      <c r="A21" t="s">
        <v>207</v>
      </c>
      <c r="B21" s="1">
        <f>B19+B20</f>
        <v>190021.788</v>
      </c>
    </row>
    <row r="23" spans="1:3" x14ac:dyDescent="0.25">
      <c r="A23" t="s">
        <v>160</v>
      </c>
      <c r="B23" s="43">
        <f>C19*B7*(1-B8)+C20*B16</f>
        <v>3.8362493507260724E-2</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Nestle India</vt:lpstr>
      <vt:lpstr>Rawdata</vt:lpstr>
      <vt:lpstr>Cleaned Data</vt:lpstr>
      <vt:lpstr>Ratio Analysis</vt:lpstr>
      <vt:lpstr>DCF &amp; Sensitivity Analysis</vt:lpstr>
      <vt:lpstr>Relative Valuation</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Sukhavasi</dc:creator>
  <cp:lastModifiedBy>Shivani Sukhavasi</cp:lastModifiedBy>
  <dcterms:created xsi:type="dcterms:W3CDTF">2022-12-31T06:30:47Z</dcterms:created>
  <dcterms:modified xsi:type="dcterms:W3CDTF">2023-01-02T13:41:02Z</dcterms:modified>
</cp:coreProperties>
</file>