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ownloads\"/>
    </mc:Choice>
  </mc:AlternateContent>
  <xr:revisionPtr revIDLastSave="0" documentId="13_ncr:1_{4EDC7D4A-D5B6-4C74-9704-B004C3F36CE7}" xr6:coauthVersionLast="47" xr6:coauthVersionMax="47" xr10:uidLastSave="{00000000-0000-0000-0000-000000000000}"/>
  <bookViews>
    <workbookView xWindow="-120" yWindow="-120" windowWidth="20730" windowHeight="11040" activeTab="2" xr2:uid="{4445F76C-4FA2-4984-A7B6-BA19DB7D0571}"/>
  </bookViews>
  <sheets>
    <sheet name="Income Statement" sheetId="1" r:id="rId1"/>
    <sheet name="Working Capital" sheetId="2" r:id="rId2"/>
    <sheet name="Debt Schedule" sheetId="3" r:id="rId3"/>
    <sheet name="Fixed Asset Schedule" sheetId="4" r:id="rId4"/>
    <sheet name="Discount Rate" sheetId="5" r:id="rId5"/>
    <sheet name="DCF Factor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6" l="1"/>
  <c r="C24" i="6"/>
  <c r="C22" i="6"/>
  <c r="C18" i="6"/>
  <c r="C17" i="6"/>
  <c r="D9" i="6"/>
  <c r="E9" i="6"/>
  <c r="F9" i="6"/>
  <c r="G9" i="6"/>
  <c r="C9" i="6"/>
  <c r="D8" i="6"/>
  <c r="E8" i="6"/>
  <c r="F8" i="6"/>
  <c r="G8" i="6"/>
  <c r="C8" i="6"/>
  <c r="D7" i="6"/>
  <c r="E7" i="6"/>
  <c r="F7" i="6"/>
  <c r="G7" i="6"/>
  <c r="C7" i="6"/>
  <c r="D5" i="6"/>
  <c r="E5" i="6"/>
  <c r="F5" i="6"/>
  <c r="G5" i="6"/>
  <c r="C5" i="6"/>
  <c r="D4" i="6"/>
  <c r="E4" i="6"/>
  <c r="F4" i="6"/>
  <c r="G4" i="6"/>
  <c r="C4" i="6"/>
  <c r="D6" i="6"/>
  <c r="E6" i="6"/>
  <c r="F6" i="6"/>
  <c r="G6" i="6"/>
  <c r="C6" i="6"/>
  <c r="D3" i="6"/>
  <c r="E3" i="6"/>
  <c r="F3" i="6"/>
  <c r="G3" i="6"/>
  <c r="C3" i="6"/>
  <c r="H30" i="5"/>
  <c r="H36" i="5"/>
  <c r="B24" i="5"/>
  <c r="C25" i="5" s="1"/>
  <c r="F14" i="5" s="1"/>
  <c r="E187" i="5"/>
  <c r="C187" i="5"/>
  <c r="E186" i="5"/>
  <c r="C186" i="5"/>
  <c r="E185" i="5"/>
  <c r="C185" i="5"/>
  <c r="E184" i="5"/>
  <c r="C184" i="5"/>
  <c r="E183" i="5"/>
  <c r="C183" i="5"/>
  <c r="E182" i="5"/>
  <c r="C182" i="5"/>
  <c r="E181" i="5"/>
  <c r="C181" i="5"/>
  <c r="E180" i="5"/>
  <c r="C180" i="5"/>
  <c r="E179" i="5"/>
  <c r="C179" i="5"/>
  <c r="E178" i="5"/>
  <c r="C178" i="5"/>
  <c r="E177" i="5"/>
  <c r="C177" i="5"/>
  <c r="E176" i="5"/>
  <c r="C176" i="5"/>
  <c r="E175" i="5"/>
  <c r="C175" i="5"/>
  <c r="E174" i="5"/>
  <c r="C174" i="5"/>
  <c r="E173" i="5"/>
  <c r="C173" i="5"/>
  <c r="E172" i="5"/>
  <c r="C172" i="5"/>
  <c r="E171" i="5"/>
  <c r="C171" i="5"/>
  <c r="E170" i="5"/>
  <c r="C170" i="5"/>
  <c r="E169" i="5"/>
  <c r="C169" i="5"/>
  <c r="E168" i="5"/>
  <c r="C168" i="5"/>
  <c r="E167" i="5"/>
  <c r="C167" i="5"/>
  <c r="E166" i="5"/>
  <c r="C166" i="5"/>
  <c r="E165" i="5"/>
  <c r="C165" i="5"/>
  <c r="E164" i="5"/>
  <c r="C164" i="5"/>
  <c r="E163" i="5"/>
  <c r="C163" i="5"/>
  <c r="E162" i="5"/>
  <c r="C162" i="5"/>
  <c r="E161" i="5"/>
  <c r="C161" i="5"/>
  <c r="E160" i="5"/>
  <c r="C160" i="5"/>
  <c r="E159" i="5"/>
  <c r="C159" i="5"/>
  <c r="E158" i="5"/>
  <c r="C158" i="5"/>
  <c r="E157" i="5"/>
  <c r="C157" i="5"/>
  <c r="E156" i="5"/>
  <c r="C156" i="5"/>
  <c r="E155" i="5"/>
  <c r="C155" i="5"/>
  <c r="E154" i="5"/>
  <c r="C154" i="5"/>
  <c r="E153" i="5"/>
  <c r="C153" i="5"/>
  <c r="E152" i="5"/>
  <c r="C152" i="5"/>
  <c r="E151" i="5"/>
  <c r="C151" i="5"/>
  <c r="E150" i="5"/>
  <c r="C150" i="5"/>
  <c r="E149" i="5"/>
  <c r="C149" i="5"/>
  <c r="E148" i="5"/>
  <c r="C148" i="5"/>
  <c r="E147" i="5"/>
  <c r="C147" i="5"/>
  <c r="E146" i="5"/>
  <c r="C146" i="5"/>
  <c r="E145" i="5"/>
  <c r="C145" i="5"/>
  <c r="E144" i="5"/>
  <c r="C144" i="5"/>
  <c r="E143" i="5"/>
  <c r="C143" i="5"/>
  <c r="E142" i="5"/>
  <c r="C142" i="5"/>
  <c r="E141" i="5"/>
  <c r="C141" i="5"/>
  <c r="E140" i="5"/>
  <c r="C140" i="5"/>
  <c r="E139" i="5"/>
  <c r="C139" i="5"/>
  <c r="E138" i="5"/>
  <c r="C138" i="5"/>
  <c r="E137" i="5"/>
  <c r="C137" i="5"/>
  <c r="E136" i="5"/>
  <c r="C136" i="5"/>
  <c r="E135" i="5"/>
  <c r="C135" i="5"/>
  <c r="E134" i="5"/>
  <c r="C134" i="5"/>
  <c r="E133" i="5"/>
  <c r="C133" i="5"/>
  <c r="E132" i="5"/>
  <c r="C132" i="5"/>
  <c r="E131" i="5"/>
  <c r="C131" i="5"/>
  <c r="E130" i="5"/>
  <c r="C130" i="5"/>
  <c r="E129" i="5"/>
  <c r="C129" i="5"/>
  <c r="E128" i="5"/>
  <c r="C128" i="5"/>
  <c r="E127" i="5"/>
  <c r="C127" i="5"/>
  <c r="E126" i="5"/>
  <c r="C126" i="5"/>
  <c r="E125" i="5"/>
  <c r="C125" i="5"/>
  <c r="E124" i="5"/>
  <c r="C124" i="5"/>
  <c r="E123" i="5"/>
  <c r="C123" i="5"/>
  <c r="E122" i="5"/>
  <c r="C122" i="5"/>
  <c r="E121" i="5"/>
  <c r="C121" i="5"/>
  <c r="E120" i="5"/>
  <c r="C120" i="5"/>
  <c r="E119" i="5"/>
  <c r="C119" i="5"/>
  <c r="E118" i="5"/>
  <c r="C118" i="5"/>
  <c r="E117" i="5"/>
  <c r="C117" i="5"/>
  <c r="E116" i="5"/>
  <c r="C116" i="5"/>
  <c r="E115" i="5"/>
  <c r="C115" i="5"/>
  <c r="E114" i="5"/>
  <c r="C114" i="5"/>
  <c r="E113" i="5"/>
  <c r="C113" i="5"/>
  <c r="E112" i="5"/>
  <c r="C112" i="5"/>
  <c r="E111" i="5"/>
  <c r="C111" i="5"/>
  <c r="E110" i="5"/>
  <c r="C110" i="5"/>
  <c r="E109" i="5"/>
  <c r="C109" i="5"/>
  <c r="E108" i="5"/>
  <c r="C108" i="5"/>
  <c r="E107" i="5"/>
  <c r="C107" i="5"/>
  <c r="E106" i="5"/>
  <c r="C106" i="5"/>
  <c r="E105" i="5"/>
  <c r="C105" i="5"/>
  <c r="E104" i="5"/>
  <c r="C104" i="5"/>
  <c r="E103" i="5"/>
  <c r="C103" i="5"/>
  <c r="E102" i="5"/>
  <c r="C102" i="5"/>
  <c r="E101" i="5"/>
  <c r="C101" i="5"/>
  <c r="E100" i="5"/>
  <c r="C100" i="5"/>
  <c r="E99" i="5"/>
  <c r="C99" i="5"/>
  <c r="E98" i="5"/>
  <c r="C98" i="5"/>
  <c r="E97" i="5"/>
  <c r="C97" i="5"/>
  <c r="E96" i="5"/>
  <c r="C96" i="5"/>
  <c r="E95" i="5"/>
  <c r="C95" i="5"/>
  <c r="E94" i="5"/>
  <c r="C94" i="5"/>
  <c r="E93" i="5"/>
  <c r="C93" i="5"/>
  <c r="E92" i="5"/>
  <c r="C92" i="5"/>
  <c r="E91" i="5"/>
  <c r="C91" i="5"/>
  <c r="E90" i="5"/>
  <c r="C90" i="5"/>
  <c r="E89" i="5"/>
  <c r="C89" i="5"/>
  <c r="E88" i="5"/>
  <c r="C88" i="5"/>
  <c r="E87" i="5"/>
  <c r="C87" i="5"/>
  <c r="E86" i="5"/>
  <c r="C86" i="5"/>
  <c r="E85" i="5"/>
  <c r="C85" i="5"/>
  <c r="E84" i="5"/>
  <c r="C84" i="5"/>
  <c r="E83" i="5"/>
  <c r="C83" i="5"/>
  <c r="E82" i="5"/>
  <c r="C82" i="5"/>
  <c r="E81" i="5"/>
  <c r="C81" i="5"/>
  <c r="E80" i="5"/>
  <c r="C80" i="5"/>
  <c r="E79" i="5"/>
  <c r="C79" i="5"/>
  <c r="E78" i="5"/>
  <c r="C78" i="5"/>
  <c r="E77" i="5"/>
  <c r="C77" i="5"/>
  <c r="E76" i="5"/>
  <c r="C76" i="5"/>
  <c r="E75" i="5"/>
  <c r="C75" i="5"/>
  <c r="E74" i="5"/>
  <c r="C74" i="5"/>
  <c r="E73" i="5"/>
  <c r="C73" i="5"/>
  <c r="E72" i="5"/>
  <c r="C72" i="5"/>
  <c r="E71" i="5"/>
  <c r="C71" i="5"/>
  <c r="E70" i="5"/>
  <c r="C70" i="5"/>
  <c r="E69" i="5"/>
  <c r="C69" i="5"/>
  <c r="E68" i="5"/>
  <c r="C68" i="5"/>
  <c r="E67" i="5"/>
  <c r="C67" i="5"/>
  <c r="E66" i="5"/>
  <c r="C66" i="5"/>
  <c r="E65" i="5"/>
  <c r="C65" i="5"/>
  <c r="E64" i="5"/>
  <c r="C64" i="5"/>
  <c r="E63" i="5"/>
  <c r="C63" i="5"/>
  <c r="E62" i="5"/>
  <c r="C62" i="5"/>
  <c r="E61" i="5"/>
  <c r="C61" i="5"/>
  <c r="E60" i="5"/>
  <c r="C60" i="5"/>
  <c r="E59" i="5"/>
  <c r="C59" i="5"/>
  <c r="E58" i="5"/>
  <c r="C58" i="5"/>
  <c r="E57" i="5"/>
  <c r="C57" i="5"/>
  <c r="E56" i="5"/>
  <c r="C56" i="5"/>
  <c r="E55" i="5"/>
  <c r="C55" i="5"/>
  <c r="E54" i="5"/>
  <c r="C54" i="5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F13" i="5" s="1"/>
  <c r="E31" i="5"/>
  <c r="C31" i="5"/>
  <c r="F12" i="5"/>
  <c r="F8" i="5"/>
  <c r="F7" i="5"/>
  <c r="F9" i="5" s="1"/>
  <c r="I4" i="5" s="1"/>
  <c r="J17" i="2"/>
  <c r="K17" i="2"/>
  <c r="L17" i="2"/>
  <c r="M17" i="2"/>
  <c r="N17" i="2"/>
  <c r="J16" i="2"/>
  <c r="K16" i="2"/>
  <c r="L16" i="2"/>
  <c r="M16" i="2"/>
  <c r="N16" i="2"/>
  <c r="J13" i="2"/>
  <c r="K13" i="2"/>
  <c r="L13" i="2"/>
  <c r="M13" i="2"/>
  <c r="N13" i="2"/>
  <c r="K12" i="2"/>
  <c r="L12" i="2"/>
  <c r="M12" i="2"/>
  <c r="N12" i="2"/>
  <c r="J12" i="2"/>
  <c r="K11" i="2"/>
  <c r="L11" i="2"/>
  <c r="M11" i="2"/>
  <c r="N11" i="2"/>
  <c r="J11" i="2"/>
  <c r="K10" i="2"/>
  <c r="L10" i="2"/>
  <c r="M10" i="2"/>
  <c r="N10" i="2"/>
  <c r="J10" i="2"/>
  <c r="J7" i="2"/>
  <c r="K7" i="2"/>
  <c r="L7" i="2"/>
  <c r="M7" i="2"/>
  <c r="N7" i="2"/>
  <c r="K6" i="2"/>
  <c r="L6" i="2"/>
  <c r="M6" i="2"/>
  <c r="N6" i="2"/>
  <c r="J6" i="2"/>
  <c r="K5" i="2"/>
  <c r="L5" i="2"/>
  <c r="M5" i="2"/>
  <c r="N5" i="2"/>
  <c r="J5" i="2"/>
  <c r="K4" i="2"/>
  <c r="L4" i="2"/>
  <c r="M4" i="2"/>
  <c r="N4" i="2"/>
  <c r="J20" i="2"/>
  <c r="J4" i="2" s="1"/>
  <c r="K25" i="2"/>
  <c r="M25" i="2" s="1"/>
  <c r="L25" i="2"/>
  <c r="J25" i="2"/>
  <c r="K24" i="2"/>
  <c r="L24" i="2"/>
  <c r="M24" i="2"/>
  <c r="N24" i="2"/>
  <c r="J24" i="2"/>
  <c r="L23" i="2"/>
  <c r="M23" i="2" s="1"/>
  <c r="N23" i="2" s="1"/>
  <c r="K22" i="2"/>
  <c r="L22" i="2"/>
  <c r="M22" i="2"/>
  <c r="N22" i="2"/>
  <c r="J22" i="2"/>
  <c r="K21" i="2"/>
  <c r="L21" i="2" s="1"/>
  <c r="M21" i="2" s="1"/>
  <c r="N21" i="2" s="1"/>
  <c r="J21" i="2"/>
  <c r="K20" i="2"/>
  <c r="L20" i="2"/>
  <c r="M20" i="2" s="1"/>
  <c r="N20" i="2" s="1"/>
  <c r="E25" i="2"/>
  <c r="F25" i="2"/>
  <c r="G25" i="2"/>
  <c r="H25" i="2"/>
  <c r="I25" i="2"/>
  <c r="D25" i="2"/>
  <c r="E24" i="2"/>
  <c r="F24" i="2"/>
  <c r="G24" i="2"/>
  <c r="H24" i="2"/>
  <c r="I24" i="2"/>
  <c r="D24" i="2"/>
  <c r="E23" i="2"/>
  <c r="F23" i="2"/>
  <c r="G23" i="2"/>
  <c r="H23" i="2"/>
  <c r="I23" i="2"/>
  <c r="D23" i="2"/>
  <c r="E22" i="2"/>
  <c r="F22" i="2"/>
  <c r="G22" i="2"/>
  <c r="H22" i="2"/>
  <c r="I22" i="2"/>
  <c r="D22" i="2"/>
  <c r="E21" i="2"/>
  <c r="F21" i="2"/>
  <c r="G21" i="2"/>
  <c r="H21" i="2"/>
  <c r="I21" i="2"/>
  <c r="D21" i="2"/>
  <c r="E20" i="2"/>
  <c r="F20" i="2"/>
  <c r="G20" i="2"/>
  <c r="H20" i="2"/>
  <c r="I20" i="2"/>
  <c r="D20" i="2"/>
  <c r="F17" i="2"/>
  <c r="G17" i="2"/>
  <c r="H17" i="2"/>
  <c r="I17" i="2"/>
  <c r="E17" i="2"/>
  <c r="E16" i="2"/>
  <c r="F16" i="2"/>
  <c r="G16" i="2"/>
  <c r="H16" i="2"/>
  <c r="I16" i="2"/>
  <c r="D16" i="2"/>
  <c r="E13" i="2"/>
  <c r="F13" i="2"/>
  <c r="G13" i="2"/>
  <c r="H13" i="2"/>
  <c r="I13" i="2"/>
  <c r="D13" i="2"/>
  <c r="E7" i="2"/>
  <c r="F7" i="2"/>
  <c r="G7" i="2"/>
  <c r="H7" i="2"/>
  <c r="I7" i="2"/>
  <c r="D7" i="2"/>
  <c r="E21" i="1"/>
  <c r="F21" i="1"/>
  <c r="G21" i="1"/>
  <c r="H21" i="1"/>
  <c r="I21" i="1"/>
  <c r="J21" i="1"/>
  <c r="K21" i="1"/>
  <c r="L21" i="1"/>
  <c r="L24" i="1" s="1"/>
  <c r="L25" i="1" s="1"/>
  <c r="M21" i="1"/>
  <c r="N21" i="1"/>
  <c r="D21" i="1"/>
  <c r="J8" i="3"/>
  <c r="K8" i="3"/>
  <c r="L8" i="3"/>
  <c r="M8" i="3"/>
  <c r="I8" i="3"/>
  <c r="J9" i="3"/>
  <c r="K9" i="3"/>
  <c r="L9" i="3"/>
  <c r="M9" i="3"/>
  <c r="I9" i="3"/>
  <c r="D9" i="3"/>
  <c r="E9" i="3"/>
  <c r="F9" i="3"/>
  <c r="G9" i="3"/>
  <c r="H9" i="3"/>
  <c r="C9" i="3"/>
  <c r="J6" i="3"/>
  <c r="J4" i="3"/>
  <c r="K4" i="3"/>
  <c r="K6" i="3" s="1"/>
  <c r="L4" i="3" s="1"/>
  <c r="L6" i="3" s="1"/>
  <c r="M4" i="3" s="1"/>
  <c r="M6" i="3" s="1"/>
  <c r="I6" i="3"/>
  <c r="I4" i="3"/>
  <c r="D5" i="3"/>
  <c r="E5" i="3"/>
  <c r="F5" i="3"/>
  <c r="G5" i="3"/>
  <c r="H5" i="3"/>
  <c r="C5" i="3"/>
  <c r="K11" i="1"/>
  <c r="L11" i="1"/>
  <c r="M11" i="1"/>
  <c r="N11" i="1"/>
  <c r="J11" i="1"/>
  <c r="K13" i="1"/>
  <c r="L13" i="1"/>
  <c r="M13" i="1"/>
  <c r="N13" i="1"/>
  <c r="J13" i="1"/>
  <c r="K15" i="1"/>
  <c r="L15" i="1"/>
  <c r="M15" i="1"/>
  <c r="N15" i="1"/>
  <c r="J15" i="1"/>
  <c r="K14" i="1"/>
  <c r="L14" i="1"/>
  <c r="M14" i="1"/>
  <c r="N14" i="1"/>
  <c r="J14" i="1"/>
  <c r="K21" i="4"/>
  <c r="K20" i="4"/>
  <c r="K19" i="4"/>
  <c r="K17" i="4"/>
  <c r="L17" i="4"/>
  <c r="L19" i="4" s="1"/>
  <c r="J21" i="4"/>
  <c r="J20" i="4"/>
  <c r="J19" i="4"/>
  <c r="J17" i="4"/>
  <c r="K6" i="4"/>
  <c r="L6" i="4"/>
  <c r="M6" i="4"/>
  <c r="N6" i="4"/>
  <c r="J6" i="4"/>
  <c r="J5" i="4"/>
  <c r="K5" i="4"/>
  <c r="L5" i="4"/>
  <c r="M5" i="4"/>
  <c r="N5" i="4"/>
  <c r="J7" i="4"/>
  <c r="E13" i="4"/>
  <c r="F13" i="4"/>
  <c r="G13" i="4"/>
  <c r="H13" i="4"/>
  <c r="I13" i="4"/>
  <c r="D13" i="4"/>
  <c r="K23" i="4"/>
  <c r="L23" i="4" s="1"/>
  <c r="J23" i="4"/>
  <c r="E23" i="4"/>
  <c r="F23" i="4"/>
  <c r="G23" i="4"/>
  <c r="H23" i="4"/>
  <c r="I23" i="4"/>
  <c r="D23" i="4"/>
  <c r="E18" i="4"/>
  <c r="F18" i="4"/>
  <c r="G18" i="4"/>
  <c r="H18" i="4"/>
  <c r="I18" i="4"/>
  <c r="D18" i="4"/>
  <c r="E17" i="4"/>
  <c r="F17" i="4"/>
  <c r="G17" i="4"/>
  <c r="H17" i="4"/>
  <c r="I17" i="4"/>
  <c r="D17" i="4"/>
  <c r="E19" i="4"/>
  <c r="F19" i="4"/>
  <c r="G19" i="4"/>
  <c r="H19" i="4"/>
  <c r="I19" i="4"/>
  <c r="D19" i="4"/>
  <c r="E20" i="4"/>
  <c r="F20" i="4"/>
  <c r="G20" i="4"/>
  <c r="H20" i="4"/>
  <c r="I20" i="4"/>
  <c r="D20" i="4"/>
  <c r="E11" i="4"/>
  <c r="F11" i="4"/>
  <c r="G11" i="4"/>
  <c r="H11" i="4"/>
  <c r="I11" i="4"/>
  <c r="D11" i="4"/>
  <c r="E6" i="4"/>
  <c r="F6" i="4"/>
  <c r="G6" i="4"/>
  <c r="H6" i="4"/>
  <c r="I6" i="4"/>
  <c r="D6" i="4"/>
  <c r="E7" i="4"/>
  <c r="F7" i="4"/>
  <c r="G7" i="4"/>
  <c r="H7" i="4"/>
  <c r="I7" i="4"/>
  <c r="D7" i="4"/>
  <c r="E8" i="4"/>
  <c r="F8" i="4"/>
  <c r="G8" i="4"/>
  <c r="H8" i="4"/>
  <c r="I8" i="4"/>
  <c r="D8" i="4"/>
  <c r="E4" i="3"/>
  <c r="C4" i="3"/>
  <c r="K24" i="1"/>
  <c r="K25" i="1" s="1"/>
  <c r="M24" i="1"/>
  <c r="M25" i="1" s="1"/>
  <c r="N24" i="1"/>
  <c r="N25" i="1" s="1"/>
  <c r="J24" i="1"/>
  <c r="J25" i="1" s="1"/>
  <c r="K26" i="1"/>
  <c r="L26" i="1"/>
  <c r="M26" i="1" s="1"/>
  <c r="N26" i="1" s="1"/>
  <c r="J26" i="1"/>
  <c r="E26" i="1"/>
  <c r="F26" i="1"/>
  <c r="G26" i="1"/>
  <c r="H26" i="1"/>
  <c r="I26" i="1"/>
  <c r="D26" i="1"/>
  <c r="E15" i="1"/>
  <c r="F15" i="1"/>
  <c r="G15" i="1"/>
  <c r="H15" i="1"/>
  <c r="I15" i="1"/>
  <c r="D15" i="1"/>
  <c r="E18" i="1"/>
  <c r="F18" i="1"/>
  <c r="G18" i="1"/>
  <c r="H18" i="1"/>
  <c r="I18" i="1"/>
  <c r="D18" i="1"/>
  <c r="I5" i="4"/>
  <c r="E5" i="4"/>
  <c r="F5" i="4"/>
  <c r="G5" i="4"/>
  <c r="H5" i="4"/>
  <c r="D5" i="4"/>
  <c r="H6" i="3"/>
  <c r="G6" i="3"/>
  <c r="H4" i="3" s="1"/>
  <c r="F6" i="3"/>
  <c r="G4" i="3" s="1"/>
  <c r="E6" i="3"/>
  <c r="F4" i="3" s="1"/>
  <c r="D6" i="3"/>
  <c r="C6" i="3"/>
  <c r="D4" i="3" s="1"/>
  <c r="D8" i="1"/>
  <c r="D9" i="1" s="1"/>
  <c r="I4" i="1"/>
  <c r="O4" i="1" s="1"/>
  <c r="I8" i="1"/>
  <c r="I9" i="1" s="1"/>
  <c r="F4" i="1"/>
  <c r="G4" i="1"/>
  <c r="H4" i="1"/>
  <c r="E4" i="1"/>
  <c r="E8" i="1"/>
  <c r="E9" i="1" s="1"/>
  <c r="F8" i="1"/>
  <c r="F9" i="1" s="1"/>
  <c r="G8" i="1"/>
  <c r="G9" i="1" s="1"/>
  <c r="H8" i="1"/>
  <c r="H9" i="1" s="1"/>
  <c r="F15" i="5" l="1"/>
  <c r="F18" i="5" s="1"/>
  <c r="I5" i="5" s="1"/>
  <c r="N25" i="2"/>
  <c r="L20" i="4"/>
  <c r="L21" i="4" s="1"/>
  <c r="M17" i="4" s="1"/>
  <c r="M19" i="4" s="1"/>
  <c r="N23" i="4"/>
  <c r="M23" i="4"/>
  <c r="J4" i="1"/>
  <c r="J3" i="1" s="1"/>
  <c r="J18" i="1"/>
  <c r="K18" i="1" s="1"/>
  <c r="L18" i="1" s="1"/>
  <c r="K4" i="1"/>
  <c r="L4" i="1" s="1"/>
  <c r="M4" i="1" s="1"/>
  <c r="J9" i="1"/>
  <c r="K9" i="1" s="1"/>
  <c r="M20" i="4" l="1"/>
  <c r="M21" i="4" s="1"/>
  <c r="N17" i="4" s="1"/>
  <c r="N19" i="4" s="1"/>
  <c r="M18" i="1"/>
  <c r="N18" i="1" s="1"/>
  <c r="J8" i="1"/>
  <c r="J7" i="1" s="1"/>
  <c r="J17" i="1"/>
  <c r="K3" i="1"/>
  <c r="L9" i="1"/>
  <c r="N20" i="4" l="1"/>
  <c r="N21" i="4"/>
  <c r="L3" i="1"/>
  <c r="K17" i="1"/>
  <c r="K8" i="1"/>
  <c r="K7" i="1" s="1"/>
  <c r="L8" i="1"/>
  <c r="M9" i="1"/>
  <c r="N9" i="1" l="1"/>
  <c r="M3" i="1"/>
  <c r="M8" i="1" s="1"/>
  <c r="L7" i="1"/>
  <c r="L17" i="1"/>
  <c r="N3" i="1" l="1"/>
  <c r="N8" i="1" s="1"/>
  <c r="M17" i="1"/>
  <c r="M7" i="1"/>
  <c r="N17" i="1" l="1"/>
  <c r="N7" i="1"/>
  <c r="L7" i="4"/>
  <c r="L8" i="4" s="1"/>
  <c r="M7" i="4"/>
  <c r="K7" i="4"/>
  <c r="K8" i="4" s="1"/>
  <c r="N7" i="4"/>
  <c r="N8" i="4" s="1"/>
  <c r="J8" i="4"/>
  <c r="N9" i="4" l="1"/>
  <c r="K9" i="4"/>
  <c r="M8" i="4"/>
  <c r="M9" i="4" s="1"/>
  <c r="L9" i="4"/>
  <c r="J9" i="4"/>
  <c r="C10" i="6"/>
  <c r="D10" i="6"/>
  <c r="E10" i="6"/>
  <c r="F10" i="6"/>
  <c r="G10" i="6"/>
  <c r="C13" i="6"/>
  <c r="C19" i="6"/>
  <c r="C21" i="6"/>
  <c r="C23" i="6"/>
  <c r="C26" i="6"/>
  <c r="C28" i="6"/>
  <c r="K4" i="5"/>
  <c r="K5" i="5"/>
  <c r="K6" i="5"/>
  <c r="H31" i="5"/>
  <c r="H34" i="5"/>
</calcChain>
</file>

<file path=xl/sharedStrings.xml><?xml version="1.0" encoding="utf-8"?>
<sst xmlns="http://schemas.openxmlformats.org/spreadsheetml/2006/main" count="126" uniqueCount="107">
  <si>
    <t>Figures in $ Mn</t>
  </si>
  <si>
    <t>Historical</t>
  </si>
  <si>
    <t>Projected</t>
  </si>
  <si>
    <t>Sales</t>
  </si>
  <si>
    <t>% Growth Rate</t>
  </si>
  <si>
    <t>Cost of Goods Sold(COGS)</t>
  </si>
  <si>
    <t>Gross Profit</t>
  </si>
  <si>
    <t>Other operating expenses</t>
  </si>
  <si>
    <t>% Gross Profit</t>
  </si>
  <si>
    <t>Depreciation and Amortization</t>
  </si>
  <si>
    <t>Amortization</t>
  </si>
  <si>
    <t>Depreciation</t>
  </si>
  <si>
    <t>Operating Profit(EBIT)</t>
  </si>
  <si>
    <t>% Operating Profit</t>
  </si>
  <si>
    <t>Interest Expenses</t>
  </si>
  <si>
    <t>Tax Rate</t>
  </si>
  <si>
    <t>PBT</t>
  </si>
  <si>
    <t>Current Assets</t>
  </si>
  <si>
    <t>Debtors</t>
  </si>
  <si>
    <t>Inventory</t>
  </si>
  <si>
    <t>Other Current Assets</t>
  </si>
  <si>
    <t>Total Current Assets</t>
  </si>
  <si>
    <t>Current Liabilities</t>
  </si>
  <si>
    <t>Creditors</t>
  </si>
  <si>
    <t>Accrued Income Tax Payable</t>
  </si>
  <si>
    <t>Other accurals</t>
  </si>
  <si>
    <t>Total Current Liabilities</t>
  </si>
  <si>
    <t>Net Working Capital</t>
  </si>
  <si>
    <t>Changes in Working Capital</t>
  </si>
  <si>
    <t>Debtor Days</t>
  </si>
  <si>
    <t>Inventory Days</t>
  </si>
  <si>
    <t>Other current assets as % of revenue</t>
  </si>
  <si>
    <t>Creditor  Days</t>
  </si>
  <si>
    <t>Debt Schedule</t>
  </si>
  <si>
    <t>Operating Balance</t>
  </si>
  <si>
    <t>Closing Balance</t>
  </si>
  <si>
    <t>% Interest Paid</t>
  </si>
  <si>
    <t>Fixed Assets Schedule</t>
  </si>
  <si>
    <t>Opening Balance</t>
  </si>
  <si>
    <t>Add: Net Purchases</t>
  </si>
  <si>
    <t>Total Fixed Assets</t>
  </si>
  <si>
    <t>Less: Depreciation</t>
  </si>
  <si>
    <t>Rate of Depreciation</t>
  </si>
  <si>
    <t>Fixed Asset Turnover Ratio</t>
  </si>
  <si>
    <t>Other Intangible Assets Schedule</t>
  </si>
  <si>
    <t>Rate of Amortization</t>
  </si>
  <si>
    <t>Tax Expenses</t>
  </si>
  <si>
    <t>Less: Amortization</t>
  </si>
  <si>
    <t>Total Intangible Assets</t>
  </si>
  <si>
    <t>Add/less: Debt taken/repaid</t>
  </si>
  <si>
    <t>Accrued Income Tax Payable as % of Income tax</t>
  </si>
  <si>
    <t>Other accurals as % of operating expenses</t>
  </si>
  <si>
    <t>Risk-free Rate</t>
  </si>
  <si>
    <t>Cost of Debt</t>
  </si>
  <si>
    <t>Risk Free Rate</t>
  </si>
  <si>
    <t>Add: Company Risk premium</t>
  </si>
  <si>
    <t>Add: Country Risk premium</t>
  </si>
  <si>
    <t>Tax Rates</t>
  </si>
  <si>
    <t>Post-tax cost of debt</t>
  </si>
  <si>
    <t>Cost of Equity</t>
  </si>
  <si>
    <t>Beta</t>
  </si>
  <si>
    <t>Return on Markets</t>
  </si>
  <si>
    <t>Calculation of return on market</t>
  </si>
  <si>
    <t>Calculation of Beta</t>
  </si>
  <si>
    <t>Last 3 years weekly data</t>
  </si>
  <si>
    <t>Date</t>
  </si>
  <si>
    <t>Return of Market</t>
  </si>
  <si>
    <t>Return of Walmart</t>
  </si>
  <si>
    <t>Adj Close(Market)</t>
  </si>
  <si>
    <t>Adjusted Close(Stock)</t>
  </si>
  <si>
    <t>Start Date</t>
  </si>
  <si>
    <t>Valuation Date</t>
  </si>
  <si>
    <t>Years</t>
  </si>
  <si>
    <t>CAGR</t>
  </si>
  <si>
    <t>Calculation of Market Value Weights</t>
  </si>
  <si>
    <t>Shares Outstanding</t>
  </si>
  <si>
    <t>Price Per share</t>
  </si>
  <si>
    <t>Value of Equity Shares</t>
  </si>
  <si>
    <t>Value of Debt</t>
  </si>
  <si>
    <r>
      <t>W</t>
    </r>
    <r>
      <rPr>
        <sz val="10"/>
        <color theme="1"/>
        <rFont val="Calibri"/>
        <family val="2"/>
        <scheme val="minor"/>
      </rPr>
      <t>e</t>
    </r>
  </si>
  <si>
    <r>
      <t>K</t>
    </r>
    <r>
      <rPr>
        <sz val="10"/>
        <color theme="1"/>
        <rFont val="Calibri"/>
        <family val="2"/>
        <scheme val="minor"/>
      </rPr>
      <t>e</t>
    </r>
  </si>
  <si>
    <r>
      <t>K</t>
    </r>
    <r>
      <rPr>
        <sz val="10"/>
        <color theme="1"/>
        <rFont val="Calibri"/>
        <family val="2"/>
        <scheme val="minor"/>
      </rPr>
      <t>d</t>
    </r>
  </si>
  <si>
    <r>
      <t>W</t>
    </r>
    <r>
      <rPr>
        <sz val="10"/>
        <color theme="1"/>
        <rFont val="Calibri"/>
        <family val="2"/>
        <scheme val="minor"/>
      </rPr>
      <t>d</t>
    </r>
  </si>
  <si>
    <t>WACC</t>
  </si>
  <si>
    <t>EBIT</t>
  </si>
  <si>
    <t>Less: Taxes</t>
  </si>
  <si>
    <t>NOPAT</t>
  </si>
  <si>
    <t>Add: Depreciation &amp; Amortization</t>
  </si>
  <si>
    <t>Add/Less: Working Capital Changes</t>
  </si>
  <si>
    <t>Less: Investments in Fixed assets</t>
  </si>
  <si>
    <t>FCF</t>
  </si>
  <si>
    <t>Discount Factor</t>
  </si>
  <si>
    <t>Present Value of Explicit Period</t>
  </si>
  <si>
    <t>Exit Multiple</t>
  </si>
  <si>
    <t>EV/EBITDA</t>
  </si>
  <si>
    <t>EBITDA</t>
  </si>
  <si>
    <t>Enterprise Value</t>
  </si>
  <si>
    <t>Present Value of Terminal Balue</t>
  </si>
  <si>
    <t>Total Present value of Operations</t>
  </si>
  <si>
    <t>Add: Non operating assets including cash</t>
  </si>
  <si>
    <t>Value of the firm</t>
  </si>
  <si>
    <t>Less: Debt</t>
  </si>
  <si>
    <t>Less: Non controlling Interest</t>
  </si>
  <si>
    <t>Value of equity</t>
  </si>
  <si>
    <t>Shares outstanding</t>
  </si>
  <si>
    <t>Value per share(26/01/2023)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</si>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</sst>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3" xfId="0" applyFont="1" applyBorder="1"/>
    <xf numFmtId="0" fontId="2" fillId="0" borderId="0" xfId="0" applyFont="1"/>
    <xf numFmtId="3" fontId="0" fillId="0" borderId="0" xfId="0" applyNumberFormat="1"/>
    <xf numFmtId="10" fontId="0" fillId="0" borderId="0" xfId="1" applyNumberFormat="1" applyFont="1"/>
    <xf numFmtId="0" fontId="2" fillId="0" borderId="3" xfId="0" applyFont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164" fontId="0" fillId="0" borderId="0" xfId="0" applyNumberFormat="1"/>
    <xf numFmtId="10" fontId="0" fillId="0" borderId="0" xfId="0" applyNumberFormat="1"/>
    <xf numFmtId="10" fontId="0" fillId="0" borderId="3" xfId="0" applyNumberFormat="1" applyBorder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5" xfId="0" applyNumberFormat="1" applyBorder="1"/>
    <xf numFmtId="1" fontId="0" fillId="0" borderId="3" xfId="0" applyNumberFormat="1" applyBorder="1"/>
    <xf numFmtId="0" fontId="3" fillId="0" borderId="0" xfId="0" applyFont="1"/>
    <xf numFmtId="10" fontId="3" fillId="0" borderId="0" xfId="1" applyNumberFormat="1" applyFont="1"/>
    <xf numFmtId="3" fontId="3" fillId="0" borderId="0" xfId="0" applyNumberFormat="1" applyFont="1"/>
    <xf numFmtId="164" fontId="3" fillId="0" borderId="0" xfId="1" applyNumberFormat="1" applyFont="1"/>
    <xf numFmtId="10" fontId="3" fillId="0" borderId="3" xfId="1" applyNumberFormat="1" applyFont="1" applyBorder="1"/>
    <xf numFmtId="0" fontId="3" fillId="0" borderId="5" xfId="0" applyFont="1" applyBorder="1"/>
    <xf numFmtId="2" fontId="3" fillId="0" borderId="0" xfId="0" applyNumberFormat="1" applyFont="1"/>
    <xf numFmtId="165" fontId="3" fillId="0" borderId="0" xfId="0" applyNumberFormat="1" applyFont="1"/>
    <xf numFmtId="9" fontId="3" fillId="0" borderId="0" xfId="1" applyFont="1"/>
    <xf numFmtId="9" fontId="3" fillId="0" borderId="3" xfId="1" applyFont="1" applyBorder="1"/>
    <xf numFmtId="9" fontId="0" fillId="0" borderId="0" xfId="0" applyNumberFormat="1"/>
    <xf numFmtId="9" fontId="0" fillId="0" borderId="3" xfId="0" applyNumberFormat="1" applyBorder="1"/>
    <xf numFmtId="15" fontId="0" fillId="0" borderId="0" xfId="0" applyNumberFormat="1"/>
    <xf numFmtId="0" fontId="0" fillId="0" borderId="2" xfId="0" applyBorder="1"/>
    <xf numFmtId="10" fontId="2" fillId="0" borderId="0" xfId="0" applyNumberFormat="1" applyFont="1"/>
    <xf numFmtId="14" fontId="0" fillId="0" borderId="0" xfId="0" applyNumberFormat="1"/>
    <xf numFmtId="0" fontId="2" fillId="0" borderId="7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Border="1"/>
    <xf numFmtId="0" fontId="2" fillId="0" borderId="8" xfId="0" applyFont="1" applyFill="1" applyBorder="1"/>
    <xf numFmtId="3" fontId="0" fillId="0" borderId="0" xfId="0" applyNumberFormat="1" applyBorder="1"/>
    <xf numFmtId="1" fontId="0" fillId="0" borderId="0" xfId="0" applyNumberFormat="1" applyBorder="1"/>
    <xf numFmtId="0" fontId="0" fillId="0" borderId="9" xfId="0" applyBorder="1"/>
    <xf numFmtId="3" fontId="0" fillId="0" borderId="3" xfId="0" applyNumberFormat="1" applyBorder="1"/>
    <xf numFmtId="0" fontId="2" fillId="0" borderId="8" xfId="0" applyFont="1" applyBorder="1"/>
    <xf numFmtId="15" fontId="0" fillId="0" borderId="0" xfId="0" applyNumberFormat="1" applyBorder="1"/>
    <xf numFmtId="2" fontId="0" fillId="0" borderId="0" xfId="0" applyNumberFormat="1" applyBorder="1"/>
    <xf numFmtId="10" fontId="0" fillId="0" borderId="4" xfId="1" applyNumberFormat="1" applyFont="1" applyBorder="1"/>
    <xf numFmtId="0" fontId="0" fillId="0" borderId="8" xfId="0" applyBorder="1"/>
    <xf numFmtId="10" fontId="0" fillId="0" borderId="5" xfId="0" applyNumberFormat="1" applyBorder="1"/>
    <xf numFmtId="166" fontId="0" fillId="0" borderId="6" xfId="0" applyNumberFormat="1" applyBorder="1"/>
    <xf numFmtId="166" fontId="0" fillId="0" borderId="4" xfId="0" applyNumberFormat="1" applyBorder="1"/>
    <xf numFmtId="0" fontId="2" fillId="0" borderId="9" xfId="0" applyFont="1" applyBorder="1"/>
    <xf numFmtId="0" fontId="0" fillId="0" borderId="3" xfId="0" applyNumberFormat="1" applyBorder="1"/>
    <xf numFmtId="0" fontId="5" fillId="0" borderId="0" xfId="0" applyFont="1"/>
    <xf numFmtId="1" fontId="5" fillId="0" borderId="0" xfId="0" applyNumberFormat="1" applyFont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7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A9B1-94C8-40B4-BE93-20C658EFC0BE}">
  <sheetPr>
    <tabColor theme="4" tint="-0.249977111117893"/>
  </sheetPr>
  <dimension ref="A1:O359"/>
  <sheetViews>
    <sheetView showGridLines="0" workbookViewId="0">
      <selection activeCell="I6" sqref="I6"/>
    </sheetView>
  </sheetViews>
  <sheetFormatPr defaultRowHeight="15" x14ac:dyDescent="0.25"/>
  <cols>
    <col min="1" max="1" width="30.140625" customWidth="1"/>
    <col min="3" max="3" width="9.140625" style="1"/>
    <col min="4" max="8" width="9.5703125" bestFit="1" customWidth="1"/>
    <col min="15" max="15" width="10.42578125" customWidth="1"/>
  </cols>
  <sheetData>
    <row r="1" spans="1:15" x14ac:dyDescent="0.25">
      <c r="A1" s="5" t="s">
        <v>0</v>
      </c>
      <c r="D1" s="37" t="s">
        <v>1</v>
      </c>
      <c r="E1" s="38"/>
      <c r="F1" s="38"/>
      <c r="G1" s="38"/>
      <c r="H1" s="38"/>
      <c r="I1" s="38"/>
      <c r="J1" s="39" t="s">
        <v>2</v>
      </c>
      <c r="K1" s="39"/>
      <c r="L1" s="39"/>
      <c r="M1" s="39"/>
      <c r="N1" s="39"/>
    </row>
    <row r="2" spans="1:15" x14ac:dyDescent="0.25">
      <c r="A2" s="2"/>
      <c r="B2" s="2"/>
      <c r="C2" s="3"/>
      <c r="D2" s="4">
        <v>2017</v>
      </c>
      <c r="E2" s="4">
        <v>2018</v>
      </c>
      <c r="F2" s="4">
        <v>2019</v>
      </c>
      <c r="G2" s="4">
        <v>2020</v>
      </c>
      <c r="H2" s="4">
        <v>2021</v>
      </c>
      <c r="I2" s="4">
        <v>2022</v>
      </c>
      <c r="J2" s="2">
        <v>2023</v>
      </c>
      <c r="K2" s="2">
        <v>2024</v>
      </c>
      <c r="L2" s="2">
        <v>2025</v>
      </c>
      <c r="M2" s="2">
        <v>2026</v>
      </c>
      <c r="N2" s="2">
        <v>2027</v>
      </c>
    </row>
    <row r="3" spans="1:15" x14ac:dyDescent="0.25">
      <c r="A3" s="5" t="s">
        <v>3</v>
      </c>
      <c r="D3" s="20">
        <v>481317</v>
      </c>
      <c r="E3" s="20">
        <v>495761</v>
      </c>
      <c r="F3" s="20">
        <v>510321</v>
      </c>
      <c r="G3" s="20">
        <v>519926</v>
      </c>
      <c r="H3" s="20">
        <v>555233</v>
      </c>
      <c r="I3" s="20">
        <v>567762</v>
      </c>
      <c r="J3">
        <f>I3*(1+J4)</f>
        <v>580024.10531748552</v>
      </c>
      <c r="K3">
        <f t="shared" ref="K3:N3" si="0">J3*(1+K4)</f>
        <v>591989.5530190774</v>
      </c>
      <c r="L3">
        <f t="shared" si="0"/>
        <v>603628.7700896092</v>
      </c>
      <c r="M3">
        <f t="shared" si="0"/>
        <v>614912.49222893058</v>
      </c>
      <c r="N3">
        <f t="shared" si="0"/>
        <v>627210.74207350926</v>
      </c>
    </row>
    <row r="4" spans="1:15" x14ac:dyDescent="0.25">
      <c r="A4" t="s">
        <v>4</v>
      </c>
      <c r="D4" s="20"/>
      <c r="E4" s="21">
        <f>E3/D3-1</f>
        <v>3.000932857139893E-2</v>
      </c>
      <c r="F4" s="21">
        <f t="shared" ref="F4:I4" si="1">F3/E3-1</f>
        <v>2.9368990299761366E-2</v>
      </c>
      <c r="G4" s="21">
        <f t="shared" si="1"/>
        <v>1.8821486868069393E-2</v>
      </c>
      <c r="H4" s="21">
        <f t="shared" si="1"/>
        <v>6.7907740716948162E-2</v>
      </c>
      <c r="I4" s="21">
        <f t="shared" si="1"/>
        <v>2.2565301414001038E-2</v>
      </c>
      <c r="J4" s="12">
        <f>I4-O4</f>
        <v>2.1597263144566684E-2</v>
      </c>
      <c r="K4" s="12">
        <f>J4-O4</f>
        <v>2.0629224875132329E-2</v>
      </c>
      <c r="L4" s="12">
        <f>K4-O4</f>
        <v>1.9661186605697975E-2</v>
      </c>
      <c r="M4" s="12">
        <f>L4-O4</f>
        <v>1.8693148336263621E-2</v>
      </c>
      <c r="N4" s="13">
        <v>0.02</v>
      </c>
      <c r="O4" s="7">
        <f>(I4-N4)/2.65</f>
        <v>9.6803826943435368E-4</v>
      </c>
    </row>
    <row r="5" spans="1:15" x14ac:dyDescent="0.25">
      <c r="D5" s="20"/>
      <c r="E5" s="20"/>
      <c r="F5" s="20"/>
      <c r="G5" s="20"/>
      <c r="H5" s="20"/>
      <c r="I5" s="20"/>
    </row>
    <row r="6" spans="1:15" x14ac:dyDescent="0.25">
      <c r="D6" s="20"/>
      <c r="E6" s="20"/>
      <c r="F6" s="20"/>
      <c r="G6" s="20"/>
      <c r="H6" s="20"/>
      <c r="I6" s="20"/>
    </row>
    <row r="7" spans="1:15" x14ac:dyDescent="0.25">
      <c r="A7" t="s">
        <v>5</v>
      </c>
      <c r="D7" s="20">
        <v>373396</v>
      </c>
      <c r="E7" s="20">
        <v>361256</v>
      </c>
      <c r="F7" s="20">
        <v>385301</v>
      </c>
      <c r="G7" s="20">
        <v>394605</v>
      </c>
      <c r="H7" s="20">
        <v>420315</v>
      </c>
      <c r="I7" s="22">
        <v>429000</v>
      </c>
      <c r="J7" s="6">
        <f>J3-J8</f>
        <v>438020.2016186862</v>
      </c>
      <c r="K7" s="6">
        <f t="shared" ref="K7:N7" si="2">K3-K8</f>
        <v>445023.33372271876</v>
      </c>
      <c r="L7" s="6">
        <f t="shared" si="2"/>
        <v>456092.16606810945</v>
      </c>
      <c r="M7" s="6">
        <f t="shared" si="2"/>
        <v>464676.06727300375</v>
      </c>
      <c r="N7" s="6">
        <f t="shared" si="2"/>
        <v>473626.14790322306</v>
      </c>
    </row>
    <row r="8" spans="1:15" x14ac:dyDescent="0.25">
      <c r="A8" s="5" t="s">
        <v>6</v>
      </c>
      <c r="D8" s="22">
        <f>D3-D7</f>
        <v>107921</v>
      </c>
      <c r="E8" s="22">
        <f t="shared" ref="E8:I8" si="3">E3-E7</f>
        <v>134505</v>
      </c>
      <c r="F8" s="22">
        <f t="shared" si="3"/>
        <v>125020</v>
      </c>
      <c r="G8" s="22">
        <f t="shared" si="3"/>
        <v>125321</v>
      </c>
      <c r="H8" s="22">
        <f t="shared" si="3"/>
        <v>134918</v>
      </c>
      <c r="I8" s="22">
        <f t="shared" si="3"/>
        <v>138762</v>
      </c>
      <c r="J8" s="6">
        <f>J9*J3</f>
        <v>142003.90369879932</v>
      </c>
      <c r="K8" s="6">
        <f t="shared" ref="K8:N8" si="4">K9*K3</f>
        <v>146966.21929635861</v>
      </c>
      <c r="L8" s="6">
        <f t="shared" si="4"/>
        <v>147536.60402149972</v>
      </c>
      <c r="M8" s="6">
        <f t="shared" si="4"/>
        <v>150236.42495592686</v>
      </c>
      <c r="N8" s="6">
        <f t="shared" si="4"/>
        <v>153584.59417028623</v>
      </c>
    </row>
    <row r="9" spans="1:15" x14ac:dyDescent="0.25">
      <c r="A9" t="s">
        <v>8</v>
      </c>
      <c r="D9" s="23">
        <f>D8/D3</f>
        <v>0.22422021245873303</v>
      </c>
      <c r="E9" s="23">
        <f t="shared" ref="E9:I9" si="5">E8/E3</f>
        <v>0.27131016760092058</v>
      </c>
      <c r="F9" s="23">
        <f t="shared" si="5"/>
        <v>0.24498305968204326</v>
      </c>
      <c r="G9" s="23">
        <f t="shared" si="5"/>
        <v>0.24103622438577799</v>
      </c>
      <c r="H9" s="23">
        <f t="shared" si="5"/>
        <v>0.24299348201565829</v>
      </c>
      <c r="I9" s="23">
        <f t="shared" si="5"/>
        <v>0.24440170353070476</v>
      </c>
      <c r="J9" s="12">
        <f>AVERAGE(D9:I9)</f>
        <v>0.24482414161230628</v>
      </c>
      <c r="K9" s="12">
        <f t="shared" ref="K9:N9" si="6">AVERAGE(E9:J9)</f>
        <v>0.24825812980456852</v>
      </c>
      <c r="L9" s="12">
        <f t="shared" si="6"/>
        <v>0.24441612350517652</v>
      </c>
      <c r="M9" s="12">
        <f t="shared" si="6"/>
        <v>0.24432163414236538</v>
      </c>
      <c r="N9" s="12">
        <f t="shared" si="6"/>
        <v>0.24486920243512997</v>
      </c>
    </row>
    <row r="10" spans="1:15" x14ac:dyDescent="0.25">
      <c r="D10" s="20"/>
      <c r="E10" s="20"/>
      <c r="F10" s="20"/>
      <c r="G10" s="20"/>
      <c r="H10" s="20"/>
      <c r="I10" s="20"/>
    </row>
    <row r="11" spans="1:15" x14ac:dyDescent="0.25">
      <c r="A11" s="5" t="s">
        <v>7</v>
      </c>
      <c r="D11" s="20">
        <v>101853</v>
      </c>
      <c r="E11" s="20">
        <v>106510</v>
      </c>
      <c r="F11" s="20">
        <v>107147</v>
      </c>
      <c r="G11" s="20">
        <v>108791</v>
      </c>
      <c r="H11" s="20">
        <v>116288</v>
      </c>
      <c r="I11" s="20">
        <v>117812</v>
      </c>
      <c r="J11" s="6">
        <f>J8-J13-J17</f>
        <v>89086.01902219656</v>
      </c>
      <c r="K11" s="6">
        <f t="shared" ref="K11:N11" si="7">K8-K13-K17</f>
        <v>96210.465335831104</v>
      </c>
      <c r="L11" s="6">
        <f t="shared" si="7"/>
        <v>97537.18240491522</v>
      </c>
      <c r="M11" s="6">
        <f t="shared" si="7"/>
        <v>100155.77922546523</v>
      </c>
      <c r="N11" s="6">
        <f t="shared" si="7"/>
        <v>102741.18329667463</v>
      </c>
    </row>
    <row r="12" spans="1:15" x14ac:dyDescent="0.25">
      <c r="D12" s="20"/>
      <c r="E12" s="20"/>
      <c r="F12" s="20"/>
      <c r="G12" s="20"/>
      <c r="H12" s="20"/>
      <c r="I12" s="20"/>
    </row>
    <row r="13" spans="1:15" x14ac:dyDescent="0.25">
      <c r="A13" s="5" t="s">
        <v>9</v>
      </c>
      <c r="D13" s="20">
        <v>10080</v>
      </c>
      <c r="E13" s="20">
        <v>10529</v>
      </c>
      <c r="F13" s="20">
        <v>10678</v>
      </c>
      <c r="G13" s="20">
        <v>10987</v>
      </c>
      <c r="H13" s="20">
        <v>11152</v>
      </c>
      <c r="I13" s="20">
        <v>10658</v>
      </c>
      <c r="J13" s="17">
        <f>J14+J15</f>
        <v>28034.297480169917</v>
      </c>
      <c r="K13" s="17">
        <f t="shared" ref="K13:N13" si="8">K14+K15</f>
        <v>25792.398972633608</v>
      </c>
      <c r="L13" s="17">
        <f t="shared" si="8"/>
        <v>24450.177793298539</v>
      </c>
      <c r="M13" s="17">
        <f t="shared" si="8"/>
        <v>24125.522651533807</v>
      </c>
      <c r="N13" s="17">
        <f t="shared" si="8"/>
        <v>24092.169102139866</v>
      </c>
    </row>
    <row r="14" spans="1:15" x14ac:dyDescent="0.25">
      <c r="A14" t="s">
        <v>10</v>
      </c>
      <c r="D14" s="20">
        <v>5169</v>
      </c>
      <c r="E14" s="20">
        <v>5560</v>
      </c>
      <c r="F14" s="20">
        <v>5682</v>
      </c>
      <c r="G14" s="20">
        <v>4417</v>
      </c>
      <c r="H14" s="20">
        <v>4005</v>
      </c>
      <c r="I14" s="20">
        <v>4351</v>
      </c>
      <c r="J14" s="17">
        <f>'Fixed Asset Schedule'!J20</f>
        <v>7733.4537940579221</v>
      </c>
      <c r="K14" s="17">
        <f>'Fixed Asset Schedule'!K20</f>
        <v>5072.7646169658974</v>
      </c>
      <c r="L14" s="17">
        <f>'Fixed Asset Schedule'!L20</f>
        <v>3323.1708401622159</v>
      </c>
      <c r="M14" s="17">
        <f>'Fixed Asset Schedule'!M20</f>
        <v>2603.585423521235</v>
      </c>
      <c r="N14" s="17">
        <f>'Fixed Asset Schedule'!N20</f>
        <v>2139.7931295670401</v>
      </c>
    </row>
    <row r="15" spans="1:15" x14ac:dyDescent="0.25">
      <c r="A15" t="s">
        <v>11</v>
      </c>
      <c r="D15" s="20">
        <f>D13-D14</f>
        <v>4911</v>
      </c>
      <c r="E15" s="20">
        <f t="shared" ref="E15:I15" si="9">E13-E14</f>
        <v>4969</v>
      </c>
      <c r="F15" s="20">
        <f t="shared" si="9"/>
        <v>4996</v>
      </c>
      <c r="G15" s="20">
        <f t="shared" si="9"/>
        <v>6570</v>
      </c>
      <c r="H15" s="20">
        <f t="shared" si="9"/>
        <v>7147</v>
      </c>
      <c r="I15" s="20">
        <f t="shared" si="9"/>
        <v>6307</v>
      </c>
      <c r="J15" s="17">
        <f>'Fixed Asset Schedule'!J8</f>
        <v>20300.843686111995</v>
      </c>
      <c r="K15" s="17">
        <f>'Fixed Asset Schedule'!K8</f>
        <v>20719.634355667709</v>
      </c>
      <c r="L15" s="17">
        <f>'Fixed Asset Schedule'!L8</f>
        <v>21127.006953136322</v>
      </c>
      <c r="M15" s="17">
        <f>'Fixed Asset Schedule'!M8</f>
        <v>21521.937228012572</v>
      </c>
      <c r="N15" s="17">
        <f>'Fixed Asset Schedule'!N8</f>
        <v>21952.375972572827</v>
      </c>
    </row>
    <row r="16" spans="1:15" x14ac:dyDescent="0.25">
      <c r="D16" s="20"/>
      <c r="E16" s="20"/>
      <c r="F16" s="20"/>
      <c r="G16" s="20"/>
      <c r="H16" s="20"/>
      <c r="I16" s="20"/>
    </row>
    <row r="17" spans="1:14" x14ac:dyDescent="0.25">
      <c r="A17" s="5" t="s">
        <v>12</v>
      </c>
      <c r="D17" s="20">
        <v>22764</v>
      </c>
      <c r="E17" s="20">
        <v>20437</v>
      </c>
      <c r="F17" s="20">
        <v>21957</v>
      </c>
      <c r="G17" s="20">
        <v>20568</v>
      </c>
      <c r="H17" s="20">
        <v>22548</v>
      </c>
      <c r="I17" s="20">
        <v>25942</v>
      </c>
      <c r="J17">
        <f>J3*J18</f>
        <v>24883.587196432843</v>
      </c>
      <c r="K17">
        <f t="shared" ref="K17:N17" si="10">K3*K18</f>
        <v>24963.354987893894</v>
      </c>
      <c r="L17">
        <f t="shared" si="10"/>
        <v>25549.243823285953</v>
      </c>
      <c r="M17">
        <f t="shared" si="10"/>
        <v>25955.123078927827</v>
      </c>
      <c r="N17">
        <f t="shared" si="10"/>
        <v>26751.241771471749</v>
      </c>
    </row>
    <row r="18" spans="1:14" x14ac:dyDescent="0.25">
      <c r="A18" t="s">
        <v>13</v>
      </c>
      <c r="D18" s="21">
        <f>D17/D3</f>
        <v>4.7295233702528687E-2</v>
      </c>
      <c r="E18" s="21">
        <f t="shared" ref="E18:I18" si="11">E17/E3</f>
        <v>4.1223492771718634E-2</v>
      </c>
      <c r="F18" s="21">
        <f t="shared" si="11"/>
        <v>4.3025860193877968E-2</v>
      </c>
      <c r="G18" s="21">
        <f t="shared" si="11"/>
        <v>3.9559475771552104E-2</v>
      </c>
      <c r="H18" s="21">
        <f t="shared" si="11"/>
        <v>4.0609978153315816E-2</v>
      </c>
      <c r="I18" s="21">
        <f t="shared" si="11"/>
        <v>4.5691680669012719E-2</v>
      </c>
      <c r="J18" s="13">
        <f>AVERAGE(D18:I18)</f>
        <v>4.2900953543667658E-2</v>
      </c>
      <c r="K18" s="13">
        <f t="shared" ref="K18:N18" si="12">AVERAGE(E18:J18)</f>
        <v>4.2168573517190812E-2</v>
      </c>
      <c r="L18" s="13">
        <f t="shared" si="12"/>
        <v>4.2326086974769521E-2</v>
      </c>
      <c r="M18" s="13">
        <f t="shared" si="12"/>
        <v>4.2209458104918107E-2</v>
      </c>
      <c r="N18" s="13">
        <f t="shared" si="12"/>
        <v>4.2651121827145776E-2</v>
      </c>
    </row>
    <row r="21" spans="1:14" x14ac:dyDescent="0.25">
      <c r="A21" t="s">
        <v>14</v>
      </c>
      <c r="D21">
        <f>'Debt Schedule'!C8</f>
        <v>2267</v>
      </c>
      <c r="E21">
        <f>'Debt Schedule'!D8</f>
        <v>2178</v>
      </c>
      <c r="F21">
        <f>'Debt Schedule'!E8</f>
        <v>2129</v>
      </c>
      <c r="G21">
        <f>'Debt Schedule'!F8</f>
        <v>2410</v>
      </c>
      <c r="H21">
        <f>'Debt Schedule'!G8</f>
        <v>2194</v>
      </c>
      <c r="I21">
        <f>'Debt Schedule'!H8</f>
        <v>1836</v>
      </c>
      <c r="J21">
        <f>'Debt Schedule'!I8</f>
        <v>1999.3921507025209</v>
      </c>
      <c r="K21">
        <f>'Debt Schedule'!J8</f>
        <v>1814.3304425740791</v>
      </c>
      <c r="L21">
        <f>'Debt Schedule'!K8</f>
        <v>1569.6445637375803</v>
      </c>
      <c r="M21">
        <f>'Debt Schedule'!L8</f>
        <v>1333.8065427202498</v>
      </c>
      <c r="N21">
        <f>'Debt Schedule'!M8</f>
        <v>1274.8739291997827</v>
      </c>
    </row>
    <row r="24" spans="1:14" x14ac:dyDescent="0.25">
      <c r="A24" t="s">
        <v>16</v>
      </c>
      <c r="D24" s="20">
        <v>20497</v>
      </c>
      <c r="E24" s="20">
        <v>15123</v>
      </c>
      <c r="F24" s="20">
        <v>11460</v>
      </c>
      <c r="G24" s="20">
        <v>20116</v>
      </c>
      <c r="H24" s="20">
        <v>20564</v>
      </c>
      <c r="I24" s="20">
        <v>18696</v>
      </c>
      <c r="J24">
        <f>J17-J21</f>
        <v>22884.195045730321</v>
      </c>
      <c r="K24">
        <f t="shared" ref="K24:N24" si="13">K17-K21</f>
        <v>23149.024545319815</v>
      </c>
      <c r="L24">
        <f t="shared" si="13"/>
        <v>23979.599259548373</v>
      </c>
      <c r="M24">
        <f t="shared" si="13"/>
        <v>24621.316536207578</v>
      </c>
      <c r="N24">
        <f t="shared" si="13"/>
        <v>25476.367842271968</v>
      </c>
    </row>
    <row r="25" spans="1:14" x14ac:dyDescent="0.25">
      <c r="A25" t="s">
        <v>46</v>
      </c>
      <c r="D25" s="20">
        <v>6204</v>
      </c>
      <c r="E25" s="20">
        <v>4600</v>
      </c>
      <c r="F25" s="20">
        <v>4281</v>
      </c>
      <c r="G25" s="20">
        <v>4915</v>
      </c>
      <c r="H25" s="20">
        <v>6858</v>
      </c>
      <c r="I25" s="20">
        <v>4756</v>
      </c>
      <c r="J25">
        <f>J24*J26</f>
        <v>6913.4120696903565</v>
      </c>
      <c r="K25">
        <f t="shared" ref="K25:N25" si="14">K24*K26</f>
        <v>6991.2027689431306</v>
      </c>
      <c r="L25">
        <f t="shared" si="14"/>
        <v>7233.3950629442215</v>
      </c>
      <c r="M25">
        <f t="shared" si="14"/>
        <v>7131.8716384753925</v>
      </c>
      <c r="N25">
        <f t="shared" si="14"/>
        <v>7572.0202322888972</v>
      </c>
    </row>
    <row r="26" spans="1:14" x14ac:dyDescent="0.25">
      <c r="A26" s="2" t="s">
        <v>15</v>
      </c>
      <c r="B26" s="2"/>
      <c r="C26" s="3"/>
      <c r="D26" s="24">
        <f>D25/D24</f>
        <v>0.30267844074742645</v>
      </c>
      <c r="E26" s="24">
        <f t="shared" ref="E26:I26" si="15">E25/E24</f>
        <v>0.30417245255570985</v>
      </c>
      <c r="F26" s="24">
        <f t="shared" si="15"/>
        <v>0.37356020942408374</v>
      </c>
      <c r="G26" s="24">
        <f t="shared" si="15"/>
        <v>0.24433286935772519</v>
      </c>
      <c r="H26" s="24">
        <f t="shared" si="15"/>
        <v>0.33349542890488232</v>
      </c>
      <c r="I26" s="24">
        <f t="shared" si="15"/>
        <v>0.25438596491228072</v>
      </c>
      <c r="J26" s="14">
        <f>AVERAGE(D26:I26)</f>
        <v>0.30210422765035139</v>
      </c>
      <c r="K26" s="14">
        <f t="shared" ref="K26:N26" si="16">AVERAGE(E26:J26)</f>
        <v>0.30200852546750556</v>
      </c>
      <c r="L26" s="14">
        <f t="shared" si="16"/>
        <v>0.30164787095280482</v>
      </c>
      <c r="M26" s="14">
        <f t="shared" si="16"/>
        <v>0.28966248120759164</v>
      </c>
      <c r="N26" s="14">
        <f t="shared" si="16"/>
        <v>0.29721741651590272</v>
      </c>
    </row>
    <row r="27" spans="1:14" x14ac:dyDescent="0.25">
      <c r="C27"/>
    </row>
    <row r="28" spans="1:14" x14ac:dyDescent="0.25">
      <c r="C28"/>
    </row>
    <row r="29" spans="1:14" x14ac:dyDescent="0.25">
      <c r="C29"/>
    </row>
    <row r="30" spans="1:14" x14ac:dyDescent="0.25">
      <c r="C30"/>
    </row>
    <row r="31" spans="1:14" x14ac:dyDescent="0.25">
      <c r="C31"/>
    </row>
    <row r="32" spans="1:1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  <row r="95" spans="3:3" x14ac:dyDescent="0.25">
      <c r="C95"/>
    </row>
    <row r="96" spans="3:3" x14ac:dyDescent="0.25">
      <c r="C96"/>
    </row>
    <row r="97" spans="3:3" x14ac:dyDescent="0.25">
      <c r="C97"/>
    </row>
    <row r="98" spans="3:3" x14ac:dyDescent="0.25">
      <c r="C98"/>
    </row>
    <row r="99" spans="3:3" x14ac:dyDescent="0.25">
      <c r="C99"/>
    </row>
    <row r="100" spans="3:3" x14ac:dyDescent="0.25">
      <c r="C100"/>
    </row>
    <row r="101" spans="3:3" x14ac:dyDescent="0.25">
      <c r="C101"/>
    </row>
    <row r="102" spans="3:3" x14ac:dyDescent="0.25">
      <c r="C102"/>
    </row>
    <row r="103" spans="3:3" x14ac:dyDescent="0.25">
      <c r="C103"/>
    </row>
    <row r="104" spans="3:3" x14ac:dyDescent="0.25">
      <c r="C104"/>
    </row>
    <row r="105" spans="3:3" x14ac:dyDescent="0.25">
      <c r="C105"/>
    </row>
    <row r="106" spans="3:3" x14ac:dyDescent="0.25">
      <c r="C106"/>
    </row>
    <row r="107" spans="3:3" x14ac:dyDescent="0.25">
      <c r="C107"/>
    </row>
    <row r="108" spans="3:3" x14ac:dyDescent="0.25">
      <c r="C108"/>
    </row>
    <row r="109" spans="3:3" x14ac:dyDescent="0.25">
      <c r="C109"/>
    </row>
    <row r="110" spans="3:3" x14ac:dyDescent="0.25">
      <c r="C110"/>
    </row>
    <row r="111" spans="3:3" x14ac:dyDescent="0.25">
      <c r="C111"/>
    </row>
    <row r="112" spans="3:3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  <row r="334" spans="3:3" x14ac:dyDescent="0.25">
      <c r="C334"/>
    </row>
    <row r="335" spans="3:3" x14ac:dyDescent="0.25">
      <c r="C335"/>
    </row>
    <row r="336" spans="3:3" x14ac:dyDescent="0.25">
      <c r="C336"/>
    </row>
    <row r="337" spans="3:3" x14ac:dyDescent="0.25">
      <c r="C337"/>
    </row>
    <row r="338" spans="3:3" x14ac:dyDescent="0.25">
      <c r="C338"/>
    </row>
    <row r="339" spans="3:3" x14ac:dyDescent="0.25">
      <c r="C339"/>
    </row>
    <row r="340" spans="3:3" x14ac:dyDescent="0.25">
      <c r="C340"/>
    </row>
    <row r="341" spans="3:3" x14ac:dyDescent="0.25">
      <c r="C341"/>
    </row>
    <row r="342" spans="3:3" x14ac:dyDescent="0.25">
      <c r="C342"/>
    </row>
    <row r="343" spans="3:3" x14ac:dyDescent="0.25">
      <c r="C343"/>
    </row>
    <row r="344" spans="3:3" x14ac:dyDescent="0.25">
      <c r="C344"/>
    </row>
    <row r="345" spans="3:3" x14ac:dyDescent="0.25">
      <c r="C345"/>
    </row>
    <row r="346" spans="3:3" x14ac:dyDescent="0.25">
      <c r="C346"/>
    </row>
    <row r="347" spans="3:3" x14ac:dyDescent="0.25">
      <c r="C347"/>
    </row>
    <row r="348" spans="3:3" x14ac:dyDescent="0.25">
      <c r="C348"/>
    </row>
    <row r="349" spans="3:3" x14ac:dyDescent="0.25">
      <c r="C349"/>
    </row>
    <row r="350" spans="3:3" x14ac:dyDescent="0.25">
      <c r="C350"/>
    </row>
    <row r="351" spans="3:3" x14ac:dyDescent="0.25">
      <c r="C351"/>
    </row>
    <row r="352" spans="3:3" x14ac:dyDescent="0.25">
      <c r="C352"/>
    </row>
    <row r="353" spans="3:3" x14ac:dyDescent="0.25">
      <c r="C353"/>
    </row>
    <row r="354" spans="3:3" x14ac:dyDescent="0.25">
      <c r="C354"/>
    </row>
    <row r="355" spans="3:3" x14ac:dyDescent="0.25">
      <c r="C355"/>
    </row>
    <row r="356" spans="3:3" x14ac:dyDescent="0.25">
      <c r="C356"/>
    </row>
    <row r="357" spans="3:3" x14ac:dyDescent="0.25">
      <c r="C357"/>
    </row>
    <row r="358" spans="3:3" x14ac:dyDescent="0.25">
      <c r="C358"/>
    </row>
    <row r="359" spans="3:3" x14ac:dyDescent="0.25">
      <c r="C359"/>
    </row>
  </sheetData>
  <mergeCells count="2">
    <mergeCell ref="D1:I1"/>
    <mergeCell ref="J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1FDFE-936A-494A-BEFE-59486B53138A}">
  <sheetPr>
    <tabColor theme="5" tint="-0.249977111117893"/>
  </sheetPr>
  <dimension ref="A1:O25"/>
  <sheetViews>
    <sheetView showGridLines="0" workbookViewId="0">
      <selection activeCell="J13" sqref="J13"/>
    </sheetView>
  </sheetViews>
  <sheetFormatPr defaultRowHeight="15" x14ac:dyDescent="0.25"/>
  <cols>
    <col min="1" max="1" width="26" customWidth="1"/>
    <col min="4" max="5" width="9.5703125" bestFit="1" customWidth="1"/>
    <col min="6" max="6" width="10.5703125" bestFit="1" customWidth="1"/>
    <col min="7" max="9" width="9.5703125" bestFit="1" customWidth="1"/>
    <col min="10" max="14" width="10.5703125" bestFit="1" customWidth="1"/>
  </cols>
  <sheetData>
    <row r="1" spans="1:15" x14ac:dyDescent="0.25">
      <c r="A1" s="5" t="s">
        <v>0</v>
      </c>
      <c r="C1" s="1"/>
      <c r="D1" s="38" t="s">
        <v>1</v>
      </c>
      <c r="E1" s="38"/>
      <c r="F1" s="38"/>
      <c r="G1" s="38"/>
      <c r="H1" s="38"/>
      <c r="I1" s="38"/>
      <c r="J1" s="39" t="s">
        <v>2</v>
      </c>
      <c r="K1" s="39"/>
      <c r="L1" s="39"/>
      <c r="M1" s="39"/>
      <c r="N1" s="39"/>
    </row>
    <row r="2" spans="1:15" x14ac:dyDescent="0.25">
      <c r="A2" s="2"/>
      <c r="B2" s="2"/>
      <c r="C2" s="3"/>
      <c r="D2" s="4">
        <v>2017</v>
      </c>
      <c r="E2" s="4">
        <v>2018</v>
      </c>
      <c r="F2" s="4">
        <v>2019</v>
      </c>
      <c r="G2" s="4">
        <v>2020</v>
      </c>
      <c r="H2" s="4">
        <v>2021</v>
      </c>
      <c r="I2" s="4">
        <v>2022</v>
      </c>
      <c r="J2" s="2">
        <v>2023</v>
      </c>
      <c r="K2" s="2">
        <v>2024</v>
      </c>
      <c r="L2" s="2">
        <v>2025</v>
      </c>
      <c r="M2" s="2">
        <v>2026</v>
      </c>
      <c r="N2" s="2">
        <v>2027</v>
      </c>
    </row>
    <row r="3" spans="1:15" x14ac:dyDescent="0.25">
      <c r="A3" s="5" t="s">
        <v>17</v>
      </c>
      <c r="C3" s="1"/>
    </row>
    <row r="4" spans="1:15" x14ac:dyDescent="0.25">
      <c r="A4" t="s">
        <v>18</v>
      </c>
      <c r="C4" s="1"/>
      <c r="D4" s="20">
        <v>5835</v>
      </c>
      <c r="E4" s="20">
        <v>5614</v>
      </c>
      <c r="F4" s="20">
        <v>6283</v>
      </c>
      <c r="G4" s="20">
        <v>6284</v>
      </c>
      <c r="H4" s="20">
        <v>6516</v>
      </c>
      <c r="I4" s="20">
        <v>8280</v>
      </c>
      <c r="J4" s="17">
        <f>'Income Statement'!J3/'Working Capital'!J20</f>
        <v>105458.92823954282</v>
      </c>
      <c r="K4" s="17">
        <f>'Income Statement'!K3/'Working Capital'!K20</f>
        <v>107634.46418528679</v>
      </c>
      <c r="L4" s="17">
        <f>'Income Statement'!L3/'Working Capital'!L20</f>
        <v>109750.68547083804</v>
      </c>
      <c r="M4" s="17">
        <f>'Income Statement'!M3/'Working Capital'!M20</f>
        <v>111802.27131435102</v>
      </c>
      <c r="N4" s="17">
        <f>'Income Statement'!N3/'Working Capital'!N20</f>
        <v>114038.31674063805</v>
      </c>
    </row>
    <row r="5" spans="1:15" x14ac:dyDescent="0.25">
      <c r="A5" t="s">
        <v>19</v>
      </c>
      <c r="C5" s="1"/>
      <c r="D5" s="20">
        <v>43046</v>
      </c>
      <c r="E5" s="20">
        <v>43783</v>
      </c>
      <c r="F5" s="20">
        <v>44269</v>
      </c>
      <c r="G5" s="20">
        <v>44435</v>
      </c>
      <c r="H5" s="20">
        <v>44949</v>
      </c>
      <c r="I5" s="20">
        <v>56511</v>
      </c>
      <c r="J5" s="6">
        <f>'Income Statement'!J7/J21</f>
        <v>9110.1510116670888</v>
      </c>
      <c r="K5" s="6">
        <f>'Income Statement'!K7/K21</f>
        <v>9255.8054604496374</v>
      </c>
      <c r="L5" s="6">
        <f>'Income Statement'!L7/L21</f>
        <v>9486.0202629100932</v>
      </c>
      <c r="M5" s="6">
        <f>'Income Statement'!M7/M21</f>
        <v>9664.5522939827024</v>
      </c>
      <c r="N5" s="6">
        <f>'Income Statement'!N7/N21</f>
        <v>9850.700297674266</v>
      </c>
    </row>
    <row r="6" spans="1:15" x14ac:dyDescent="0.25">
      <c r="A6" s="2" t="s">
        <v>20</v>
      </c>
      <c r="B6" s="2"/>
      <c r="C6" s="3"/>
      <c r="D6" s="4">
        <v>1941</v>
      </c>
      <c r="E6" s="4">
        <v>3511</v>
      </c>
      <c r="F6" s="4">
        <v>3623</v>
      </c>
      <c r="G6" s="4">
        <v>1622</v>
      </c>
      <c r="H6" s="4">
        <v>20861</v>
      </c>
      <c r="I6" s="4">
        <v>1519</v>
      </c>
      <c r="J6" s="2">
        <f>'Income Statement'!J3*J22</f>
        <v>7317.8971376845211</v>
      </c>
      <c r="K6" s="2">
        <f>'Income Statement'!K3*K22</f>
        <v>8285.3740889305282</v>
      </c>
      <c r="L6" s="2">
        <f>'Income Statement'!L3*L22</f>
        <v>10089.561614716577</v>
      </c>
      <c r="M6" s="2">
        <f>'Income Statement'!M3*M22</f>
        <v>7071.8953956694104</v>
      </c>
      <c r="N6" s="2">
        <f>'Income Statement'!N3*N22</f>
        <v>8597.1540884799542</v>
      </c>
    </row>
    <row r="7" spans="1:15" x14ac:dyDescent="0.25">
      <c r="A7" s="5" t="s">
        <v>21</v>
      </c>
      <c r="C7" s="1"/>
      <c r="D7" s="20">
        <f>SUM(D4:D6)</f>
        <v>50822</v>
      </c>
      <c r="E7" s="20">
        <f t="shared" ref="E7:I7" si="0">SUM(E4:E6)</f>
        <v>52908</v>
      </c>
      <c r="F7" s="20">
        <f t="shared" si="0"/>
        <v>54175</v>
      </c>
      <c r="G7" s="20">
        <f t="shared" si="0"/>
        <v>52341</v>
      </c>
      <c r="H7" s="20">
        <f t="shared" si="0"/>
        <v>72326</v>
      </c>
      <c r="I7" s="20">
        <f t="shared" si="0"/>
        <v>66310</v>
      </c>
      <c r="J7" s="61">
        <f t="shared" ref="J7" si="1">SUM(J4:J6)</f>
        <v>121886.97638889441</v>
      </c>
      <c r="K7" s="61">
        <f t="shared" ref="K7" si="2">SUM(K4:K6)</f>
        <v>125175.64373466697</v>
      </c>
      <c r="L7" s="61">
        <f t="shared" ref="L7" si="3">SUM(L4:L6)</f>
        <v>129326.26734846471</v>
      </c>
      <c r="M7" s="61">
        <f t="shared" ref="M7" si="4">SUM(M4:M6)</f>
        <v>128538.71900400314</v>
      </c>
      <c r="N7" s="61">
        <f t="shared" ref="N7" si="5">SUM(N4:N6)</f>
        <v>132486.17112679227</v>
      </c>
      <c r="O7" s="60"/>
    </row>
    <row r="8" spans="1:15" x14ac:dyDescent="0.25">
      <c r="C8" s="1"/>
      <c r="D8" s="20"/>
      <c r="E8" s="20"/>
      <c r="F8" s="20"/>
      <c r="G8" s="20"/>
      <c r="H8" s="20"/>
      <c r="I8" s="20"/>
    </row>
    <row r="9" spans="1:15" x14ac:dyDescent="0.25">
      <c r="A9" s="5" t="s">
        <v>22</v>
      </c>
      <c r="C9" s="1"/>
      <c r="D9" s="20"/>
      <c r="E9" s="20"/>
      <c r="F9" s="20"/>
      <c r="G9" s="20"/>
      <c r="H9" s="20"/>
      <c r="I9" s="20"/>
    </row>
    <row r="10" spans="1:15" x14ac:dyDescent="0.25">
      <c r="A10" t="s">
        <v>23</v>
      </c>
      <c r="C10" s="1"/>
      <c r="D10" s="20">
        <v>41433</v>
      </c>
      <c r="E10" s="20">
        <v>46092</v>
      </c>
      <c r="F10" s="20">
        <v>470160</v>
      </c>
      <c r="G10" s="20">
        <v>46973</v>
      </c>
      <c r="H10" s="20">
        <v>49141</v>
      </c>
      <c r="I10" s="20">
        <v>55261</v>
      </c>
      <c r="J10" s="17">
        <f>'Income Statement'!J7/'Working Capital'!J23</f>
        <v>10429.052419492529</v>
      </c>
      <c r="K10" s="17">
        <f>'Income Statement'!K7/'Working Capital'!K23</f>
        <v>9889.4074160604177</v>
      </c>
      <c r="L10" s="17">
        <f>'Income Statement'!L7/'Working Capital'!L23</f>
        <v>10135.381468180211</v>
      </c>
      <c r="M10" s="17">
        <f>'Income Statement'!M7/'Working Capital'!M23</f>
        <v>10326.134828288972</v>
      </c>
      <c r="N10" s="17">
        <f>'Income Statement'!N7/'Working Capital'!N23</f>
        <v>10525.025508960513</v>
      </c>
    </row>
    <row r="11" spans="1:15" x14ac:dyDescent="0.25">
      <c r="A11" t="s">
        <v>24</v>
      </c>
      <c r="C11" s="1"/>
      <c r="D11" s="20">
        <v>921</v>
      </c>
      <c r="E11" s="20">
        <v>645</v>
      </c>
      <c r="F11" s="20">
        <v>428</v>
      </c>
      <c r="G11" s="20">
        <v>280</v>
      </c>
      <c r="H11" s="20">
        <v>242</v>
      </c>
      <c r="I11" s="20">
        <v>851</v>
      </c>
      <c r="J11" s="17">
        <f>'Income Statement'!J21*'Working Capital'!J24</f>
        <v>573.63405116135596</v>
      </c>
      <c r="K11" s="17">
        <f>'Income Statement'!K21*'Working Capital'!K24</f>
        <v>680.7475302545264</v>
      </c>
      <c r="L11" s="17">
        <f>'Income Statement'!L21*'Working Capital'!L24</f>
        <v>519.6387963423897</v>
      </c>
      <c r="M11" s="17">
        <f>'Income Statement'!M21*'Working Capital'!M24</f>
        <v>471.00776967450685</v>
      </c>
      <c r="N11" s="17">
        <f>'Income Statement'!N21*'Working Capital'!N24</f>
        <v>436.12517437144805</v>
      </c>
    </row>
    <row r="12" spans="1:15" x14ac:dyDescent="0.25">
      <c r="A12" s="2" t="s">
        <v>25</v>
      </c>
      <c r="B12" s="2"/>
      <c r="C12" s="3"/>
      <c r="D12" s="4">
        <v>20654</v>
      </c>
      <c r="E12" s="4">
        <v>22122</v>
      </c>
      <c r="F12" s="4">
        <v>22159</v>
      </c>
      <c r="G12" s="4">
        <v>22296</v>
      </c>
      <c r="H12" s="4">
        <v>37996</v>
      </c>
      <c r="I12" s="4">
        <v>26060</v>
      </c>
      <c r="J12" s="19">
        <f>'Income Statement'!J11*'Working Capital'!J25</f>
        <v>20471.513111421998</v>
      </c>
      <c r="K12" s="19">
        <f>'Income Statement'!K11*'Working Capital'!K25</f>
        <v>22463.064587372737</v>
      </c>
      <c r="L12" s="19">
        <f>'Income Statement'!L11*'Working Capital'!L25</f>
        <v>23203.86253275659</v>
      </c>
      <c r="M12" s="19">
        <f>'Income Statement'!M11*'Working Capital'!M25</f>
        <v>24361.032427671176</v>
      </c>
      <c r="N12" s="19">
        <f>'Income Statement'!N11*'Working Capital'!N25</f>
        <v>25667.034342305404</v>
      </c>
    </row>
    <row r="13" spans="1:15" x14ac:dyDescent="0.25">
      <c r="A13" s="5" t="s">
        <v>26</v>
      </c>
      <c r="C13" s="1"/>
      <c r="D13" s="20">
        <f>SUM(D10:D12)</f>
        <v>63008</v>
      </c>
      <c r="E13" s="20">
        <f t="shared" ref="E13:I13" si="6">SUM(E10:E12)</f>
        <v>68859</v>
      </c>
      <c r="F13" s="20">
        <f t="shared" si="6"/>
        <v>492747</v>
      </c>
      <c r="G13" s="20">
        <f t="shared" si="6"/>
        <v>69549</v>
      </c>
      <c r="H13" s="20">
        <f t="shared" si="6"/>
        <v>87379</v>
      </c>
      <c r="I13" s="20">
        <f t="shared" si="6"/>
        <v>82172</v>
      </c>
      <c r="J13" s="61">
        <f t="shared" ref="J13" si="7">SUM(J10:J12)</f>
        <v>31474.199582075882</v>
      </c>
      <c r="K13" s="61">
        <f t="shared" ref="K13" si="8">SUM(K10:K12)</f>
        <v>33033.219533687683</v>
      </c>
      <c r="L13" s="61">
        <f t="shared" ref="L13" si="9">SUM(L10:L12)</f>
        <v>33858.882797279191</v>
      </c>
      <c r="M13" s="61">
        <f t="shared" ref="M13" si="10">SUM(M10:M12)</f>
        <v>35158.175025634657</v>
      </c>
      <c r="N13" s="61">
        <f t="shared" ref="N13" si="11">SUM(N10:N12)</f>
        <v>36628.185025637365</v>
      </c>
    </row>
    <row r="14" spans="1:15" x14ac:dyDescent="0.25">
      <c r="C14" s="1"/>
      <c r="D14" s="20"/>
      <c r="E14" s="20"/>
      <c r="F14" s="20"/>
      <c r="G14" s="20"/>
      <c r="H14" s="20"/>
      <c r="I14" s="20"/>
    </row>
    <row r="15" spans="1:15" x14ac:dyDescent="0.25">
      <c r="A15" s="2"/>
      <c r="B15" s="2"/>
      <c r="C15" s="3"/>
      <c r="D15" s="4"/>
      <c r="E15" s="4"/>
      <c r="F15" s="4"/>
      <c r="G15" s="4"/>
      <c r="H15" s="4"/>
      <c r="I15" s="4"/>
      <c r="J15" s="2"/>
      <c r="K15" s="2"/>
      <c r="L15" s="2"/>
      <c r="M15" s="2"/>
      <c r="N15" s="2"/>
    </row>
    <row r="16" spans="1:15" x14ac:dyDescent="0.25">
      <c r="A16" s="5" t="s">
        <v>27</v>
      </c>
      <c r="C16" s="1"/>
      <c r="D16" s="20">
        <f>D7-D13</f>
        <v>-12186</v>
      </c>
      <c r="E16" s="20">
        <f t="shared" ref="E16:N16" si="12">E7-E13</f>
        <v>-15951</v>
      </c>
      <c r="F16" s="20">
        <f t="shared" si="12"/>
        <v>-438572</v>
      </c>
      <c r="G16" s="20">
        <f t="shared" si="12"/>
        <v>-17208</v>
      </c>
      <c r="H16" s="20">
        <f t="shared" si="12"/>
        <v>-15053</v>
      </c>
      <c r="I16" s="20">
        <f t="shared" si="12"/>
        <v>-15862</v>
      </c>
      <c r="J16" s="60">
        <f t="shared" si="12"/>
        <v>90412.776806818525</v>
      </c>
      <c r="K16" s="60">
        <f t="shared" si="12"/>
        <v>92142.424200979294</v>
      </c>
      <c r="L16" s="60">
        <f t="shared" si="12"/>
        <v>95467.384551185518</v>
      </c>
      <c r="M16" s="60">
        <f t="shared" si="12"/>
        <v>93380.543978368485</v>
      </c>
      <c r="N16" s="60">
        <f t="shared" si="12"/>
        <v>95857.986101154907</v>
      </c>
    </row>
    <row r="17" spans="1:14" x14ac:dyDescent="0.25">
      <c r="A17" s="5" t="s">
        <v>28</v>
      </c>
      <c r="C17" s="1"/>
      <c r="D17" s="20"/>
      <c r="E17" s="20">
        <f>E16-D16</f>
        <v>-3765</v>
      </c>
      <c r="F17" s="20">
        <f t="shared" ref="F17:I17" si="13">F16-E16</f>
        <v>-422621</v>
      </c>
      <c r="G17" s="20">
        <f t="shared" si="13"/>
        <v>421364</v>
      </c>
      <c r="H17" s="20">
        <f t="shared" si="13"/>
        <v>2155</v>
      </c>
      <c r="I17" s="20">
        <f t="shared" si="13"/>
        <v>-809</v>
      </c>
      <c r="J17" s="61">
        <f t="shared" ref="J17" si="14">J16-I16</f>
        <v>106274.77680681853</v>
      </c>
      <c r="K17" s="61">
        <f t="shared" ref="K17" si="15">K16-J16</f>
        <v>1729.6473941607692</v>
      </c>
      <c r="L17" s="61">
        <f t="shared" ref="L17" si="16">L16-K16</f>
        <v>3324.9603502062237</v>
      </c>
      <c r="M17" s="61">
        <f t="shared" ref="M17" si="17">M16-L16</f>
        <v>-2086.8405728170328</v>
      </c>
      <c r="N17" s="61">
        <f t="shared" ref="N17" si="18">N16-M16</f>
        <v>2477.4421227864223</v>
      </c>
    </row>
    <row r="18" spans="1:14" x14ac:dyDescent="0.25">
      <c r="C18" s="1"/>
      <c r="D18" s="20"/>
      <c r="E18" s="20"/>
      <c r="F18" s="20"/>
      <c r="G18" s="20"/>
      <c r="H18" s="20"/>
      <c r="I18" s="20"/>
    </row>
    <row r="19" spans="1:14" x14ac:dyDescent="0.25">
      <c r="C19" s="1"/>
      <c r="D19" s="20"/>
      <c r="E19" s="20"/>
      <c r="F19" s="20"/>
      <c r="G19" s="20"/>
      <c r="H19" s="20"/>
      <c r="I19" s="20"/>
    </row>
    <row r="20" spans="1:14" x14ac:dyDescent="0.25">
      <c r="A20" t="s">
        <v>29</v>
      </c>
      <c r="C20" s="1"/>
      <c r="D20" s="27">
        <f xml:space="preserve"> 365/('Income Statement'!D3/'Working Capital'!D4)</f>
        <v>4.4248904568091296</v>
      </c>
      <c r="E20" s="27">
        <f xml:space="preserve"> 365/('Income Statement'!E3/'Working Capital'!E4)</f>
        <v>4.1332617934851674</v>
      </c>
      <c r="F20" s="27">
        <f xml:space="preserve"> 365/('Income Statement'!F3/'Working Capital'!F4)</f>
        <v>4.493828394285166</v>
      </c>
      <c r="G20" s="27">
        <f xml:space="preserve"> 365/('Income Statement'!G3/'Working Capital'!G4)</f>
        <v>4.4115124075349188</v>
      </c>
      <c r="H20" s="27">
        <f xml:space="preserve"> 365/('Income Statement'!H3/'Working Capital'!H4)</f>
        <v>4.2834989995191215</v>
      </c>
      <c r="I20" s="27">
        <f xml:space="preserve"> 365/('Income Statement'!I3/'Working Capital'!I4)</f>
        <v>5.3230050619801963</v>
      </c>
      <c r="J20" s="16">
        <f>5.5</f>
        <v>5.5</v>
      </c>
      <c r="K20" s="16">
        <f t="shared" ref="K20:N20" si="19">J20</f>
        <v>5.5</v>
      </c>
      <c r="L20" s="16">
        <f t="shared" si="19"/>
        <v>5.5</v>
      </c>
      <c r="M20" s="16">
        <f t="shared" si="19"/>
        <v>5.5</v>
      </c>
      <c r="N20" s="16">
        <f t="shared" si="19"/>
        <v>5.5</v>
      </c>
    </row>
    <row r="21" spans="1:14" x14ac:dyDescent="0.25">
      <c r="A21" t="s">
        <v>30</v>
      </c>
      <c r="C21" s="1"/>
      <c r="D21" s="27">
        <f>365/('Income Statement'!D7/'Working Capital'!D5)</f>
        <v>42.078088677971905</v>
      </c>
      <c r="E21" s="27">
        <f>365/('Income Statement'!E7/'Working Capital'!E5)</f>
        <v>44.236760081493458</v>
      </c>
      <c r="F21" s="27">
        <f>365/('Income Statement'!F7/'Working Capital'!F5)</f>
        <v>41.936524950623017</v>
      </c>
      <c r="G21" s="27">
        <f>365/('Income Statement'!G7/'Working Capital'!G5)</f>
        <v>41.101291164582307</v>
      </c>
      <c r="H21" s="27">
        <f>365/('Income Statement'!H7/'Working Capital'!H5)</f>
        <v>39.033546268869777</v>
      </c>
      <c r="I21" s="27">
        <f>365/('Income Statement'!I7/'Working Capital'!I5)</f>
        <v>48.080454545454543</v>
      </c>
      <c r="J21" s="16">
        <f>I21</f>
        <v>48.080454545454543</v>
      </c>
      <c r="K21" s="16">
        <f t="shared" ref="K21:N21" si="20">J21</f>
        <v>48.080454545454543</v>
      </c>
      <c r="L21" s="16">
        <f t="shared" si="20"/>
        <v>48.080454545454543</v>
      </c>
      <c r="M21" s="16">
        <f t="shared" si="20"/>
        <v>48.080454545454543</v>
      </c>
      <c r="N21" s="16">
        <f t="shared" si="20"/>
        <v>48.080454545454543</v>
      </c>
    </row>
    <row r="22" spans="1:14" x14ac:dyDescent="0.25">
      <c r="A22" t="s">
        <v>31</v>
      </c>
      <c r="C22" s="1"/>
      <c r="D22" s="21">
        <f>D6/'Income Statement'!D3</f>
        <v>4.0326853196541992E-3</v>
      </c>
      <c r="E22" s="21">
        <f>E6/'Income Statement'!E3</f>
        <v>7.08204154824603E-3</v>
      </c>
      <c r="F22" s="21">
        <f>F6/'Income Statement'!F3</f>
        <v>7.0994530893300489E-3</v>
      </c>
      <c r="G22" s="21">
        <f>G6/'Income Statement'!G3</f>
        <v>3.1196747229413416E-3</v>
      </c>
      <c r="H22" s="21">
        <f>H6/'Income Statement'!H3</f>
        <v>3.7571614079134348E-2</v>
      </c>
      <c r="I22" s="21">
        <f>I6/'Income Statement'!I3</f>
        <v>2.6754168119740313E-3</v>
      </c>
      <c r="J22" s="13">
        <f>AVERAGE(F22:I22)</f>
        <v>1.2616539675844942E-2</v>
      </c>
      <c r="K22" s="13">
        <f t="shared" ref="K22:N22" si="21">AVERAGE(G22:J22)</f>
        <v>1.3995811322473666E-2</v>
      </c>
      <c r="L22" s="13">
        <f t="shared" si="21"/>
        <v>1.6714845472356746E-2</v>
      </c>
      <c r="M22" s="13">
        <f t="shared" si="21"/>
        <v>1.1500653320662347E-2</v>
      </c>
      <c r="N22" s="13">
        <f t="shared" si="21"/>
        <v>1.3706962447834425E-2</v>
      </c>
    </row>
    <row r="23" spans="1:14" x14ac:dyDescent="0.25">
      <c r="A23" t="s">
        <v>32</v>
      </c>
      <c r="C23" s="1"/>
      <c r="D23" s="27">
        <f>365/('Income Statement'!D7/'Working Capital'!D10)</f>
        <v>40.501357807796552</v>
      </c>
      <c r="E23" s="27">
        <f>365/('Income Statement'!E7/'Working Capital'!E10)</f>
        <v>46.569690191996813</v>
      </c>
      <c r="F23" s="27">
        <f>365/('Income Statement'!F7/'Working Capital'!F10)</f>
        <v>445.38789154453269</v>
      </c>
      <c r="G23" s="27">
        <f>365/('Income Statement'!G7/'Working Capital'!G10)</f>
        <v>43.448879259005842</v>
      </c>
      <c r="H23" s="27">
        <f>365/('Income Statement'!H7/'Working Capital'!H10)</f>
        <v>42.673863649881632</v>
      </c>
      <c r="I23" s="27">
        <f>365/('Income Statement'!I7/'Working Capital'!I10)</f>
        <v>47.016934731934732</v>
      </c>
      <c r="J23" s="16">
        <v>42</v>
      </c>
      <c r="K23" s="16">
        <v>45</v>
      </c>
      <c r="L23" s="16">
        <f t="shared" ref="L23:N23" si="22">K23</f>
        <v>45</v>
      </c>
      <c r="M23" s="16">
        <f t="shared" si="22"/>
        <v>45</v>
      </c>
      <c r="N23" s="16">
        <f t="shared" si="22"/>
        <v>45</v>
      </c>
    </row>
    <row r="24" spans="1:14" x14ac:dyDescent="0.25">
      <c r="A24" t="s">
        <v>50</v>
      </c>
      <c r="C24" s="1"/>
      <c r="D24" s="28">
        <f>D11/'Income Statement'!D21</f>
        <v>0.4062637847375386</v>
      </c>
      <c r="E24" s="28">
        <f>E11/'Income Statement'!E21</f>
        <v>0.29614325068870523</v>
      </c>
      <c r="F24" s="28">
        <f>F11/'Income Statement'!F21</f>
        <v>0.20103334899013622</v>
      </c>
      <c r="G24" s="28">
        <f>G11/'Income Statement'!G21</f>
        <v>0.11618257261410789</v>
      </c>
      <c r="H24" s="28">
        <f>H11/'Income Statement'!H21</f>
        <v>0.11030082041932543</v>
      </c>
      <c r="I24" s="28">
        <f>I11/'Income Statement'!I21</f>
        <v>0.46350762527233114</v>
      </c>
      <c r="J24" s="30">
        <f>AVERAGE(H24:I24)</f>
        <v>0.28690422284582828</v>
      </c>
      <c r="K24" s="30">
        <f t="shared" ref="K24:N24" si="23">AVERAGE(I24:J24)</f>
        <v>0.37520592405907971</v>
      </c>
      <c r="L24" s="30">
        <f t="shared" si="23"/>
        <v>0.331055073452454</v>
      </c>
      <c r="M24" s="30">
        <f t="shared" si="23"/>
        <v>0.35313049875576685</v>
      </c>
      <c r="N24" s="30">
        <f t="shared" si="23"/>
        <v>0.34209278610411042</v>
      </c>
    </row>
    <row r="25" spans="1:14" x14ac:dyDescent="0.25">
      <c r="A25" s="2" t="s">
        <v>51</v>
      </c>
      <c r="B25" s="2"/>
      <c r="C25" s="3"/>
      <c r="D25" s="29">
        <f>D12/'Income Statement'!D11</f>
        <v>0.20278244136157011</v>
      </c>
      <c r="E25" s="29">
        <f>E12/'Income Statement'!E11</f>
        <v>0.2076988076236973</v>
      </c>
      <c r="F25" s="29">
        <f>F12/'Income Statement'!F11</f>
        <v>0.20680933670564738</v>
      </c>
      <c r="G25" s="29">
        <f>G12/'Income Statement'!G11</f>
        <v>0.20494342362879281</v>
      </c>
      <c r="H25" s="29">
        <f>H12/'Income Statement'!H11</f>
        <v>0.32674050632911394</v>
      </c>
      <c r="I25" s="29">
        <f>I12/'Income Statement'!I11</f>
        <v>0.22119987777136454</v>
      </c>
      <c r="J25" s="31">
        <f>AVERAGE(D25:H25)</f>
        <v>0.22979490312976431</v>
      </c>
      <c r="K25" s="31">
        <f t="shared" ref="K25:N25" si="24">AVERAGE(E25:I25)</f>
        <v>0.23347839041172319</v>
      </c>
      <c r="L25" s="31">
        <f t="shared" si="24"/>
        <v>0.23789760951293659</v>
      </c>
      <c r="M25" s="31">
        <f t="shared" si="24"/>
        <v>0.24323142025415176</v>
      </c>
      <c r="N25" s="31">
        <f t="shared" si="24"/>
        <v>0.24982225743098052</v>
      </c>
    </row>
  </sheetData>
  <mergeCells count="2">
    <mergeCell ref="D1:I1"/>
    <mergeCell ref="J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11E5-076E-4DB6-8EBC-5ACC8BBFDCB3}">
  <sheetPr>
    <tabColor theme="9" tint="-0.249977111117893"/>
  </sheetPr>
  <dimension ref="A1:M29"/>
  <sheetViews>
    <sheetView showGridLines="0" tabSelected="1" workbookViewId="0">
      <selection activeCell="M9" sqref="M9"/>
    </sheetView>
  </sheetViews>
  <sheetFormatPr defaultRowHeight="15" x14ac:dyDescent="0.25"/>
  <cols>
    <col min="1" max="1" width="22.85546875" customWidth="1"/>
  </cols>
  <sheetData>
    <row r="1" spans="1:13" x14ac:dyDescent="0.25">
      <c r="A1" s="5" t="s">
        <v>0</v>
      </c>
      <c r="B1" s="1"/>
      <c r="C1" s="38" t="s">
        <v>1</v>
      </c>
      <c r="D1" s="38"/>
      <c r="E1" s="38"/>
      <c r="F1" s="38"/>
      <c r="G1" s="38"/>
      <c r="H1" s="38"/>
      <c r="I1" s="39" t="s">
        <v>2</v>
      </c>
      <c r="J1" s="39"/>
      <c r="K1" s="39"/>
      <c r="L1" s="39"/>
      <c r="M1" s="39"/>
    </row>
    <row r="2" spans="1:13" x14ac:dyDescent="0.25">
      <c r="A2" s="40" t="s">
        <v>33</v>
      </c>
      <c r="B2" s="41"/>
      <c r="C2" s="4">
        <v>2017</v>
      </c>
      <c r="D2" s="4">
        <v>2018</v>
      </c>
      <c r="E2" s="4">
        <v>2019</v>
      </c>
      <c r="F2" s="4">
        <v>2020</v>
      </c>
      <c r="G2" s="4">
        <v>2021</v>
      </c>
      <c r="H2" s="4">
        <v>2022</v>
      </c>
      <c r="I2" s="2">
        <v>2023</v>
      </c>
      <c r="J2" s="2">
        <v>2024</v>
      </c>
      <c r="K2" s="2">
        <v>2025</v>
      </c>
      <c r="L2" s="2">
        <v>2026</v>
      </c>
      <c r="M2" s="2">
        <v>2027</v>
      </c>
    </row>
    <row r="3" spans="1:13" x14ac:dyDescent="0.25">
      <c r="B3" s="1"/>
    </row>
    <row r="4" spans="1:13" x14ac:dyDescent="0.25">
      <c r="A4" t="s">
        <v>34</v>
      </c>
      <c r="B4" s="1"/>
      <c r="C4" s="20">
        <f>B6</f>
        <v>38214</v>
      </c>
      <c r="D4" s="20">
        <f t="shared" ref="D4:H4" si="0">C6</f>
        <v>38271</v>
      </c>
      <c r="E4" s="20">
        <f t="shared" si="0"/>
        <v>33783</v>
      </c>
      <c r="F4" s="20">
        <f t="shared" si="0"/>
        <v>45396</v>
      </c>
      <c r="G4" s="20">
        <f t="shared" si="0"/>
        <v>49076</v>
      </c>
      <c r="H4" s="20">
        <f t="shared" si="0"/>
        <v>44309</v>
      </c>
      <c r="I4">
        <f>H6</f>
        <v>37667</v>
      </c>
      <c r="J4">
        <f t="shared" ref="J4:M4" si="1">I6</f>
        <v>34864</v>
      </c>
      <c r="K4">
        <f t="shared" si="1"/>
        <v>30640</v>
      </c>
      <c r="L4">
        <f t="shared" si="1"/>
        <v>27075</v>
      </c>
      <c r="M4">
        <f t="shared" si="1"/>
        <v>26218</v>
      </c>
    </row>
    <row r="5" spans="1:13" x14ac:dyDescent="0.25">
      <c r="A5" t="s">
        <v>49</v>
      </c>
      <c r="B5" s="1"/>
      <c r="C5" s="20">
        <f>C4-C6</f>
        <v>-57</v>
      </c>
      <c r="D5" s="20">
        <f t="shared" ref="D5:H5" si="2">D4-D6</f>
        <v>4488</v>
      </c>
      <c r="E5" s="20">
        <f t="shared" si="2"/>
        <v>-11613</v>
      </c>
      <c r="F5" s="20">
        <f t="shared" si="2"/>
        <v>-3680</v>
      </c>
      <c r="G5" s="20">
        <f t="shared" si="2"/>
        <v>4767</v>
      </c>
      <c r="H5" s="20">
        <f t="shared" si="2"/>
        <v>6642</v>
      </c>
      <c r="I5" s="6">
        <v>-2803</v>
      </c>
      <c r="J5" s="6">
        <v>-4224</v>
      </c>
      <c r="K5">
        <v>-3565</v>
      </c>
      <c r="L5">
        <v>-857</v>
      </c>
      <c r="M5">
        <v>-2757</v>
      </c>
    </row>
    <row r="6" spans="1:13" x14ac:dyDescent="0.25">
      <c r="A6" s="5" t="s">
        <v>35</v>
      </c>
      <c r="B6" s="1">
        <v>38214</v>
      </c>
      <c r="C6" s="20">
        <f>36015+2256</f>
        <v>38271</v>
      </c>
      <c r="D6" s="20">
        <f>30045+3738</f>
        <v>33783</v>
      </c>
      <c r="E6" s="20">
        <f>43520+1876</f>
        <v>45396</v>
      </c>
      <c r="F6" s="20">
        <f>43714+5362</f>
        <v>49076</v>
      </c>
      <c r="G6" s="20">
        <f>41194+3115</f>
        <v>44309</v>
      </c>
      <c r="H6" s="20">
        <f>34864+2803</f>
        <v>37667</v>
      </c>
      <c r="I6" s="6">
        <f>I4+I5</f>
        <v>34864</v>
      </c>
      <c r="J6" s="6">
        <f t="shared" ref="J6:M6" si="3">J4+J5</f>
        <v>30640</v>
      </c>
      <c r="K6" s="6">
        <f t="shared" si="3"/>
        <v>27075</v>
      </c>
      <c r="L6" s="6">
        <f t="shared" si="3"/>
        <v>26218</v>
      </c>
      <c r="M6" s="6">
        <f t="shared" si="3"/>
        <v>23461</v>
      </c>
    </row>
    <row r="7" spans="1:13" x14ac:dyDescent="0.25">
      <c r="B7" s="1"/>
      <c r="C7" s="20"/>
      <c r="D7" s="20"/>
      <c r="E7" s="20"/>
      <c r="F7" s="20"/>
      <c r="G7" s="20"/>
      <c r="H7" s="20"/>
    </row>
    <row r="8" spans="1:13" x14ac:dyDescent="0.25">
      <c r="A8" s="5" t="s">
        <v>14</v>
      </c>
      <c r="B8" s="1"/>
      <c r="C8" s="20">
        <v>2267</v>
      </c>
      <c r="D8" s="20">
        <v>2178</v>
      </c>
      <c r="E8" s="20">
        <v>2129</v>
      </c>
      <c r="F8" s="20">
        <v>2410</v>
      </c>
      <c r="G8" s="20">
        <v>2194</v>
      </c>
      <c r="H8" s="20">
        <v>1836</v>
      </c>
      <c r="I8" s="17">
        <f>I4*I9</f>
        <v>1999.3921507025209</v>
      </c>
      <c r="J8" s="17">
        <f t="shared" ref="J8:M8" si="4">J4*J9</f>
        <v>1814.3304425740791</v>
      </c>
      <c r="K8" s="17">
        <f t="shared" si="4"/>
        <v>1569.6445637375803</v>
      </c>
      <c r="L8" s="17">
        <f t="shared" si="4"/>
        <v>1333.8065427202498</v>
      </c>
      <c r="M8" s="17">
        <f t="shared" si="4"/>
        <v>1274.8739291997827</v>
      </c>
    </row>
    <row r="9" spans="1:13" x14ac:dyDescent="0.25">
      <c r="A9" s="5" t="s">
        <v>36</v>
      </c>
      <c r="B9" s="1"/>
      <c r="C9" s="21">
        <f>C8/C4</f>
        <v>5.9323808028471238E-2</v>
      </c>
      <c r="D9" s="21">
        <f t="shared" ref="D9:H9" si="5">D8/D4</f>
        <v>5.6909931802147838E-2</v>
      </c>
      <c r="E9" s="21">
        <f t="shared" si="5"/>
        <v>6.3019862060799806E-2</v>
      </c>
      <c r="F9" s="21">
        <f t="shared" si="5"/>
        <v>5.3088377830645871E-2</v>
      </c>
      <c r="G9" s="21">
        <f t="shared" si="5"/>
        <v>4.4706170022006685E-2</v>
      </c>
      <c r="H9" s="21">
        <f t="shared" si="5"/>
        <v>4.1436277054323047E-2</v>
      </c>
      <c r="I9" s="13">
        <f>AVERAGE(C9:H9)</f>
        <v>5.3080737799732415E-2</v>
      </c>
      <c r="J9" s="13">
        <f t="shared" ref="J9:M9" si="6">AVERAGE(D9:I9)</f>
        <v>5.2040226094942611E-2</v>
      </c>
      <c r="K9" s="13">
        <f t="shared" si="6"/>
        <v>5.1228608477075076E-2</v>
      </c>
      <c r="L9" s="13">
        <f t="shared" si="6"/>
        <v>4.9263399546454284E-2</v>
      </c>
      <c r="M9" s="13">
        <f t="shared" si="6"/>
        <v>4.8625903165755685E-2</v>
      </c>
    </row>
    <row r="10" spans="1:13" x14ac:dyDescent="0.25">
      <c r="B10" s="1"/>
    </row>
    <row r="11" spans="1:13" x14ac:dyDescent="0.25">
      <c r="B11" s="1"/>
    </row>
    <row r="12" spans="1:13" x14ac:dyDescent="0.25">
      <c r="B12" s="1"/>
    </row>
    <row r="13" spans="1:13" x14ac:dyDescent="0.25">
      <c r="B13" s="1"/>
    </row>
    <row r="14" spans="1:13" x14ac:dyDescent="0.25">
      <c r="B14" s="1"/>
    </row>
    <row r="15" spans="1:13" x14ac:dyDescent="0.25">
      <c r="B15" s="1"/>
    </row>
    <row r="16" spans="1:1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</sheetData>
  <mergeCells count="3">
    <mergeCell ref="C1:H1"/>
    <mergeCell ref="I1:M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ED65-6AA1-486A-BBEF-CBD6C6A44409}">
  <sheetPr>
    <tabColor theme="3"/>
  </sheetPr>
  <dimension ref="A1:N23"/>
  <sheetViews>
    <sheetView showGridLines="0" workbookViewId="0">
      <selection activeCell="J8" sqref="J8"/>
    </sheetView>
  </sheetViews>
  <sheetFormatPr defaultRowHeight="15" x14ac:dyDescent="0.25"/>
  <cols>
    <col min="1" max="1" width="23.42578125" customWidth="1"/>
    <col min="10" max="14" width="9.5703125" bestFit="1" customWidth="1"/>
  </cols>
  <sheetData>
    <row r="1" spans="1:14" x14ac:dyDescent="0.25">
      <c r="A1" s="5" t="s">
        <v>0</v>
      </c>
      <c r="C1" s="1"/>
      <c r="D1" s="38" t="s">
        <v>1</v>
      </c>
      <c r="E1" s="38"/>
      <c r="F1" s="38"/>
      <c r="G1" s="38"/>
      <c r="H1" s="38"/>
      <c r="I1" s="38"/>
      <c r="J1" s="39" t="s">
        <v>2</v>
      </c>
      <c r="K1" s="39"/>
      <c r="L1" s="39"/>
      <c r="M1" s="39"/>
      <c r="N1" s="39"/>
    </row>
    <row r="2" spans="1:14" x14ac:dyDescent="0.25">
      <c r="A2" s="8"/>
      <c r="B2" s="2"/>
      <c r="C2" s="3"/>
      <c r="D2" s="4">
        <v>2017</v>
      </c>
      <c r="E2" s="4">
        <v>2018</v>
      </c>
      <c r="F2" s="4">
        <v>2019</v>
      </c>
      <c r="G2" s="4">
        <v>2020</v>
      </c>
      <c r="H2" s="4">
        <v>2021</v>
      </c>
      <c r="I2" s="4">
        <v>2022</v>
      </c>
      <c r="J2" s="2">
        <v>2023</v>
      </c>
      <c r="K2" s="2">
        <v>2024</v>
      </c>
      <c r="L2" s="2">
        <v>2025</v>
      </c>
      <c r="M2" s="2">
        <v>2026</v>
      </c>
      <c r="N2" s="2">
        <v>2027</v>
      </c>
    </row>
    <row r="3" spans="1:14" x14ac:dyDescent="0.25">
      <c r="C3" s="1"/>
    </row>
    <row r="4" spans="1:14" x14ac:dyDescent="0.25">
      <c r="A4" s="5" t="s">
        <v>37</v>
      </c>
      <c r="C4" s="1"/>
      <c r="D4" s="20"/>
      <c r="E4" s="20"/>
      <c r="F4" s="20"/>
      <c r="G4" s="20"/>
      <c r="H4" s="20"/>
      <c r="I4" s="20"/>
    </row>
    <row r="5" spans="1:14" x14ac:dyDescent="0.25">
      <c r="A5" t="s">
        <v>38</v>
      </c>
      <c r="C5" s="1"/>
      <c r="D5" s="20">
        <f>C9</f>
        <v>110171</v>
      </c>
      <c r="E5" s="20">
        <f t="shared" ref="E5:I5" si="0">D9</f>
        <v>107710</v>
      </c>
      <c r="F5" s="20">
        <f t="shared" si="0"/>
        <v>107675</v>
      </c>
      <c r="G5" s="20">
        <f t="shared" si="0"/>
        <v>104317</v>
      </c>
      <c r="H5" s="20">
        <f t="shared" si="0"/>
        <v>105208</v>
      </c>
      <c r="I5" s="20">
        <f t="shared" si="0"/>
        <v>92201</v>
      </c>
      <c r="J5">
        <f t="shared" ref="J5" si="1">I9</f>
        <v>94515</v>
      </c>
      <c r="K5">
        <f t="shared" ref="K5" si="2">J9</f>
        <v>269711.20897263079</v>
      </c>
      <c r="L5">
        <f t="shared" ref="L5" si="3">K9</f>
        <v>275275.14215387101</v>
      </c>
      <c r="M5">
        <f t="shared" ref="M5" si="4">L9</f>
        <v>280687.3780916683</v>
      </c>
      <c r="N5">
        <f t="shared" ref="N5" si="5">M9</f>
        <v>285934.30888645269</v>
      </c>
    </row>
    <row r="6" spans="1:14" x14ac:dyDescent="0.25">
      <c r="A6" s="8" t="s">
        <v>39</v>
      </c>
      <c r="B6" s="2"/>
      <c r="C6" s="3"/>
      <c r="D6" s="4">
        <f>D7-D5</f>
        <v>2450</v>
      </c>
      <c r="E6" s="4">
        <f t="shared" ref="E6:I6" si="6">E7-E5</f>
        <v>4934</v>
      </c>
      <c r="F6" s="4">
        <f t="shared" si="6"/>
        <v>1638</v>
      </c>
      <c r="G6" s="4">
        <f t="shared" si="6"/>
        <v>7461</v>
      </c>
      <c r="H6" s="4">
        <f t="shared" si="6"/>
        <v>-5860</v>
      </c>
      <c r="I6" s="4">
        <f t="shared" si="6"/>
        <v>8621</v>
      </c>
      <c r="J6" s="19">
        <f>J7-J5</f>
        <v>195497.05265874276</v>
      </c>
      <c r="K6" s="19">
        <f t="shared" ref="K6:N6" si="7">K7-K5</f>
        <v>26283.567536907911</v>
      </c>
      <c r="L6" s="19">
        <f t="shared" si="7"/>
        <v>26539.242890933587</v>
      </c>
      <c r="M6" s="19">
        <f t="shared" si="7"/>
        <v>26768.868022796989</v>
      </c>
      <c r="N6" s="19">
        <f t="shared" si="7"/>
        <v>27671.062150301936</v>
      </c>
    </row>
    <row r="7" spans="1:14" x14ac:dyDescent="0.25">
      <c r="A7" s="5" t="s">
        <v>40</v>
      </c>
      <c r="C7" s="1"/>
      <c r="D7" s="20">
        <f>D9+D8</f>
        <v>112621</v>
      </c>
      <c r="E7" s="20">
        <f t="shared" ref="E7:I7" si="8">E9+E8</f>
        <v>112644</v>
      </c>
      <c r="F7" s="20">
        <f t="shared" si="8"/>
        <v>109313</v>
      </c>
      <c r="G7" s="20">
        <f t="shared" si="8"/>
        <v>111778</v>
      </c>
      <c r="H7" s="20">
        <f t="shared" si="8"/>
        <v>99348</v>
      </c>
      <c r="I7" s="20">
        <f t="shared" si="8"/>
        <v>100822</v>
      </c>
      <c r="J7" s="17">
        <f>'Income Statement'!J3/'Fixed Asset Schedule'!J13</f>
        <v>290012.05265874276</v>
      </c>
      <c r="K7" s="17">
        <f>'Income Statement'!K3/'Fixed Asset Schedule'!K13</f>
        <v>295994.7765095387</v>
      </c>
      <c r="L7" s="17">
        <f>'Income Statement'!L3/'Fixed Asset Schedule'!L13</f>
        <v>301814.3850448046</v>
      </c>
      <c r="M7" s="17">
        <f>'Income Statement'!M3/'Fixed Asset Schedule'!M13</f>
        <v>307456.24611446529</v>
      </c>
      <c r="N7" s="17">
        <f>'Income Statement'!N3/'Fixed Asset Schedule'!N13</f>
        <v>313605.37103675463</v>
      </c>
    </row>
    <row r="8" spans="1:14" x14ac:dyDescent="0.25">
      <c r="A8" t="s">
        <v>41</v>
      </c>
      <c r="C8" s="1"/>
      <c r="D8" s="20">
        <f>'Income Statement'!D15</f>
        <v>4911</v>
      </c>
      <c r="E8" s="20">
        <f>'Income Statement'!E15</f>
        <v>4969</v>
      </c>
      <c r="F8" s="20">
        <f>'Income Statement'!F15</f>
        <v>4996</v>
      </c>
      <c r="G8" s="20">
        <f>'Income Statement'!G15</f>
        <v>6570</v>
      </c>
      <c r="H8" s="20">
        <f>'Income Statement'!H15</f>
        <v>7147</v>
      </c>
      <c r="I8" s="20">
        <f>'Income Statement'!I15</f>
        <v>6307</v>
      </c>
      <c r="J8" s="17">
        <f>J7*J11</f>
        <v>20300.843686111995</v>
      </c>
      <c r="K8" s="17">
        <f t="shared" ref="K8:N8" si="9">K7*K11</f>
        <v>20719.634355667709</v>
      </c>
      <c r="L8" s="17">
        <f t="shared" si="9"/>
        <v>21127.006953136322</v>
      </c>
      <c r="M8" s="17">
        <f t="shared" si="9"/>
        <v>21521.937228012572</v>
      </c>
      <c r="N8" s="17">
        <f t="shared" si="9"/>
        <v>21952.375972572827</v>
      </c>
    </row>
    <row r="9" spans="1:14" x14ac:dyDescent="0.25">
      <c r="A9" s="9" t="s">
        <v>35</v>
      </c>
      <c r="B9" s="10"/>
      <c r="C9" s="11">
        <v>110171</v>
      </c>
      <c r="D9" s="25">
        <v>107710</v>
      </c>
      <c r="E9" s="25">
        <v>107675</v>
      </c>
      <c r="F9" s="25">
        <v>104317</v>
      </c>
      <c r="G9" s="25">
        <v>105208</v>
      </c>
      <c r="H9" s="25">
        <v>92201</v>
      </c>
      <c r="I9" s="25">
        <v>94515</v>
      </c>
      <c r="J9" s="18">
        <f>J7-J8</f>
        <v>269711.20897263079</v>
      </c>
      <c r="K9" s="18">
        <f t="shared" ref="K9:N9" si="10">K7-K8</f>
        <v>275275.14215387101</v>
      </c>
      <c r="L9" s="18">
        <f t="shared" si="10"/>
        <v>280687.3780916683</v>
      </c>
      <c r="M9" s="18">
        <f t="shared" si="10"/>
        <v>285934.30888645269</v>
      </c>
      <c r="N9" s="18">
        <f t="shared" si="10"/>
        <v>291652.9950641818</v>
      </c>
    </row>
    <row r="10" spans="1:14" x14ac:dyDescent="0.25">
      <c r="C10" s="1"/>
      <c r="D10" s="20"/>
      <c r="E10" s="20"/>
      <c r="F10" s="20"/>
      <c r="G10" s="20"/>
      <c r="H10" s="20"/>
      <c r="I10" s="20"/>
    </row>
    <row r="11" spans="1:14" x14ac:dyDescent="0.25">
      <c r="A11" s="5" t="s">
        <v>42</v>
      </c>
      <c r="C11" s="1"/>
      <c r="D11" s="21">
        <f>D8/D7</f>
        <v>4.360643219293027E-2</v>
      </c>
      <c r="E11" s="21">
        <f t="shared" ref="E11:I11" si="11">E8/E7</f>
        <v>4.4112424984908208E-2</v>
      </c>
      <c r="F11" s="21">
        <f t="shared" si="11"/>
        <v>4.5703621710135117E-2</v>
      </c>
      <c r="G11" s="21">
        <f t="shared" si="11"/>
        <v>5.8777219130777075E-2</v>
      </c>
      <c r="H11" s="21">
        <f t="shared" si="11"/>
        <v>7.1939042557474742E-2</v>
      </c>
      <c r="I11" s="21">
        <f t="shared" si="11"/>
        <v>6.2555791394735272E-2</v>
      </c>
      <c r="J11" s="13">
        <v>7.0000000000000007E-2</v>
      </c>
      <c r="K11" s="13">
        <v>7.0000000000000007E-2</v>
      </c>
      <c r="L11" s="13">
        <v>7.0000000000000007E-2</v>
      </c>
      <c r="M11" s="13">
        <v>7.0000000000000007E-2</v>
      </c>
      <c r="N11" s="13">
        <v>7.0000000000000007E-2</v>
      </c>
    </row>
    <row r="12" spans="1:14" x14ac:dyDescent="0.25">
      <c r="C12" s="1"/>
      <c r="D12" s="20"/>
      <c r="E12" s="20"/>
      <c r="F12" s="20"/>
      <c r="G12" s="20"/>
      <c r="H12" s="20"/>
      <c r="I12" s="20"/>
    </row>
    <row r="13" spans="1:14" x14ac:dyDescent="0.25">
      <c r="A13" s="5" t="s">
        <v>43</v>
      </c>
      <c r="C13" s="1"/>
      <c r="D13" s="26">
        <f>'Income Statement'!D8/'Fixed Asset Schedule'!D7</f>
        <v>0.95826710826577632</v>
      </c>
      <c r="E13" s="26">
        <f>'Income Statement'!E8/'Fixed Asset Schedule'!E7</f>
        <v>1.1940715883668904</v>
      </c>
      <c r="F13" s="26">
        <f>'Income Statement'!F8/'Fixed Asset Schedule'!F7</f>
        <v>1.1436883078865276</v>
      </c>
      <c r="G13" s="26">
        <f>'Income Statement'!G8/'Fixed Asset Schedule'!G7</f>
        <v>1.1211597988870798</v>
      </c>
      <c r="H13" s="26">
        <f>'Income Statement'!H8/'Fixed Asset Schedule'!H7</f>
        <v>1.3580343841848854</v>
      </c>
      <c r="I13" s="26">
        <f>'Income Statement'!I8/'Fixed Asset Schedule'!I7</f>
        <v>1.3763067584455773</v>
      </c>
      <c r="J13" s="15">
        <v>2</v>
      </c>
      <c r="K13" s="15">
        <v>2</v>
      </c>
      <c r="L13" s="15">
        <v>2</v>
      </c>
      <c r="M13" s="15">
        <v>2</v>
      </c>
      <c r="N13" s="15">
        <v>2</v>
      </c>
    </row>
    <row r="14" spans="1:14" x14ac:dyDescent="0.25">
      <c r="C14" s="1"/>
      <c r="D14" s="20"/>
      <c r="E14" s="20"/>
      <c r="F14" s="20"/>
      <c r="G14" s="20"/>
      <c r="H14" s="20"/>
      <c r="I14" s="20"/>
    </row>
    <row r="15" spans="1:14" x14ac:dyDescent="0.25">
      <c r="A15" s="5" t="s">
        <v>44</v>
      </c>
      <c r="C15" s="1"/>
      <c r="D15" s="20"/>
      <c r="E15" s="20"/>
      <c r="F15" s="20"/>
      <c r="G15" s="20"/>
      <c r="H15" s="20"/>
      <c r="I15" s="20"/>
    </row>
    <row r="16" spans="1:14" x14ac:dyDescent="0.25">
      <c r="A16" s="5" t="s">
        <v>37</v>
      </c>
      <c r="C16" s="1"/>
      <c r="D16" s="20"/>
      <c r="E16" s="20"/>
      <c r="F16" s="20"/>
      <c r="G16" s="20"/>
      <c r="H16" s="20"/>
      <c r="I16" s="20"/>
    </row>
    <row r="17" spans="1:14" x14ac:dyDescent="0.25">
      <c r="A17" t="s">
        <v>38</v>
      </c>
      <c r="C17" s="1"/>
      <c r="D17" s="20">
        <f>C21</f>
        <v>16695</v>
      </c>
      <c r="E17" s="20">
        <f t="shared" ref="E17:I17" si="12">D21</f>
        <v>17037</v>
      </c>
      <c r="F17" s="20">
        <f t="shared" si="12"/>
        <v>18242</v>
      </c>
      <c r="G17" s="20">
        <f t="shared" si="12"/>
        <v>31181</v>
      </c>
      <c r="H17" s="20">
        <f t="shared" si="12"/>
        <v>31073</v>
      </c>
      <c r="I17" s="20">
        <f t="shared" si="12"/>
        <v>28983</v>
      </c>
      <c r="J17" s="17">
        <f>I21</f>
        <v>29014</v>
      </c>
      <c r="K17" s="17">
        <f t="shared" ref="K17:M17" si="13">J21</f>
        <v>21280.546205942079</v>
      </c>
      <c r="L17" s="17">
        <f t="shared" si="13"/>
        <v>16207.781588976181</v>
      </c>
      <c r="M17" s="17">
        <f t="shared" si="13"/>
        <v>12884.610748813964</v>
      </c>
      <c r="N17" s="17">
        <f>M21</f>
        <v>10281.025325292729</v>
      </c>
    </row>
    <row r="18" spans="1:14" x14ac:dyDescent="0.25">
      <c r="A18" s="8" t="s">
        <v>39</v>
      </c>
      <c r="B18" s="2"/>
      <c r="C18" s="3"/>
      <c r="D18" s="4">
        <f>D17-D19</f>
        <v>4827</v>
      </c>
      <c r="E18" s="4">
        <f t="shared" ref="E18:I18" si="14">E17-E19</f>
        <v>4355</v>
      </c>
      <c r="F18" s="4">
        <f t="shared" si="14"/>
        <v>-7257</v>
      </c>
      <c r="G18" s="4">
        <f t="shared" si="14"/>
        <v>4525</v>
      </c>
      <c r="H18" s="4">
        <f t="shared" si="14"/>
        <v>6095</v>
      </c>
      <c r="I18" s="4">
        <f t="shared" si="14"/>
        <v>4320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</row>
    <row r="19" spans="1:14" x14ac:dyDescent="0.25">
      <c r="A19" s="5" t="s">
        <v>48</v>
      </c>
      <c r="C19" s="1"/>
      <c r="D19" s="20">
        <f>D21-D20</f>
        <v>11868</v>
      </c>
      <c r="E19" s="20">
        <f t="shared" ref="E19:I19" si="15">E21-E20</f>
        <v>12682</v>
      </c>
      <c r="F19" s="20">
        <f t="shared" si="15"/>
        <v>25499</v>
      </c>
      <c r="G19" s="20">
        <f t="shared" si="15"/>
        <v>26656</v>
      </c>
      <c r="H19" s="20">
        <f t="shared" si="15"/>
        <v>24978</v>
      </c>
      <c r="I19" s="20">
        <f t="shared" si="15"/>
        <v>24663</v>
      </c>
      <c r="J19" s="17">
        <f>J17+J18</f>
        <v>29014</v>
      </c>
      <c r="K19" s="17">
        <f t="shared" ref="K19:N19" si="16">K17+K18</f>
        <v>21280.546205942079</v>
      </c>
      <c r="L19" s="17">
        <f t="shared" si="16"/>
        <v>16207.781588976181</v>
      </c>
      <c r="M19" s="17">
        <f t="shared" si="16"/>
        <v>12884.610748813964</v>
      </c>
      <c r="N19" s="17">
        <f t="shared" si="16"/>
        <v>10281.025325292729</v>
      </c>
    </row>
    <row r="20" spans="1:14" x14ac:dyDescent="0.25">
      <c r="A20" t="s">
        <v>47</v>
      </c>
      <c r="C20" s="1"/>
      <c r="D20" s="20">
        <f>'Income Statement'!D14</f>
        <v>5169</v>
      </c>
      <c r="E20" s="20">
        <f>'Income Statement'!E14</f>
        <v>5560</v>
      </c>
      <c r="F20" s="20">
        <f>'Income Statement'!F14</f>
        <v>5682</v>
      </c>
      <c r="G20" s="20">
        <f>'Income Statement'!G14</f>
        <v>4417</v>
      </c>
      <c r="H20" s="20">
        <f>'Income Statement'!H14</f>
        <v>4005</v>
      </c>
      <c r="I20" s="20">
        <f>'Income Statement'!I14</f>
        <v>4351</v>
      </c>
      <c r="J20" s="17">
        <f>J19*J23</f>
        <v>7733.4537940579221</v>
      </c>
      <c r="K20" s="17">
        <f t="shared" ref="K20:N20" si="17">K19*K23</f>
        <v>5072.7646169658974</v>
      </c>
      <c r="L20" s="17">
        <f t="shared" si="17"/>
        <v>3323.1708401622159</v>
      </c>
      <c r="M20" s="17">
        <f t="shared" si="17"/>
        <v>2603.585423521235</v>
      </c>
      <c r="N20" s="17">
        <f t="shared" si="17"/>
        <v>2139.7931295670401</v>
      </c>
    </row>
    <row r="21" spans="1:14" x14ac:dyDescent="0.25">
      <c r="A21" s="9" t="s">
        <v>35</v>
      </c>
      <c r="B21" s="10"/>
      <c r="C21" s="11">
        <v>16695</v>
      </c>
      <c r="D21" s="25">
        <v>17037</v>
      </c>
      <c r="E21" s="25">
        <v>18242</v>
      </c>
      <c r="F21" s="25">
        <v>31181</v>
      </c>
      <c r="G21" s="25">
        <v>31073</v>
      </c>
      <c r="H21" s="25">
        <v>28983</v>
      </c>
      <c r="I21" s="25">
        <v>29014</v>
      </c>
      <c r="J21" s="18">
        <f>J19-J20</f>
        <v>21280.546205942079</v>
      </c>
      <c r="K21" s="18">
        <f t="shared" ref="K21:N21" si="18">K19-K20</f>
        <v>16207.781588976181</v>
      </c>
      <c r="L21" s="18">
        <f t="shared" si="18"/>
        <v>12884.610748813964</v>
      </c>
      <c r="M21" s="18">
        <f t="shared" si="18"/>
        <v>10281.025325292729</v>
      </c>
      <c r="N21" s="18">
        <f t="shared" si="18"/>
        <v>8141.2321957256881</v>
      </c>
    </row>
    <row r="22" spans="1:14" x14ac:dyDescent="0.25">
      <c r="C22" s="1"/>
      <c r="D22" s="20"/>
      <c r="E22" s="20"/>
      <c r="F22" s="20"/>
      <c r="G22" s="20"/>
      <c r="H22" s="20"/>
      <c r="I22" s="20"/>
    </row>
    <row r="23" spans="1:14" x14ac:dyDescent="0.25">
      <c r="A23" s="8" t="s">
        <v>45</v>
      </c>
      <c r="B23" s="2"/>
      <c r="C23" s="3"/>
      <c r="D23" s="24">
        <f>D20/D19</f>
        <v>0.43554095045500507</v>
      </c>
      <c r="E23" s="24">
        <f t="shared" ref="E23:I23" si="19">E20/E19</f>
        <v>0.43841665352468068</v>
      </c>
      <c r="F23" s="24">
        <f t="shared" si="19"/>
        <v>0.22283226793207578</v>
      </c>
      <c r="G23" s="24">
        <f t="shared" si="19"/>
        <v>0.16570378151260504</v>
      </c>
      <c r="H23" s="24">
        <f t="shared" si="19"/>
        <v>0.16034110016814798</v>
      </c>
      <c r="I23" s="24">
        <f t="shared" si="19"/>
        <v>0.17641811620646311</v>
      </c>
      <c r="J23" s="14">
        <f>AVERAGE(D23:I23)</f>
        <v>0.26654214496649625</v>
      </c>
      <c r="K23" s="14">
        <f t="shared" ref="K23:N23" si="20">AVERAGE(E23:J23)</f>
        <v>0.23837567738507814</v>
      </c>
      <c r="L23" s="14">
        <f t="shared" si="20"/>
        <v>0.20503551469514436</v>
      </c>
      <c r="M23" s="14">
        <f t="shared" si="20"/>
        <v>0.20206938915565584</v>
      </c>
      <c r="N23" s="14">
        <f t="shared" si="20"/>
        <v>0.20813032376283094</v>
      </c>
    </row>
  </sheetData>
  <mergeCells count="2">
    <mergeCell ref="D1:I1"/>
    <mergeCell ref="J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0E9FB-0782-4DFC-A957-167965B37422}">
  <sheetPr>
    <tabColor theme="0" tint="-0.34998626667073579"/>
  </sheetPr>
  <dimension ref="A1:K187"/>
  <sheetViews>
    <sheetView showGridLines="0" topLeftCell="A15" workbookViewId="0">
      <selection activeCell="I32" sqref="I32"/>
    </sheetView>
  </sheetViews>
  <sheetFormatPr defaultRowHeight="15" x14ac:dyDescent="0.25"/>
  <cols>
    <col min="1" max="1" width="17.85546875" customWidth="1"/>
    <col min="2" max="2" width="22.28515625" customWidth="1"/>
    <col min="3" max="3" width="18.42578125" customWidth="1"/>
    <col min="4" max="4" width="20.7109375" customWidth="1"/>
    <col min="5" max="5" width="20" customWidth="1"/>
    <col min="6" max="6" width="25.140625" customWidth="1"/>
    <col min="7" max="7" width="20.5703125" customWidth="1"/>
    <col min="8" max="8" width="10.28515625" customWidth="1"/>
  </cols>
  <sheetData>
    <row r="1" spans="1:11" x14ac:dyDescent="0.25">
      <c r="A1" t="s">
        <v>52</v>
      </c>
      <c r="C1" s="32">
        <v>44952</v>
      </c>
    </row>
    <row r="3" spans="1:11" x14ac:dyDescent="0.25">
      <c r="A3" s="42" t="s">
        <v>53</v>
      </c>
      <c r="B3" s="43"/>
      <c r="C3" s="43"/>
      <c r="D3" s="43"/>
      <c r="E3" s="43"/>
      <c r="F3" s="43"/>
    </row>
    <row r="4" spans="1:11" x14ac:dyDescent="0.25">
      <c r="A4" t="s">
        <v>54</v>
      </c>
      <c r="B4" s="1"/>
      <c r="C4" s="32">
        <v>44952</v>
      </c>
      <c r="F4" s="13">
        <v>3.44E-2</v>
      </c>
      <c r="H4" s="54" t="s">
        <v>81</v>
      </c>
      <c r="I4" s="55">
        <f>F9</f>
        <v>5.3843583924464561E-2</v>
      </c>
      <c r="J4" s="10" t="s">
        <v>82</v>
      </c>
      <c r="K4" s="56">
        <f ca="1">H36/(H34+H36)</f>
        <v>5.5817623039132007E-2</v>
      </c>
    </row>
    <row r="5" spans="1:11" x14ac:dyDescent="0.25">
      <c r="A5" t="s">
        <v>55</v>
      </c>
      <c r="B5" s="1"/>
      <c r="F5" s="13">
        <v>8.5000000000000006E-3</v>
      </c>
      <c r="H5" s="48" t="s">
        <v>80</v>
      </c>
      <c r="I5" s="14">
        <f>F18</f>
        <v>7.4304733657163585E-2</v>
      </c>
      <c r="J5" s="2" t="s">
        <v>79</v>
      </c>
      <c r="K5" s="57">
        <f ca="1">H34/(H34+H36)</f>
        <v>0.94418237696086804</v>
      </c>
    </row>
    <row r="6" spans="1:11" x14ac:dyDescent="0.25">
      <c r="A6" t="s">
        <v>56</v>
      </c>
      <c r="B6" s="1"/>
      <c r="F6" s="13">
        <v>3.2899999999999999E-2</v>
      </c>
      <c r="H6" s="58" t="s">
        <v>83</v>
      </c>
      <c r="I6" s="2"/>
      <c r="J6" s="2"/>
      <c r="K6" s="53">
        <f ca="1">SUMPRODUCT(K4:K5,I4:I5)</f>
        <v>7.3162640914436569E-2</v>
      </c>
    </row>
    <row r="7" spans="1:11" x14ac:dyDescent="0.25">
      <c r="A7" s="5" t="s">
        <v>53</v>
      </c>
      <c r="B7" s="1"/>
      <c r="F7" s="34">
        <f>SUM(F4:F6)</f>
        <v>7.5800000000000006E-2</v>
      </c>
    </row>
    <row r="8" spans="1:11" x14ac:dyDescent="0.25">
      <c r="A8" s="2" t="s">
        <v>57</v>
      </c>
      <c r="B8" s="3"/>
      <c r="C8" s="2"/>
      <c r="D8" s="2"/>
      <c r="E8" s="2"/>
      <c r="F8" s="14">
        <f>'Income Statement'!M26</f>
        <v>0.28966248120759164</v>
      </c>
    </row>
    <row r="9" spans="1:11" x14ac:dyDescent="0.25">
      <c r="A9" s="5" t="s">
        <v>58</v>
      </c>
      <c r="B9" s="1"/>
      <c r="F9" s="13">
        <f>F7*(1-F8)</f>
        <v>5.3843583924464561E-2</v>
      </c>
    </row>
    <row r="11" spans="1:11" x14ac:dyDescent="0.25">
      <c r="A11" s="42" t="s">
        <v>59</v>
      </c>
      <c r="B11" s="43"/>
      <c r="C11" s="43"/>
      <c r="D11" s="43"/>
      <c r="E11" s="43"/>
      <c r="F11" s="43"/>
    </row>
    <row r="12" spans="1:11" x14ac:dyDescent="0.25">
      <c r="A12" s="33" t="s">
        <v>54</v>
      </c>
      <c r="B12" s="1"/>
      <c r="F12" s="13">
        <f>F4</f>
        <v>3.44E-2</v>
      </c>
    </row>
    <row r="13" spans="1:11" x14ac:dyDescent="0.25">
      <c r="A13" s="33" t="s">
        <v>60</v>
      </c>
      <c r="B13" s="1"/>
      <c r="F13" s="15">
        <f>SLOPE(E31:E187,C31:C187)</f>
        <v>0.35305088776796278</v>
      </c>
    </row>
    <row r="14" spans="1:11" x14ac:dyDescent="0.25">
      <c r="A14" s="33" t="s">
        <v>61</v>
      </c>
      <c r="B14" s="1"/>
      <c r="C14" s="32">
        <v>31048</v>
      </c>
      <c r="F14" s="13">
        <f>C25</f>
        <v>0.1474282773382809</v>
      </c>
    </row>
    <row r="15" spans="1:11" x14ac:dyDescent="0.25">
      <c r="A15" s="33" t="s">
        <v>54</v>
      </c>
      <c r="B15" s="1"/>
      <c r="F15" s="13">
        <f>F12</f>
        <v>3.44E-2</v>
      </c>
    </row>
    <row r="16" spans="1:11" x14ac:dyDescent="0.25">
      <c r="A16" s="44"/>
      <c r="B16" s="1"/>
    </row>
    <row r="17" spans="1:9" x14ac:dyDescent="0.25">
      <c r="A17" s="2"/>
      <c r="B17" s="3"/>
      <c r="C17" s="2"/>
      <c r="D17" s="2"/>
      <c r="E17" s="2"/>
      <c r="F17" s="2"/>
    </row>
    <row r="18" spans="1:9" x14ac:dyDescent="0.25">
      <c r="A18" s="5" t="s">
        <v>59</v>
      </c>
      <c r="F18" s="13">
        <f>F12+F13*(F14-F15)</f>
        <v>7.4304733657163585E-2</v>
      </c>
    </row>
    <row r="21" spans="1:9" x14ac:dyDescent="0.25">
      <c r="A21" s="50" t="s">
        <v>62</v>
      </c>
      <c r="B21" s="10"/>
      <c r="C21" s="11"/>
    </row>
    <row r="22" spans="1:9" x14ac:dyDescent="0.25">
      <c r="A22" s="33" t="s">
        <v>70</v>
      </c>
      <c r="B22" s="51">
        <v>31048</v>
      </c>
      <c r="C22" s="1">
        <v>0.87</v>
      </c>
    </row>
    <row r="23" spans="1:9" x14ac:dyDescent="0.25">
      <c r="A23" s="33" t="s">
        <v>71</v>
      </c>
      <c r="B23" s="51">
        <v>44951</v>
      </c>
      <c r="C23" s="1">
        <v>142.34</v>
      </c>
    </row>
    <row r="24" spans="1:9" x14ac:dyDescent="0.25">
      <c r="A24" s="33" t="s">
        <v>72</v>
      </c>
      <c r="B24" s="52">
        <f>YEARFRAC(B22,B23,1)</f>
        <v>38.066343723673128</v>
      </c>
      <c r="C24" s="1"/>
    </row>
    <row r="25" spans="1:9" x14ac:dyDescent="0.25">
      <c r="A25" s="48" t="s">
        <v>73</v>
      </c>
      <c r="B25" s="2"/>
      <c r="C25" s="53">
        <f>(C23/C22)^(1/(B24-1))-1</f>
        <v>0.1474282773382809</v>
      </c>
    </row>
    <row r="26" spans="1:9" x14ac:dyDescent="0.25">
      <c r="C26" s="7"/>
    </row>
    <row r="27" spans="1:9" x14ac:dyDescent="0.25">
      <c r="A27" s="5" t="s">
        <v>63</v>
      </c>
    </row>
    <row r="28" spans="1:9" x14ac:dyDescent="0.25">
      <c r="A28" t="s">
        <v>64</v>
      </c>
    </row>
    <row r="29" spans="1:9" x14ac:dyDescent="0.25">
      <c r="A29" s="36" t="s">
        <v>65</v>
      </c>
      <c r="B29" s="36" t="s">
        <v>68</v>
      </c>
      <c r="C29" s="36" t="s">
        <v>66</v>
      </c>
      <c r="D29" s="36" t="s">
        <v>69</v>
      </c>
      <c r="E29" s="36" t="s">
        <v>67</v>
      </c>
      <c r="F29" s="5"/>
      <c r="G29" s="45" t="s">
        <v>74</v>
      </c>
      <c r="H29" s="10"/>
      <c r="I29" s="11"/>
    </row>
    <row r="30" spans="1:9" x14ac:dyDescent="0.25">
      <c r="A30" s="35">
        <v>43857</v>
      </c>
      <c r="B30">
        <v>13614.099609000001</v>
      </c>
      <c r="D30">
        <v>109.13191999999999</v>
      </c>
      <c r="G30" s="33" t="s">
        <v>75</v>
      </c>
      <c r="H30" s="46">
        <f>2751779629/(10^6)</f>
        <v>2751.7796290000001</v>
      </c>
      <c r="I30" s="1"/>
    </row>
    <row r="31" spans="1:9" x14ac:dyDescent="0.25">
      <c r="A31" s="35">
        <v>43864</v>
      </c>
      <c r="B31">
        <v>13931.929688</v>
      </c>
      <c r="C31" s="7">
        <f>B31/B30-1</f>
        <v>2.3345655469561022E-2</v>
      </c>
      <c r="D31">
        <v>111.000191</v>
      </c>
      <c r="E31" s="7">
        <f>D31/D30-1</f>
        <v>1.7119381753752716E-2</v>
      </c>
      <c r="G31" s="33" t="s">
        <v>76</v>
      </c>
      <c r="H31" s="44">
        <f ca="1">'DCF Factor'!C28</f>
        <v>214.31280145334566</v>
      </c>
      <c r="I31" s="1"/>
    </row>
    <row r="32" spans="1:9" x14ac:dyDescent="0.25">
      <c r="A32" s="35">
        <v>43871</v>
      </c>
      <c r="B32">
        <v>14097.339844</v>
      </c>
      <c r="C32" s="7">
        <f t="shared" ref="C32:C95" si="0">B32/B31-1</f>
        <v>1.1872738357449064E-2</v>
      </c>
      <c r="D32">
        <v>112.37281</v>
      </c>
      <c r="E32" s="7">
        <f t="shared" ref="E32:E95" si="1">D32/D31-1</f>
        <v>1.2365915658649529E-2</v>
      </c>
      <c r="G32" s="33"/>
      <c r="H32" s="44"/>
      <c r="I32" s="1"/>
    </row>
    <row r="33" spans="1:9" x14ac:dyDescent="0.25">
      <c r="A33" s="35">
        <v>43878</v>
      </c>
      <c r="B33">
        <v>13975.780273</v>
      </c>
      <c r="C33" s="7">
        <f t="shared" si="0"/>
        <v>-8.6228729920090341E-3</v>
      </c>
      <c r="D33">
        <v>113.030525</v>
      </c>
      <c r="E33" s="7">
        <f t="shared" si="1"/>
        <v>5.8529727965332956E-3</v>
      </c>
      <c r="G33" s="33"/>
      <c r="H33" s="44"/>
      <c r="I33" s="1"/>
    </row>
    <row r="34" spans="1:9" x14ac:dyDescent="0.25">
      <c r="A34" s="35">
        <v>43885</v>
      </c>
      <c r="B34">
        <v>12380.969727</v>
      </c>
      <c r="C34" s="7">
        <f t="shared" si="0"/>
        <v>-0.11411245131558323</v>
      </c>
      <c r="D34">
        <v>102.64063299999999</v>
      </c>
      <c r="E34" s="7">
        <f t="shared" si="1"/>
        <v>-9.1921115999416991E-2</v>
      </c>
      <c r="G34" s="33" t="s">
        <v>77</v>
      </c>
      <c r="H34" s="47">
        <f ca="1">H30*H31</f>
        <v>589741.60127323819</v>
      </c>
      <c r="I34" s="1"/>
    </row>
    <row r="35" spans="1:9" x14ac:dyDescent="0.25">
      <c r="A35" s="35">
        <v>43892</v>
      </c>
      <c r="B35">
        <v>12352.030273</v>
      </c>
      <c r="C35" s="7">
        <f t="shared" si="0"/>
        <v>-2.3374141636812729E-3</v>
      </c>
      <c r="D35">
        <v>111.74369799999999</v>
      </c>
      <c r="E35" s="7">
        <f t="shared" si="1"/>
        <v>8.8688706742484635E-2</v>
      </c>
      <c r="G35" s="33"/>
      <c r="H35" s="44"/>
      <c r="I35" s="1"/>
    </row>
    <row r="36" spans="1:9" x14ac:dyDescent="0.25">
      <c r="A36" s="35">
        <v>43899</v>
      </c>
      <c r="B36">
        <v>10851.740234000001</v>
      </c>
      <c r="C36" s="7">
        <f t="shared" si="0"/>
        <v>-0.12146100728715392</v>
      </c>
      <c r="D36">
        <v>108.76018500000001</v>
      </c>
      <c r="E36" s="7">
        <f t="shared" si="1"/>
        <v>-2.669960859895637E-2</v>
      </c>
      <c r="G36" s="48" t="s">
        <v>78</v>
      </c>
      <c r="H36" s="49">
        <f>'Debt Schedule'!I6</f>
        <v>34864</v>
      </c>
      <c r="I36" s="3"/>
    </row>
    <row r="37" spans="1:9" x14ac:dyDescent="0.25">
      <c r="A37" s="35">
        <v>43906</v>
      </c>
      <c r="B37">
        <v>9133.1601559999999</v>
      </c>
      <c r="C37" s="7">
        <f t="shared" si="0"/>
        <v>-0.15836907638237152</v>
      </c>
      <c r="D37">
        <v>108.636269</v>
      </c>
      <c r="E37" s="7">
        <f t="shared" si="1"/>
        <v>-1.1393507651721313E-3</v>
      </c>
    </row>
    <row r="38" spans="1:9" x14ac:dyDescent="0.25">
      <c r="A38" s="35">
        <v>43913</v>
      </c>
      <c r="B38">
        <v>10187.209961</v>
      </c>
      <c r="C38" s="7">
        <f t="shared" si="0"/>
        <v>0.11540910123070014</v>
      </c>
      <c r="D38">
        <v>104.913895</v>
      </c>
      <c r="E38" s="7">
        <f t="shared" si="1"/>
        <v>-3.4264560392809562E-2</v>
      </c>
    </row>
    <row r="39" spans="1:9" x14ac:dyDescent="0.25">
      <c r="A39" s="35">
        <v>43920</v>
      </c>
      <c r="B39">
        <v>9880.6298829999996</v>
      </c>
      <c r="C39" s="7">
        <f t="shared" si="0"/>
        <v>-3.0094606783770073E-2</v>
      </c>
      <c r="D39">
        <v>114.392326</v>
      </c>
      <c r="E39" s="7">
        <f t="shared" si="1"/>
        <v>9.0344858514689541E-2</v>
      </c>
    </row>
    <row r="40" spans="1:9" x14ac:dyDescent="0.25">
      <c r="A40" s="35">
        <v>43927</v>
      </c>
      <c r="B40">
        <v>11136.610352</v>
      </c>
      <c r="C40" s="7">
        <f t="shared" si="0"/>
        <v>0.12711542521807861</v>
      </c>
      <c r="D40">
        <v>116.613541</v>
      </c>
      <c r="E40" s="7">
        <f t="shared" si="1"/>
        <v>1.9417517570190945E-2</v>
      </c>
    </row>
    <row r="41" spans="1:9" x14ac:dyDescent="0.25">
      <c r="A41" s="35">
        <v>43934</v>
      </c>
      <c r="B41">
        <v>11208.290039</v>
      </c>
      <c r="C41" s="7">
        <f t="shared" si="0"/>
        <v>6.4364007300594661E-3</v>
      </c>
      <c r="D41">
        <v>126.49408</v>
      </c>
      <c r="E41" s="7">
        <f t="shared" si="1"/>
        <v>8.4728916687299538E-2</v>
      </c>
    </row>
    <row r="42" spans="1:9" x14ac:dyDescent="0.25">
      <c r="A42" s="35">
        <v>43941</v>
      </c>
      <c r="B42">
        <v>11017.900390999999</v>
      </c>
      <c r="C42" s="7">
        <f t="shared" si="0"/>
        <v>-1.6986502609900977E-2</v>
      </c>
      <c r="D42">
        <v>123.928223</v>
      </c>
      <c r="E42" s="7">
        <f t="shared" si="1"/>
        <v>-2.0284403823483288E-2</v>
      </c>
    </row>
    <row r="43" spans="1:9" x14ac:dyDescent="0.25">
      <c r="A43" s="35">
        <v>43948</v>
      </c>
      <c r="B43">
        <v>11058.570313</v>
      </c>
      <c r="C43" s="7">
        <f t="shared" si="0"/>
        <v>3.6912588203485974E-3</v>
      </c>
      <c r="D43">
        <v>117.685829</v>
      </c>
      <c r="E43" s="7">
        <f t="shared" si="1"/>
        <v>-5.0371044213229799E-2</v>
      </c>
    </row>
    <row r="44" spans="1:9" x14ac:dyDescent="0.25">
      <c r="A44" s="35">
        <v>43955</v>
      </c>
      <c r="B44">
        <v>11354.339844</v>
      </c>
      <c r="C44" s="7">
        <f t="shared" si="0"/>
        <v>2.6745729567980936E-2</v>
      </c>
      <c r="D44">
        <v>117.70500199999999</v>
      </c>
      <c r="E44" s="7">
        <f t="shared" si="1"/>
        <v>1.6291681133506764E-4</v>
      </c>
    </row>
    <row r="45" spans="1:9" x14ac:dyDescent="0.25">
      <c r="A45" s="35">
        <v>43962</v>
      </c>
      <c r="B45">
        <v>10947.320313</v>
      </c>
      <c r="C45" s="7">
        <f t="shared" si="0"/>
        <v>-3.5847044970657826E-2</v>
      </c>
      <c r="D45">
        <v>121.107643</v>
      </c>
      <c r="E45" s="7">
        <f t="shared" si="1"/>
        <v>2.8908210714783333E-2</v>
      </c>
    </row>
    <row r="46" spans="1:9" x14ac:dyDescent="0.25">
      <c r="A46" s="35">
        <v>43969</v>
      </c>
      <c r="B46">
        <v>11331.969727</v>
      </c>
      <c r="C46" s="7">
        <f t="shared" si="0"/>
        <v>3.513639895447529E-2</v>
      </c>
      <c r="D46">
        <v>119.559425</v>
      </c>
      <c r="E46" s="7">
        <f t="shared" si="1"/>
        <v>-1.278381745072843E-2</v>
      </c>
    </row>
    <row r="47" spans="1:9" x14ac:dyDescent="0.25">
      <c r="A47" s="35">
        <v>43976</v>
      </c>
      <c r="B47">
        <v>11802.950194999999</v>
      </c>
      <c r="C47" s="7">
        <f t="shared" si="0"/>
        <v>4.1562100795047296E-2</v>
      </c>
      <c r="D47">
        <v>119.299774</v>
      </c>
      <c r="E47" s="7">
        <f t="shared" si="1"/>
        <v>-2.1717317559866167E-3</v>
      </c>
    </row>
    <row r="48" spans="1:9" x14ac:dyDescent="0.25">
      <c r="A48" s="35">
        <v>43983</v>
      </c>
      <c r="B48">
        <v>12641.440430000001</v>
      </c>
      <c r="C48" s="7">
        <f t="shared" si="0"/>
        <v>7.1040733134263734E-2</v>
      </c>
      <c r="D48">
        <v>116.895706</v>
      </c>
      <c r="E48" s="7">
        <f t="shared" si="1"/>
        <v>-2.0151488300388487E-2</v>
      </c>
    </row>
    <row r="49" spans="1:5" x14ac:dyDescent="0.25">
      <c r="A49" s="35">
        <v>43990</v>
      </c>
      <c r="B49">
        <v>11867.169921999999</v>
      </c>
      <c r="C49" s="7">
        <f t="shared" si="0"/>
        <v>-6.1248598392517284E-2</v>
      </c>
      <c r="D49">
        <v>113.222275</v>
      </c>
      <c r="E49" s="7">
        <f t="shared" si="1"/>
        <v>-3.1424858326275951E-2</v>
      </c>
    </row>
    <row r="50" spans="1:5" x14ac:dyDescent="0.25">
      <c r="A50" s="35">
        <v>43997</v>
      </c>
      <c r="B50">
        <v>11980.120117</v>
      </c>
      <c r="C50" s="7">
        <f t="shared" si="0"/>
        <v>9.5178712146530842E-3</v>
      </c>
      <c r="D50">
        <v>115.251328</v>
      </c>
      <c r="E50" s="7">
        <f t="shared" si="1"/>
        <v>1.7920970056466423E-2</v>
      </c>
    </row>
    <row r="51" spans="1:5" x14ac:dyDescent="0.25">
      <c r="A51" s="35">
        <v>44004</v>
      </c>
      <c r="B51">
        <v>11604.429688</v>
      </c>
      <c r="C51" s="7">
        <f t="shared" si="0"/>
        <v>-3.1359487662138585E-2</v>
      </c>
      <c r="D51">
        <v>113.780029</v>
      </c>
      <c r="E51" s="7">
        <f t="shared" si="1"/>
        <v>-1.2766004743997361E-2</v>
      </c>
    </row>
    <row r="52" spans="1:5" x14ac:dyDescent="0.25">
      <c r="A52" s="35">
        <v>44011</v>
      </c>
      <c r="B52">
        <v>11991.519531</v>
      </c>
      <c r="C52" s="7">
        <f t="shared" si="0"/>
        <v>3.3357075996615748E-2</v>
      </c>
      <c r="D52">
        <v>114.63588</v>
      </c>
      <c r="E52" s="7">
        <f t="shared" si="1"/>
        <v>7.5219790988101387E-3</v>
      </c>
    </row>
    <row r="53" spans="1:5" x14ac:dyDescent="0.25">
      <c r="A53" s="35">
        <v>44018</v>
      </c>
      <c r="B53">
        <v>12075.580078000001</v>
      </c>
      <c r="C53" s="7">
        <f t="shared" si="0"/>
        <v>7.0099995903514234E-3</v>
      </c>
      <c r="D53">
        <v>125.665764</v>
      </c>
      <c r="E53" s="7">
        <f t="shared" si="1"/>
        <v>9.62166818975001E-2</v>
      </c>
    </row>
    <row r="54" spans="1:5" x14ac:dyDescent="0.25">
      <c r="A54" s="35">
        <v>44025</v>
      </c>
      <c r="B54">
        <v>12402.740234000001</v>
      </c>
      <c r="C54" s="7">
        <f t="shared" si="0"/>
        <v>2.7092707256029858E-2</v>
      </c>
      <c r="D54">
        <v>126.685089</v>
      </c>
      <c r="E54" s="7">
        <f t="shared" si="1"/>
        <v>8.1113977869105014E-3</v>
      </c>
    </row>
    <row r="55" spans="1:5" x14ac:dyDescent="0.25">
      <c r="A55" s="35">
        <v>44032</v>
      </c>
      <c r="B55">
        <v>12461.780273</v>
      </c>
      <c r="C55" s="7">
        <f t="shared" si="0"/>
        <v>4.7602415180922897E-3</v>
      </c>
      <c r="D55">
        <v>126.204277</v>
      </c>
      <c r="E55" s="7">
        <f t="shared" si="1"/>
        <v>-3.795332219405867E-3</v>
      </c>
    </row>
    <row r="56" spans="1:5" x14ac:dyDescent="0.25">
      <c r="A56" s="35">
        <v>44039</v>
      </c>
      <c r="B56">
        <v>12465.049805000001</v>
      </c>
      <c r="C56" s="7">
        <f t="shared" si="0"/>
        <v>2.6236476076246795E-4</v>
      </c>
      <c r="D56">
        <v>124.43487500000001</v>
      </c>
      <c r="E56" s="7">
        <f t="shared" si="1"/>
        <v>-1.4020142914807909E-2</v>
      </c>
    </row>
    <row r="57" spans="1:5" x14ac:dyDescent="0.25">
      <c r="A57" s="35">
        <v>44046</v>
      </c>
      <c r="B57">
        <v>12765.839844</v>
      </c>
      <c r="C57" s="7">
        <f t="shared" si="0"/>
        <v>2.4130672857748614E-2</v>
      </c>
      <c r="D57">
        <v>124.983017</v>
      </c>
      <c r="E57" s="7">
        <f t="shared" si="1"/>
        <v>4.4050512366409222E-3</v>
      </c>
    </row>
    <row r="58" spans="1:5" x14ac:dyDescent="0.25">
      <c r="A58" s="35">
        <v>44053</v>
      </c>
      <c r="B58">
        <v>12902.5</v>
      </c>
      <c r="C58" s="7">
        <f t="shared" si="0"/>
        <v>1.0705144171476499E-2</v>
      </c>
      <c r="D58">
        <v>127.51211499999999</v>
      </c>
      <c r="E58" s="7">
        <f t="shared" si="1"/>
        <v>2.0235533280493545E-2</v>
      </c>
    </row>
    <row r="59" spans="1:5" x14ac:dyDescent="0.25">
      <c r="A59" s="35">
        <v>44060</v>
      </c>
      <c r="B59">
        <v>12809.070313</v>
      </c>
      <c r="C59" s="7">
        <f t="shared" si="0"/>
        <v>-7.2412080604533635E-3</v>
      </c>
      <c r="D59">
        <v>127.099701</v>
      </c>
      <c r="E59" s="7">
        <f t="shared" si="1"/>
        <v>-3.234312284758234E-3</v>
      </c>
    </row>
    <row r="60" spans="1:5" x14ac:dyDescent="0.25">
      <c r="A60" s="35">
        <v>44067</v>
      </c>
      <c r="B60">
        <v>13170.959961</v>
      </c>
      <c r="C60" s="7">
        <f t="shared" si="0"/>
        <v>2.8252608437375537E-2</v>
      </c>
      <c r="D60">
        <v>135.47129799999999</v>
      </c>
      <c r="E60" s="7">
        <f t="shared" si="1"/>
        <v>6.586637839533549E-2</v>
      </c>
    </row>
    <row r="61" spans="1:5" x14ac:dyDescent="0.25">
      <c r="A61" s="35">
        <v>44074</v>
      </c>
      <c r="B61">
        <v>12966.139648</v>
      </c>
      <c r="C61" s="7">
        <f t="shared" si="0"/>
        <v>-1.5550902410035872E-2</v>
      </c>
      <c r="D61">
        <v>137.91423</v>
      </c>
      <c r="E61" s="7">
        <f t="shared" si="1"/>
        <v>1.8032838217878489E-2</v>
      </c>
    </row>
    <row r="62" spans="1:5" x14ac:dyDescent="0.25">
      <c r="A62" s="35">
        <v>44081</v>
      </c>
      <c r="B62">
        <v>12773.040039</v>
      </c>
      <c r="C62" s="7">
        <f t="shared" si="0"/>
        <v>-1.489260599084985E-2</v>
      </c>
      <c r="D62">
        <v>131.99522400000001</v>
      </c>
      <c r="E62" s="7">
        <f t="shared" si="1"/>
        <v>-4.2918022309953008E-2</v>
      </c>
    </row>
    <row r="63" spans="1:5" x14ac:dyDescent="0.25">
      <c r="A63" s="35">
        <v>44088</v>
      </c>
      <c r="B63">
        <v>12833.570313</v>
      </c>
      <c r="C63" s="7">
        <f t="shared" si="0"/>
        <v>4.7389089688267827E-3</v>
      </c>
      <c r="D63">
        <v>130.63374300000001</v>
      </c>
      <c r="E63" s="7">
        <f t="shared" si="1"/>
        <v>-1.0314623201821305E-2</v>
      </c>
    </row>
    <row r="64" spans="1:5" x14ac:dyDescent="0.25">
      <c r="A64" s="35">
        <v>44095</v>
      </c>
      <c r="B64">
        <v>12485.379883</v>
      </c>
      <c r="C64" s="7">
        <f t="shared" si="0"/>
        <v>-2.7131220814467727E-2</v>
      </c>
      <c r="D64">
        <v>132.545593</v>
      </c>
      <c r="E64" s="7">
        <f t="shared" si="1"/>
        <v>1.4635192685246601E-2</v>
      </c>
    </row>
    <row r="65" spans="1:5" x14ac:dyDescent="0.25">
      <c r="A65" s="35">
        <v>44102</v>
      </c>
      <c r="B65">
        <v>12749.790039</v>
      </c>
      <c r="C65" s="7">
        <f t="shared" si="0"/>
        <v>2.117758197810371E-2</v>
      </c>
      <c r="D65">
        <v>135.664413</v>
      </c>
      <c r="E65" s="7">
        <f t="shared" si="1"/>
        <v>2.3530167464715257E-2</v>
      </c>
    </row>
    <row r="66" spans="1:5" x14ac:dyDescent="0.25">
      <c r="A66" s="35">
        <v>44109</v>
      </c>
      <c r="B66">
        <v>13252.620117</v>
      </c>
      <c r="C66" s="7">
        <f t="shared" si="0"/>
        <v>3.9438302627879063E-2</v>
      </c>
      <c r="D66">
        <v>137.86596700000001</v>
      </c>
      <c r="E66" s="7">
        <f t="shared" si="1"/>
        <v>1.6227940336866586E-2</v>
      </c>
    </row>
    <row r="67" spans="1:5" x14ac:dyDescent="0.25">
      <c r="A67" s="35">
        <v>44116</v>
      </c>
      <c r="B67">
        <v>13169.320313</v>
      </c>
      <c r="C67" s="7">
        <f t="shared" si="0"/>
        <v>-6.285534729328468E-3</v>
      </c>
      <c r="D67">
        <v>139.72950700000001</v>
      </c>
      <c r="E67" s="7">
        <f t="shared" si="1"/>
        <v>1.3517041519028439E-2</v>
      </c>
    </row>
    <row r="68" spans="1:5" x14ac:dyDescent="0.25">
      <c r="A68" s="35">
        <v>44123</v>
      </c>
      <c r="B68">
        <v>13199.860352</v>
      </c>
      <c r="C68" s="7">
        <f t="shared" si="0"/>
        <v>2.3190292493571185E-3</v>
      </c>
      <c r="D68">
        <v>138.89913899999999</v>
      </c>
      <c r="E68" s="7">
        <f t="shared" si="1"/>
        <v>-5.9426818130834391E-3</v>
      </c>
    </row>
    <row r="69" spans="1:5" x14ac:dyDescent="0.25">
      <c r="A69" s="35">
        <v>44130</v>
      </c>
      <c r="B69">
        <v>12429.330078000001</v>
      </c>
      <c r="C69" s="7">
        <f t="shared" si="0"/>
        <v>-5.8374123168905334E-2</v>
      </c>
      <c r="D69">
        <v>133.97465500000001</v>
      </c>
      <c r="E69" s="7">
        <f t="shared" si="1"/>
        <v>-3.5453668290917006E-2</v>
      </c>
    </row>
    <row r="70" spans="1:5" x14ac:dyDescent="0.25">
      <c r="A70" s="35">
        <v>44137</v>
      </c>
      <c r="B70">
        <v>13218.669921999999</v>
      </c>
      <c r="C70" s="7">
        <f t="shared" si="0"/>
        <v>6.3506225922596915E-2</v>
      </c>
      <c r="D70">
        <v>140.753052</v>
      </c>
      <c r="E70" s="7">
        <f t="shared" si="1"/>
        <v>5.0594621796189676E-2</v>
      </c>
    </row>
    <row r="71" spans="1:5" x14ac:dyDescent="0.25">
      <c r="A71" s="35">
        <v>44144</v>
      </c>
      <c r="B71">
        <v>13761.320313</v>
      </c>
      <c r="C71" s="7">
        <f t="shared" si="0"/>
        <v>4.1051814910429085E-2</v>
      </c>
      <c r="D71">
        <v>145.35887099999999</v>
      </c>
      <c r="E71" s="7">
        <f t="shared" si="1"/>
        <v>3.2722693643616241E-2</v>
      </c>
    </row>
    <row r="72" spans="1:5" x14ac:dyDescent="0.25">
      <c r="A72" s="35">
        <v>44151</v>
      </c>
      <c r="B72">
        <v>13827</v>
      </c>
      <c r="C72" s="7">
        <f t="shared" si="0"/>
        <v>4.7727751048678435E-3</v>
      </c>
      <c r="D72">
        <v>145.06921399999999</v>
      </c>
      <c r="E72" s="7">
        <f t="shared" si="1"/>
        <v>-1.992702598797691E-3</v>
      </c>
    </row>
    <row r="73" spans="1:5" x14ac:dyDescent="0.25">
      <c r="A73" s="35">
        <v>44158</v>
      </c>
      <c r="B73">
        <v>14198.5</v>
      </c>
      <c r="C73" s="7">
        <f t="shared" si="0"/>
        <v>2.6867722571779939E-2</v>
      </c>
      <c r="D73">
        <v>146.38240099999999</v>
      </c>
      <c r="E73" s="7">
        <f t="shared" si="1"/>
        <v>9.052141138643055E-3</v>
      </c>
    </row>
    <row r="74" spans="1:5" x14ac:dyDescent="0.25">
      <c r="A74" s="35">
        <v>44165</v>
      </c>
      <c r="B74">
        <v>14417.330078000001</v>
      </c>
      <c r="C74" s="7">
        <f t="shared" si="0"/>
        <v>1.5412196922210075E-2</v>
      </c>
      <c r="D74">
        <v>143.78500399999999</v>
      </c>
      <c r="E74" s="7">
        <f t="shared" si="1"/>
        <v>-1.7743915814032896E-2</v>
      </c>
    </row>
    <row r="75" spans="1:5" x14ac:dyDescent="0.25">
      <c r="A75" s="35">
        <v>44172</v>
      </c>
      <c r="B75">
        <v>14355.290039</v>
      </c>
      <c r="C75" s="7">
        <f t="shared" si="0"/>
        <v>-4.3031572880939395E-3</v>
      </c>
      <c r="D75">
        <v>141.94073499999999</v>
      </c>
      <c r="E75" s="7">
        <f t="shared" si="1"/>
        <v>-1.2826574042450245E-2</v>
      </c>
    </row>
    <row r="76" spans="1:5" x14ac:dyDescent="0.25">
      <c r="A76" s="35">
        <v>44179</v>
      </c>
      <c r="B76">
        <v>14467.820313</v>
      </c>
      <c r="C76" s="7">
        <f t="shared" si="0"/>
        <v>7.8389411634514072E-3</v>
      </c>
      <c r="D76">
        <v>141.44198600000001</v>
      </c>
      <c r="E76" s="7">
        <f t="shared" si="1"/>
        <v>-3.5137834110833266E-3</v>
      </c>
    </row>
    <row r="77" spans="1:5" x14ac:dyDescent="0.25">
      <c r="A77" s="35">
        <v>44186</v>
      </c>
      <c r="B77">
        <v>14382.5</v>
      </c>
      <c r="C77" s="7">
        <f t="shared" si="0"/>
        <v>-5.8972472116850527E-3</v>
      </c>
      <c r="D77">
        <v>139.06764200000001</v>
      </c>
      <c r="E77" s="7">
        <f t="shared" si="1"/>
        <v>-1.6786698682242807E-2</v>
      </c>
    </row>
    <row r="78" spans="1:5" x14ac:dyDescent="0.25">
      <c r="A78" s="35">
        <v>44193</v>
      </c>
      <c r="B78">
        <v>14524.799805000001</v>
      </c>
      <c r="C78" s="7">
        <f t="shared" si="0"/>
        <v>9.8939548061880433E-3</v>
      </c>
      <c r="D78">
        <v>139.69757100000001</v>
      </c>
      <c r="E78" s="7">
        <f t="shared" si="1"/>
        <v>4.5296590273673498E-3</v>
      </c>
    </row>
    <row r="79" spans="1:5" x14ac:dyDescent="0.25">
      <c r="A79" s="35">
        <v>44200</v>
      </c>
      <c r="B79">
        <v>14966.830078000001</v>
      </c>
      <c r="C79" s="7">
        <f t="shared" si="0"/>
        <v>3.0432796247410909E-2</v>
      </c>
      <c r="D79">
        <v>142.100967</v>
      </c>
      <c r="E79" s="7">
        <f t="shared" si="1"/>
        <v>1.7204279092297048E-2</v>
      </c>
    </row>
    <row r="80" spans="1:5" x14ac:dyDescent="0.25">
      <c r="A80" s="35">
        <v>44207</v>
      </c>
      <c r="B80">
        <v>14894.169921999999</v>
      </c>
      <c r="C80" s="7">
        <f t="shared" si="0"/>
        <v>-4.8547458360475026E-3</v>
      </c>
      <c r="D80">
        <v>140.17243999999999</v>
      </c>
      <c r="E80" s="7">
        <f t="shared" si="1"/>
        <v>-1.3571526223322583E-2</v>
      </c>
    </row>
    <row r="81" spans="1:5" x14ac:dyDescent="0.25">
      <c r="A81" s="35">
        <v>44214</v>
      </c>
      <c r="B81">
        <v>14951.839844</v>
      </c>
      <c r="C81" s="7">
        <f t="shared" si="0"/>
        <v>3.8719795934929468E-3</v>
      </c>
      <c r="D81">
        <v>141.810272</v>
      </c>
      <c r="E81" s="7">
        <f t="shared" si="1"/>
        <v>1.168440814756444E-2</v>
      </c>
    </row>
    <row r="82" spans="1:5" x14ac:dyDescent="0.25">
      <c r="A82" s="35">
        <v>44221</v>
      </c>
      <c r="B82">
        <v>14397.200194999999</v>
      </c>
      <c r="C82" s="7">
        <f t="shared" si="0"/>
        <v>-3.7095076912729952E-2</v>
      </c>
      <c r="D82">
        <v>136.150665</v>
      </c>
      <c r="E82" s="7">
        <f t="shared" si="1"/>
        <v>-3.9909711194969E-2</v>
      </c>
    </row>
    <row r="83" spans="1:5" x14ac:dyDescent="0.25">
      <c r="A83" s="35">
        <v>44228</v>
      </c>
      <c r="B83">
        <v>15069.599609000001</v>
      </c>
      <c r="C83" s="7">
        <f t="shared" si="0"/>
        <v>4.6703484350625324E-2</v>
      </c>
      <c r="D83">
        <v>139.90110799999999</v>
      </c>
      <c r="E83" s="7">
        <f t="shared" si="1"/>
        <v>2.7546270155933472E-2</v>
      </c>
    </row>
    <row r="84" spans="1:5" x14ac:dyDescent="0.25">
      <c r="A84" s="35">
        <v>44235</v>
      </c>
      <c r="B84">
        <v>15369.599609000001</v>
      </c>
      <c r="C84" s="7">
        <f t="shared" si="0"/>
        <v>1.99076291198097E-2</v>
      </c>
      <c r="D84">
        <v>140.00770600000001</v>
      </c>
      <c r="E84" s="7">
        <f t="shared" si="1"/>
        <v>7.6195250719535146E-4</v>
      </c>
    </row>
    <row r="85" spans="1:5" x14ac:dyDescent="0.25">
      <c r="A85" s="35">
        <v>44242</v>
      </c>
      <c r="B85">
        <v>15362.690430000001</v>
      </c>
      <c r="C85" s="7">
        <f t="shared" si="0"/>
        <v>-4.495353929685475E-4</v>
      </c>
      <c r="D85">
        <v>134.06706199999999</v>
      </c>
      <c r="E85" s="7">
        <f t="shared" si="1"/>
        <v>-4.2430835914131881E-2</v>
      </c>
    </row>
    <row r="86" spans="1:5" x14ac:dyDescent="0.25">
      <c r="A86" s="35">
        <v>44249</v>
      </c>
      <c r="B86">
        <v>15010.469727</v>
      </c>
      <c r="C86" s="7">
        <f t="shared" si="0"/>
        <v>-2.2927019496024603E-2</v>
      </c>
      <c r="D86">
        <v>125.90712000000001</v>
      </c>
      <c r="E86" s="7">
        <f t="shared" si="1"/>
        <v>-6.086462907645418E-2</v>
      </c>
    </row>
    <row r="87" spans="1:5" x14ac:dyDescent="0.25">
      <c r="A87" s="35">
        <v>44256</v>
      </c>
      <c r="B87">
        <v>15251.830078000001</v>
      </c>
      <c r="C87" s="7">
        <f t="shared" si="0"/>
        <v>1.6079466891422811E-2</v>
      </c>
      <c r="D87">
        <v>125.131828</v>
      </c>
      <c r="E87" s="7">
        <f t="shared" si="1"/>
        <v>-6.157650178957419E-3</v>
      </c>
    </row>
    <row r="88" spans="1:5" x14ac:dyDescent="0.25">
      <c r="A88" s="35">
        <v>44263</v>
      </c>
      <c r="B88">
        <v>15715.209961</v>
      </c>
      <c r="C88" s="7">
        <f t="shared" si="0"/>
        <v>3.0381920112551031E-2</v>
      </c>
      <c r="D88">
        <v>129.97737100000001</v>
      </c>
      <c r="E88" s="7">
        <f t="shared" si="1"/>
        <v>3.8723505261986535E-2</v>
      </c>
    </row>
    <row r="89" spans="1:5" x14ac:dyDescent="0.25">
      <c r="A89" s="35">
        <v>44270</v>
      </c>
      <c r="B89">
        <v>15562.259765999999</v>
      </c>
      <c r="C89" s="7">
        <f t="shared" si="0"/>
        <v>-9.7326217963090711E-3</v>
      </c>
      <c r="D89">
        <v>127.670914</v>
      </c>
      <c r="E89" s="7">
        <f t="shared" si="1"/>
        <v>-1.774506579302948E-2</v>
      </c>
    </row>
    <row r="90" spans="1:5" x14ac:dyDescent="0.25">
      <c r="A90" s="35">
        <v>44277</v>
      </c>
      <c r="B90">
        <v>15682.540039</v>
      </c>
      <c r="C90" s="7">
        <f t="shared" si="0"/>
        <v>7.7289721935360767E-3</v>
      </c>
      <c r="D90">
        <v>131.50297499999999</v>
      </c>
      <c r="E90" s="7">
        <f t="shared" si="1"/>
        <v>3.0015145031389023E-2</v>
      </c>
    </row>
    <row r="91" spans="1:5" x14ac:dyDescent="0.25">
      <c r="A91" s="35">
        <v>44284</v>
      </c>
      <c r="B91">
        <v>15751.700194999999</v>
      </c>
      <c r="C91" s="7">
        <f t="shared" si="0"/>
        <v>4.4100098471300253E-3</v>
      </c>
      <c r="D91">
        <v>131.97979699999999</v>
      </c>
      <c r="E91" s="7">
        <f t="shared" si="1"/>
        <v>3.6259407819481115E-3</v>
      </c>
    </row>
    <row r="92" spans="1:5" x14ac:dyDescent="0.25">
      <c r="A92" s="35">
        <v>44291</v>
      </c>
      <c r="B92">
        <v>15956.370117</v>
      </c>
      <c r="C92" s="7">
        <f t="shared" si="0"/>
        <v>1.299351304724361E-2</v>
      </c>
      <c r="D92">
        <v>136.02815200000001</v>
      </c>
      <c r="E92" s="7">
        <f t="shared" si="1"/>
        <v>3.0674050817035337E-2</v>
      </c>
    </row>
    <row r="93" spans="1:5" x14ac:dyDescent="0.25">
      <c r="A93" s="35">
        <v>44298</v>
      </c>
      <c r="B93">
        <v>16186.290039</v>
      </c>
      <c r="C93" s="7">
        <f t="shared" si="0"/>
        <v>1.4409287345061195E-2</v>
      </c>
      <c r="D93">
        <v>136.83586099999999</v>
      </c>
      <c r="E93" s="7">
        <f t="shared" si="1"/>
        <v>5.9378076385245837E-3</v>
      </c>
    </row>
    <row r="94" spans="1:5" x14ac:dyDescent="0.25">
      <c r="A94" s="35">
        <v>44305</v>
      </c>
      <c r="B94">
        <v>16206</v>
      </c>
      <c r="C94" s="7">
        <f t="shared" si="0"/>
        <v>1.2176947869160237E-3</v>
      </c>
      <c r="D94">
        <v>136.14494300000001</v>
      </c>
      <c r="E94" s="7">
        <f t="shared" si="1"/>
        <v>-5.0492465567925082E-3</v>
      </c>
    </row>
    <row r="95" spans="1:5" x14ac:dyDescent="0.25">
      <c r="A95" s="35">
        <v>44312</v>
      </c>
      <c r="B95">
        <v>16219.330078000001</v>
      </c>
      <c r="C95" s="7">
        <f t="shared" si="0"/>
        <v>8.2253967666301442E-4</v>
      </c>
      <c r="D95">
        <v>136.154663</v>
      </c>
      <c r="E95" s="7">
        <f t="shared" si="1"/>
        <v>7.1394499022936486E-5</v>
      </c>
    </row>
    <row r="96" spans="1:5" x14ac:dyDescent="0.25">
      <c r="A96" s="35">
        <v>44319</v>
      </c>
      <c r="B96">
        <v>16590.429688</v>
      </c>
      <c r="C96" s="7">
        <f t="shared" ref="C96:C159" si="2">B96/B95-1</f>
        <v>2.2880082482775288E-2</v>
      </c>
      <c r="D96">
        <v>136.43689000000001</v>
      </c>
      <c r="E96" s="7">
        <f t="shared" ref="E96:E159" si="3">D96/D95-1</f>
        <v>2.0728412364401372E-3</v>
      </c>
    </row>
    <row r="97" spans="1:5" x14ac:dyDescent="0.25">
      <c r="A97" s="35">
        <v>44326</v>
      </c>
      <c r="B97">
        <v>16415.359375</v>
      </c>
      <c r="C97" s="7">
        <f t="shared" si="2"/>
        <v>-1.0552488168924845E-2</v>
      </c>
      <c r="D97">
        <v>136.30834999999999</v>
      </c>
      <c r="E97" s="7">
        <f t="shared" si="3"/>
        <v>-9.4212056577969161E-4</v>
      </c>
    </row>
    <row r="98" spans="1:5" x14ac:dyDescent="0.25">
      <c r="A98" s="35">
        <v>44333</v>
      </c>
      <c r="B98">
        <v>16375</v>
      </c>
      <c r="C98" s="7">
        <f t="shared" si="2"/>
        <v>-2.4586348722566154E-3</v>
      </c>
      <c r="D98">
        <v>138.48699999999999</v>
      </c>
      <c r="E98" s="7">
        <f t="shared" si="3"/>
        <v>1.5983246807697471E-2</v>
      </c>
    </row>
    <row r="99" spans="1:5" x14ac:dyDescent="0.25">
      <c r="A99" s="35">
        <v>44340</v>
      </c>
      <c r="B99">
        <v>16555.660156000002</v>
      </c>
      <c r="C99" s="7">
        <f t="shared" si="2"/>
        <v>1.1032681282442836E-2</v>
      </c>
      <c r="D99">
        <v>138.760559</v>
      </c>
      <c r="E99" s="7">
        <f t="shared" si="3"/>
        <v>1.9753406456923805E-3</v>
      </c>
    </row>
    <row r="100" spans="1:5" x14ac:dyDescent="0.25">
      <c r="A100" s="35">
        <v>44347</v>
      </c>
      <c r="B100">
        <v>16708.740234000001</v>
      </c>
      <c r="C100" s="7">
        <f t="shared" si="2"/>
        <v>9.2463892443770401E-3</v>
      </c>
      <c r="D100">
        <v>138.58471700000001</v>
      </c>
      <c r="E100" s="7">
        <f t="shared" si="3"/>
        <v>-1.2672332921345175E-3</v>
      </c>
    </row>
    <row r="101" spans="1:5" x14ac:dyDescent="0.25">
      <c r="A101" s="35">
        <v>44354</v>
      </c>
      <c r="B101">
        <v>16694.929688</v>
      </c>
      <c r="C101" s="7">
        <f t="shared" si="2"/>
        <v>-8.2654621512989745E-4</v>
      </c>
      <c r="D101">
        <v>137.51000999999999</v>
      </c>
      <c r="E101" s="7">
        <f t="shared" si="3"/>
        <v>-7.754873865348455E-3</v>
      </c>
    </row>
    <row r="102" spans="1:5" x14ac:dyDescent="0.25">
      <c r="A102" s="35">
        <v>44361</v>
      </c>
      <c r="B102">
        <v>16143.950194999999</v>
      </c>
      <c r="C102" s="7">
        <f t="shared" si="2"/>
        <v>-3.3002804042716938E-2</v>
      </c>
      <c r="D102">
        <v>132.05847199999999</v>
      </c>
      <c r="E102" s="7">
        <f t="shared" si="3"/>
        <v>-3.9644662959445687E-2</v>
      </c>
    </row>
    <row r="103" spans="1:5" x14ac:dyDescent="0.25">
      <c r="A103" s="35">
        <v>44368</v>
      </c>
      <c r="B103">
        <v>16658.789063</v>
      </c>
      <c r="C103" s="7">
        <f t="shared" si="2"/>
        <v>3.1890513894142991E-2</v>
      </c>
      <c r="D103">
        <v>135.34112500000001</v>
      </c>
      <c r="E103" s="7">
        <f t="shared" si="3"/>
        <v>2.4857572182116483E-2</v>
      </c>
    </row>
    <row r="104" spans="1:5" x14ac:dyDescent="0.25">
      <c r="A104" s="35">
        <v>44375</v>
      </c>
      <c r="B104">
        <v>16674.849609000001</v>
      </c>
      <c r="C104" s="7">
        <f t="shared" si="2"/>
        <v>9.6408844239892488E-4</v>
      </c>
      <c r="D104">
        <v>136.88473500000001</v>
      </c>
      <c r="E104" s="7">
        <f t="shared" si="3"/>
        <v>1.1405328572523743E-2</v>
      </c>
    </row>
    <row r="105" spans="1:5" x14ac:dyDescent="0.25">
      <c r="A105" s="35">
        <v>44382</v>
      </c>
      <c r="B105">
        <v>16633.300781000002</v>
      </c>
      <c r="C105" s="7">
        <f t="shared" si="2"/>
        <v>-2.4917063106568715E-3</v>
      </c>
      <c r="D105">
        <v>137.07038900000001</v>
      </c>
      <c r="E105" s="7">
        <f t="shared" si="3"/>
        <v>1.3562797926298664E-3</v>
      </c>
    </row>
    <row r="106" spans="1:5" x14ac:dyDescent="0.25">
      <c r="A106" s="35">
        <v>44389</v>
      </c>
      <c r="B106">
        <v>16364.660156</v>
      </c>
      <c r="C106" s="7">
        <f t="shared" si="2"/>
        <v>-1.6150770585887986E-2</v>
      </c>
      <c r="D106">
        <v>138.30136100000001</v>
      </c>
      <c r="E106" s="7">
        <f t="shared" si="3"/>
        <v>8.9805829616491639E-3</v>
      </c>
    </row>
    <row r="107" spans="1:5" x14ac:dyDescent="0.25">
      <c r="A107" s="35">
        <v>44396</v>
      </c>
      <c r="B107">
        <v>16552.380859000001</v>
      </c>
      <c r="C107" s="7">
        <f t="shared" si="2"/>
        <v>1.1471103048307008E-2</v>
      </c>
      <c r="D107">
        <v>139.15133700000001</v>
      </c>
      <c r="E107" s="7">
        <f t="shared" si="3"/>
        <v>6.1458252749948539E-3</v>
      </c>
    </row>
    <row r="108" spans="1:5" x14ac:dyDescent="0.25">
      <c r="A108" s="35">
        <v>44403</v>
      </c>
      <c r="B108">
        <v>16602.289063</v>
      </c>
      <c r="C108" s="7">
        <f t="shared" si="2"/>
        <v>3.0151676924992099E-3</v>
      </c>
      <c r="D108">
        <v>139.268585</v>
      </c>
      <c r="E108" s="7">
        <f t="shared" si="3"/>
        <v>8.4259341324188775E-4</v>
      </c>
    </row>
    <row r="109" spans="1:5" x14ac:dyDescent="0.25">
      <c r="A109" s="35">
        <v>44410</v>
      </c>
      <c r="B109">
        <v>16748.080077999999</v>
      </c>
      <c r="C109" s="7">
        <f t="shared" si="2"/>
        <v>8.7813803534424473E-3</v>
      </c>
      <c r="D109">
        <v>141.88690199999999</v>
      </c>
      <c r="E109" s="7">
        <f t="shared" si="3"/>
        <v>1.8800485407387324E-2</v>
      </c>
    </row>
    <row r="110" spans="1:5" x14ac:dyDescent="0.25">
      <c r="A110" s="35">
        <v>44417</v>
      </c>
      <c r="B110">
        <v>16868.109375</v>
      </c>
      <c r="C110" s="7">
        <f t="shared" si="2"/>
        <v>7.1667496477803017E-3</v>
      </c>
      <c r="D110">
        <v>146.08792099999999</v>
      </c>
      <c r="E110" s="7">
        <f t="shared" si="3"/>
        <v>2.9608222751949409E-2</v>
      </c>
    </row>
    <row r="111" spans="1:5" x14ac:dyDescent="0.25">
      <c r="A111" s="35">
        <v>44424</v>
      </c>
      <c r="B111">
        <v>16516.679688</v>
      </c>
      <c r="C111" s="7">
        <f t="shared" si="2"/>
        <v>-2.0833970137806301E-2</v>
      </c>
      <c r="D111">
        <v>148.508194</v>
      </c>
      <c r="E111" s="7">
        <f t="shared" si="3"/>
        <v>1.6567235562206406E-2</v>
      </c>
    </row>
    <row r="112" spans="1:5" x14ac:dyDescent="0.25">
      <c r="A112" s="35">
        <v>44431</v>
      </c>
      <c r="B112">
        <v>16844.75</v>
      </c>
      <c r="C112" s="7">
        <f t="shared" si="2"/>
        <v>1.9862969930836361E-2</v>
      </c>
      <c r="D112">
        <v>143.673981</v>
      </c>
      <c r="E112" s="7">
        <f t="shared" si="3"/>
        <v>-3.2551826736240574E-2</v>
      </c>
    </row>
    <row r="113" spans="1:5" x14ac:dyDescent="0.25">
      <c r="A113" s="35">
        <v>44438</v>
      </c>
      <c r="B113">
        <v>16909.720702999999</v>
      </c>
      <c r="C113" s="7">
        <f t="shared" si="2"/>
        <v>3.8570298164115613E-3</v>
      </c>
      <c r="D113">
        <v>146.35093699999999</v>
      </c>
      <c r="E113" s="7">
        <f t="shared" si="3"/>
        <v>1.863215581114841E-2</v>
      </c>
    </row>
    <row r="114" spans="1:5" x14ac:dyDescent="0.25">
      <c r="A114" s="35">
        <v>44445</v>
      </c>
      <c r="B114">
        <v>16563.480468999998</v>
      </c>
      <c r="C114" s="7">
        <f t="shared" si="2"/>
        <v>-2.0475810338994704E-2</v>
      </c>
      <c r="D114">
        <v>143.05619799999999</v>
      </c>
      <c r="E114" s="7">
        <f t="shared" si="3"/>
        <v>-2.2512592454396074E-2</v>
      </c>
    </row>
    <row r="115" spans="1:5" x14ac:dyDescent="0.25">
      <c r="A115" s="35">
        <v>44452</v>
      </c>
      <c r="B115">
        <v>16460.349609000001</v>
      </c>
      <c r="C115" s="7">
        <f t="shared" si="2"/>
        <v>-6.22640031441557E-3</v>
      </c>
      <c r="D115">
        <v>141.91873200000001</v>
      </c>
      <c r="E115" s="7">
        <f t="shared" si="3"/>
        <v>-7.9511829330176642E-3</v>
      </c>
    </row>
    <row r="116" spans="1:5" x14ac:dyDescent="0.25">
      <c r="A116" s="35">
        <v>44459</v>
      </c>
      <c r="B116">
        <v>16539.150390999999</v>
      </c>
      <c r="C116" s="7">
        <f t="shared" si="2"/>
        <v>4.7873091320558281E-3</v>
      </c>
      <c r="D116">
        <v>140.38902300000001</v>
      </c>
      <c r="E116" s="7">
        <f t="shared" si="3"/>
        <v>-1.077876738639405E-2</v>
      </c>
    </row>
    <row r="117" spans="1:5" x14ac:dyDescent="0.25">
      <c r="A117" s="35">
        <v>44466</v>
      </c>
      <c r="B117">
        <v>16323.740234000001</v>
      </c>
      <c r="C117" s="7">
        <f t="shared" si="2"/>
        <v>-1.3024257710191445E-2</v>
      </c>
      <c r="D117">
        <v>134.387924</v>
      </c>
      <c r="E117" s="7">
        <f t="shared" si="3"/>
        <v>-4.2746212430013197E-2</v>
      </c>
    </row>
    <row r="118" spans="1:5" x14ac:dyDescent="0.25">
      <c r="A118" s="35">
        <v>44473</v>
      </c>
      <c r="B118">
        <v>16517.230468999998</v>
      </c>
      <c r="C118" s="7">
        <f t="shared" si="2"/>
        <v>1.1853302749634809E-2</v>
      </c>
      <c r="D118">
        <v>136.94723500000001</v>
      </c>
      <c r="E118" s="7">
        <f t="shared" si="3"/>
        <v>1.9044203703898255E-2</v>
      </c>
    </row>
    <row r="119" spans="1:5" x14ac:dyDescent="0.25">
      <c r="A119" s="35">
        <v>44480</v>
      </c>
      <c r="B119">
        <v>16871.740234000001</v>
      </c>
      <c r="C119" s="7">
        <f t="shared" si="2"/>
        <v>2.1463027089520637E-2</v>
      </c>
      <c r="D119">
        <v>137.819931</v>
      </c>
      <c r="E119" s="7">
        <f t="shared" si="3"/>
        <v>6.3724981376951373E-3</v>
      </c>
    </row>
    <row r="120" spans="1:5" x14ac:dyDescent="0.25">
      <c r="A120" s="35">
        <v>44487</v>
      </c>
      <c r="B120">
        <v>17122.240234000001</v>
      </c>
      <c r="C120" s="7">
        <f t="shared" si="2"/>
        <v>1.4847312519380207E-2</v>
      </c>
      <c r="D120">
        <v>145.458618</v>
      </c>
      <c r="E120" s="7">
        <f t="shared" si="3"/>
        <v>5.5425125702609712E-2</v>
      </c>
    </row>
    <row r="121" spans="1:5" x14ac:dyDescent="0.25">
      <c r="A121" s="35">
        <v>44494</v>
      </c>
      <c r="B121">
        <v>17016.410156000002</v>
      </c>
      <c r="C121" s="7">
        <f t="shared" si="2"/>
        <v>-6.1808546401451725E-3</v>
      </c>
      <c r="D121">
        <v>146.517639</v>
      </c>
      <c r="E121" s="7">
        <f t="shared" si="3"/>
        <v>7.2805655282659476E-3</v>
      </c>
    </row>
    <row r="122" spans="1:5" x14ac:dyDescent="0.25">
      <c r="A122" s="35">
        <v>44501</v>
      </c>
      <c r="B122">
        <v>17242.359375</v>
      </c>
      <c r="C122" s="7">
        <f t="shared" si="2"/>
        <v>1.3278312930199876E-2</v>
      </c>
      <c r="D122">
        <v>147.31189000000001</v>
      </c>
      <c r="E122" s="7">
        <f t="shared" si="3"/>
        <v>5.4208558465782541E-3</v>
      </c>
    </row>
    <row r="123" spans="1:5" x14ac:dyDescent="0.25">
      <c r="A123" s="35">
        <v>44508</v>
      </c>
      <c r="B123">
        <v>17297.660156000002</v>
      </c>
      <c r="C123" s="7">
        <f t="shared" si="2"/>
        <v>3.2072629851447321E-3</v>
      </c>
      <c r="D123">
        <v>144.88987700000001</v>
      </c>
      <c r="E123" s="7">
        <f t="shared" si="3"/>
        <v>-1.644139519220067E-2</v>
      </c>
    </row>
    <row r="124" spans="1:5" x14ac:dyDescent="0.25">
      <c r="A124" s="35">
        <v>44515</v>
      </c>
      <c r="B124">
        <v>16973.960938</v>
      </c>
      <c r="C124" s="7">
        <f t="shared" si="2"/>
        <v>-1.8713468473810946E-2</v>
      </c>
      <c r="D124">
        <v>139.624191</v>
      </c>
      <c r="E124" s="7">
        <f t="shared" si="3"/>
        <v>-3.634267699737237E-2</v>
      </c>
    </row>
    <row r="125" spans="1:5" x14ac:dyDescent="0.25">
      <c r="A125" s="35">
        <v>44522</v>
      </c>
      <c r="B125">
        <v>16624.869140999999</v>
      </c>
      <c r="C125" s="7">
        <f t="shared" si="2"/>
        <v>-2.0566313206158093E-2</v>
      </c>
      <c r="D125">
        <v>142.085419</v>
      </c>
      <c r="E125" s="7">
        <f t="shared" si="3"/>
        <v>1.7627518429095268E-2</v>
      </c>
    </row>
    <row r="126" spans="1:5" x14ac:dyDescent="0.25">
      <c r="A126" s="35">
        <v>44529</v>
      </c>
      <c r="B126">
        <v>16347.870117</v>
      </c>
      <c r="C126" s="7">
        <f t="shared" si="2"/>
        <v>-1.6661726576654212E-2</v>
      </c>
      <c r="D126">
        <v>134.838989</v>
      </c>
      <c r="E126" s="7">
        <f t="shared" si="3"/>
        <v>-5.1000518216439916E-2</v>
      </c>
    </row>
    <row r="127" spans="1:5" x14ac:dyDescent="0.25">
      <c r="A127" s="35">
        <v>44536</v>
      </c>
      <c r="B127">
        <v>16856.630859000001</v>
      </c>
      <c r="C127" s="7">
        <f t="shared" si="2"/>
        <v>3.1120919016290882E-2</v>
      </c>
      <c r="D127">
        <v>138.29061899999999</v>
      </c>
      <c r="E127" s="7">
        <f t="shared" si="3"/>
        <v>2.5598159891276007E-2</v>
      </c>
    </row>
    <row r="128" spans="1:5" x14ac:dyDescent="0.25">
      <c r="A128" s="35">
        <v>44543</v>
      </c>
      <c r="B128">
        <v>16668.640625</v>
      </c>
      <c r="C128" s="7">
        <f t="shared" si="2"/>
        <v>-1.1152301760207872E-2</v>
      </c>
      <c r="D128">
        <v>136.60270700000001</v>
      </c>
      <c r="E128" s="7">
        <f t="shared" si="3"/>
        <v>-1.220554230073978E-2</v>
      </c>
    </row>
    <row r="129" spans="1:5" x14ac:dyDescent="0.25">
      <c r="A129" s="35">
        <v>44550</v>
      </c>
      <c r="B129">
        <v>16963.439452999999</v>
      </c>
      <c r="C129" s="7">
        <f t="shared" si="2"/>
        <v>1.7685835013915518E-2</v>
      </c>
      <c r="D129">
        <v>137.331253</v>
      </c>
      <c r="E129" s="7">
        <f t="shared" si="3"/>
        <v>5.3333203711694033E-3</v>
      </c>
    </row>
    <row r="130" spans="1:5" x14ac:dyDescent="0.25">
      <c r="A130" s="35">
        <v>44557</v>
      </c>
      <c r="B130">
        <v>17164.130859000001</v>
      </c>
      <c r="C130" s="7">
        <f t="shared" si="2"/>
        <v>1.1830820427428668E-2</v>
      </c>
      <c r="D130">
        <v>142.45079000000001</v>
      </c>
      <c r="E130" s="7">
        <f t="shared" si="3"/>
        <v>3.7278746739462187E-2</v>
      </c>
    </row>
    <row r="131" spans="1:5" x14ac:dyDescent="0.25">
      <c r="A131" s="35">
        <v>44564</v>
      </c>
      <c r="B131">
        <v>17166.279297000001</v>
      </c>
      <c r="C131" s="7">
        <f t="shared" si="2"/>
        <v>1.2517021791835781E-4</v>
      </c>
      <c r="D131">
        <v>142.64767499999999</v>
      </c>
      <c r="E131" s="7">
        <f t="shared" si="3"/>
        <v>1.3821264171296477E-3</v>
      </c>
    </row>
    <row r="132" spans="1:5" x14ac:dyDescent="0.25">
      <c r="A132" s="35">
        <v>44571</v>
      </c>
      <c r="B132">
        <v>17219.060547000001</v>
      </c>
      <c r="C132" s="7">
        <f t="shared" si="2"/>
        <v>3.0747053037418759E-3</v>
      </c>
      <c r="D132">
        <v>142.81504799999999</v>
      </c>
      <c r="E132" s="7">
        <f t="shared" si="3"/>
        <v>1.1733314265374162E-3</v>
      </c>
    </row>
    <row r="133" spans="1:5" x14ac:dyDescent="0.25">
      <c r="A133" s="35">
        <v>44578</v>
      </c>
      <c r="B133">
        <v>16397.339843999998</v>
      </c>
      <c r="C133" s="7">
        <f t="shared" si="2"/>
        <v>-4.77215757942826E-2</v>
      </c>
      <c r="D133">
        <v>138.02041600000001</v>
      </c>
      <c r="E133" s="7">
        <f t="shared" si="3"/>
        <v>-3.357231655308468E-2</v>
      </c>
    </row>
    <row r="134" spans="1:5" x14ac:dyDescent="0.25">
      <c r="A134" s="35">
        <v>44585</v>
      </c>
      <c r="B134">
        <v>16397.859375</v>
      </c>
      <c r="C134" s="7">
        <f t="shared" si="2"/>
        <v>3.1683858781050844E-5</v>
      </c>
      <c r="D134">
        <v>135.39172400000001</v>
      </c>
      <c r="E134" s="7">
        <f t="shared" si="3"/>
        <v>-1.9045675097805859E-2</v>
      </c>
    </row>
    <row r="135" spans="1:5" x14ac:dyDescent="0.25">
      <c r="A135" s="35">
        <v>44592</v>
      </c>
      <c r="B135">
        <v>16701.580077999999</v>
      </c>
      <c r="C135" s="7">
        <f t="shared" si="2"/>
        <v>1.8521972658397612E-2</v>
      </c>
      <c r="D135">
        <v>137.173721</v>
      </c>
      <c r="E135" s="7">
        <f t="shared" si="3"/>
        <v>1.3161786757364791E-2</v>
      </c>
    </row>
    <row r="136" spans="1:5" x14ac:dyDescent="0.25">
      <c r="A136" s="35">
        <v>44599</v>
      </c>
      <c r="B136">
        <v>16664.990234000001</v>
      </c>
      <c r="C136" s="7">
        <f t="shared" si="2"/>
        <v>-2.1908013391017667E-3</v>
      </c>
      <c r="D136">
        <v>133.23561100000001</v>
      </c>
      <c r="E136" s="7">
        <f t="shared" si="3"/>
        <v>-2.8708924503112354E-2</v>
      </c>
    </row>
    <row r="137" spans="1:5" x14ac:dyDescent="0.25">
      <c r="A137" s="35">
        <v>44606</v>
      </c>
      <c r="B137">
        <v>16392.320313</v>
      </c>
      <c r="C137" s="7">
        <f t="shared" si="2"/>
        <v>-1.6361841031487523E-2</v>
      </c>
      <c r="D137">
        <v>135.854477</v>
      </c>
      <c r="E137" s="7">
        <f t="shared" si="3"/>
        <v>1.9655901153933897E-2</v>
      </c>
    </row>
    <row r="138" spans="1:5" x14ac:dyDescent="0.25">
      <c r="A138" s="35">
        <v>44613</v>
      </c>
      <c r="B138">
        <v>16427.960938</v>
      </c>
      <c r="C138" s="7">
        <f t="shared" si="2"/>
        <v>2.1742269745506082E-3</v>
      </c>
      <c r="D138">
        <v>134.26937899999999</v>
      </c>
      <c r="E138" s="7">
        <f t="shared" si="3"/>
        <v>-1.1667616960462923E-2</v>
      </c>
    </row>
    <row r="139" spans="1:5" x14ac:dyDescent="0.25">
      <c r="A139" s="35">
        <v>44620</v>
      </c>
      <c r="B139">
        <v>16129.660156</v>
      </c>
      <c r="C139" s="7">
        <f t="shared" si="2"/>
        <v>-1.8158113665220132E-2</v>
      </c>
      <c r="D139">
        <v>140.609711</v>
      </c>
      <c r="E139" s="7">
        <f t="shared" si="3"/>
        <v>4.7220982529456945E-2</v>
      </c>
    </row>
    <row r="140" spans="1:5" x14ac:dyDescent="0.25">
      <c r="A140" s="35">
        <v>44627</v>
      </c>
      <c r="B140">
        <v>15753.700194999999</v>
      </c>
      <c r="C140" s="7">
        <f t="shared" si="2"/>
        <v>-2.3308610185450718E-2</v>
      </c>
      <c r="D140">
        <v>139.87132299999999</v>
      </c>
      <c r="E140" s="7">
        <f t="shared" si="3"/>
        <v>-5.2513300450494071E-3</v>
      </c>
    </row>
    <row r="141" spans="1:5" x14ac:dyDescent="0.25">
      <c r="A141" s="35">
        <v>44634</v>
      </c>
      <c r="B141">
        <v>16612.640625</v>
      </c>
      <c r="C141" s="7">
        <f t="shared" si="2"/>
        <v>5.4523091043246819E-2</v>
      </c>
      <c r="D141">
        <v>143.18916300000001</v>
      </c>
      <c r="E141" s="7">
        <f t="shared" si="3"/>
        <v>2.3720659309128145E-2</v>
      </c>
    </row>
    <row r="142" spans="1:5" x14ac:dyDescent="0.25">
      <c r="A142" s="35">
        <v>44641</v>
      </c>
      <c r="B142">
        <v>16792.800781000002</v>
      </c>
      <c r="C142" s="7">
        <f t="shared" si="2"/>
        <v>1.0844763338158536E-2</v>
      </c>
      <c r="D142">
        <v>141.77619899999999</v>
      </c>
      <c r="E142" s="7">
        <f t="shared" si="3"/>
        <v>-9.8678138093454271E-3</v>
      </c>
    </row>
    <row r="143" spans="1:5" x14ac:dyDescent="0.25">
      <c r="A143" s="35">
        <v>44648</v>
      </c>
      <c r="B143">
        <v>16787.75</v>
      </c>
      <c r="C143" s="7">
        <f t="shared" si="2"/>
        <v>-3.0077061389999216E-4</v>
      </c>
      <c r="D143">
        <v>149.247986</v>
      </c>
      <c r="E143" s="7">
        <f t="shared" si="3"/>
        <v>5.2701278865573187E-2</v>
      </c>
    </row>
    <row r="144" spans="1:5" x14ac:dyDescent="0.25">
      <c r="A144" s="35">
        <v>44655</v>
      </c>
      <c r="B144">
        <v>16689.949218999998</v>
      </c>
      <c r="C144" s="7">
        <f t="shared" si="2"/>
        <v>-5.8257229825320334E-3</v>
      </c>
      <c r="D144">
        <v>155.57330300000001</v>
      </c>
      <c r="E144" s="7">
        <f t="shared" si="3"/>
        <v>4.2381255315566024E-2</v>
      </c>
    </row>
    <row r="145" spans="1:5" x14ac:dyDescent="0.25">
      <c r="A145" s="35">
        <v>44662</v>
      </c>
      <c r="B145">
        <v>16511.509765999999</v>
      </c>
      <c r="C145" s="7">
        <f t="shared" si="2"/>
        <v>-1.0691431750844527E-2</v>
      </c>
      <c r="D145">
        <v>155.247162</v>
      </c>
      <c r="E145" s="7">
        <f t="shared" si="3"/>
        <v>-2.096381536618841E-3</v>
      </c>
    </row>
    <row r="146" spans="1:5" x14ac:dyDescent="0.25">
      <c r="A146" s="35">
        <v>44669</v>
      </c>
      <c r="B146">
        <v>16056.870117</v>
      </c>
      <c r="C146" s="7">
        <f t="shared" si="2"/>
        <v>-2.753471096484339E-2</v>
      </c>
      <c r="D146">
        <v>155.02972399999999</v>
      </c>
      <c r="E146" s="7">
        <f t="shared" si="3"/>
        <v>-1.4005924307975981E-3</v>
      </c>
    </row>
    <row r="147" spans="1:5" x14ac:dyDescent="0.25">
      <c r="A147" s="35">
        <v>44676</v>
      </c>
      <c r="B147">
        <v>15615.25</v>
      </c>
      <c r="C147" s="7">
        <f t="shared" si="2"/>
        <v>-2.7503499360839956E-2</v>
      </c>
      <c r="D147">
        <v>151.20488</v>
      </c>
      <c r="E147" s="7">
        <f t="shared" si="3"/>
        <v>-2.4671681670542012E-2</v>
      </c>
    </row>
    <row r="148" spans="1:5" x14ac:dyDescent="0.25">
      <c r="A148" s="35">
        <v>44683</v>
      </c>
      <c r="B148">
        <v>15566.559569999999</v>
      </c>
      <c r="C148" s="7">
        <f t="shared" si="2"/>
        <v>-3.1181332351387647E-3</v>
      </c>
      <c r="D148">
        <v>147.814896</v>
      </c>
      <c r="E148" s="7">
        <f t="shared" si="3"/>
        <v>-2.2419805498340994E-2</v>
      </c>
    </row>
    <row r="149" spans="1:5" x14ac:dyDescent="0.25">
      <c r="A149" s="35">
        <v>44690</v>
      </c>
      <c r="B149">
        <v>15257.360352</v>
      </c>
      <c r="C149" s="7">
        <f t="shared" si="2"/>
        <v>-1.9863041451746999E-2</v>
      </c>
      <c r="D149">
        <v>146.854401</v>
      </c>
      <c r="E149" s="7">
        <f t="shared" si="3"/>
        <v>-6.4979580948324456E-3</v>
      </c>
    </row>
    <row r="150" spans="1:5" x14ac:dyDescent="0.25">
      <c r="A150" s="35">
        <v>44697</v>
      </c>
      <c r="B150">
        <v>15080.980469</v>
      </c>
      <c r="C150" s="7">
        <f t="shared" si="2"/>
        <v>-1.1560314427316976E-2</v>
      </c>
      <c r="D150">
        <v>118.23737300000001</v>
      </c>
      <c r="E150" s="7">
        <f t="shared" si="3"/>
        <v>-0.19486666933461527</v>
      </c>
    </row>
    <row r="151" spans="1:5" x14ac:dyDescent="0.25">
      <c r="A151" s="35">
        <v>44704</v>
      </c>
      <c r="B151">
        <v>15942.620117</v>
      </c>
      <c r="C151" s="7">
        <f t="shared" si="2"/>
        <v>5.7134192950595075E-2</v>
      </c>
      <c r="D151">
        <v>127.442429</v>
      </c>
      <c r="E151" s="7">
        <f t="shared" si="3"/>
        <v>7.7852338617164563E-2</v>
      </c>
    </row>
    <row r="152" spans="1:5" x14ac:dyDescent="0.25">
      <c r="A152" s="35">
        <v>44711</v>
      </c>
      <c r="B152">
        <v>15797.169921999999</v>
      </c>
      <c r="C152" s="7">
        <f t="shared" si="2"/>
        <v>-9.1233557553631606E-3</v>
      </c>
      <c r="D152">
        <v>124.307953</v>
      </c>
      <c r="E152" s="7">
        <f t="shared" si="3"/>
        <v>-2.4595231153354824E-2</v>
      </c>
    </row>
    <row r="153" spans="1:5" x14ac:dyDescent="0.25">
      <c r="A153" s="35">
        <v>44718</v>
      </c>
      <c r="B153">
        <v>15096.690430000001</v>
      </c>
      <c r="C153" s="7">
        <f t="shared" si="2"/>
        <v>-4.4342087567499799E-2</v>
      </c>
      <c r="D153">
        <v>120.717186</v>
      </c>
      <c r="E153" s="7">
        <f t="shared" si="3"/>
        <v>-2.8886060089815757E-2</v>
      </c>
    </row>
    <row r="154" spans="1:5" x14ac:dyDescent="0.25">
      <c r="A154" s="35">
        <v>44725</v>
      </c>
      <c r="B154">
        <v>14097.049805000001</v>
      </c>
      <c r="C154" s="7">
        <f t="shared" si="2"/>
        <v>-6.6215878879885115E-2</v>
      </c>
      <c r="D154">
        <v>117.33472399999999</v>
      </c>
      <c r="E154" s="7">
        <f t="shared" si="3"/>
        <v>-2.8019722063435171E-2</v>
      </c>
    </row>
    <row r="155" spans="1:5" x14ac:dyDescent="0.25">
      <c r="A155" s="35">
        <v>44732</v>
      </c>
      <c r="B155">
        <v>14811.549805000001</v>
      </c>
      <c r="C155" s="7">
        <f t="shared" si="2"/>
        <v>5.0684363741595018E-2</v>
      </c>
      <c r="D155">
        <v>122.720879</v>
      </c>
      <c r="E155" s="7">
        <f t="shared" si="3"/>
        <v>4.5904186044704032E-2</v>
      </c>
    </row>
    <row r="156" spans="1:5" x14ac:dyDescent="0.25">
      <c r="A156" s="35">
        <v>44739</v>
      </c>
      <c r="B156">
        <v>14636.759765999999</v>
      </c>
      <c r="C156" s="7">
        <f t="shared" si="2"/>
        <v>-1.1800928417429857E-2</v>
      </c>
      <c r="D156">
        <v>121.63967100000001</v>
      </c>
      <c r="E156" s="7">
        <f t="shared" si="3"/>
        <v>-8.8103019535901161E-3</v>
      </c>
    </row>
    <row r="157" spans="1:5" x14ac:dyDescent="0.25">
      <c r="A157" s="35">
        <v>44746</v>
      </c>
      <c r="B157">
        <v>14642.330078000001</v>
      </c>
      <c r="C157" s="7">
        <f t="shared" si="2"/>
        <v>3.8057002294600295E-4</v>
      </c>
      <c r="D157">
        <v>124.387306</v>
      </c>
      <c r="E157" s="7">
        <f t="shared" si="3"/>
        <v>2.2588313314329644E-2</v>
      </c>
    </row>
    <row r="158" spans="1:5" x14ac:dyDescent="0.25">
      <c r="A158" s="35">
        <v>44753</v>
      </c>
      <c r="B158">
        <v>14449.679688</v>
      </c>
      <c r="C158" s="7">
        <f t="shared" si="2"/>
        <v>-1.3157085584995509E-2</v>
      </c>
      <c r="D158">
        <v>128.02767900000001</v>
      </c>
      <c r="E158" s="7">
        <f t="shared" si="3"/>
        <v>2.9266434952775811E-2</v>
      </c>
    </row>
    <row r="159" spans="1:5" x14ac:dyDescent="0.25">
      <c r="A159" s="35">
        <v>44760</v>
      </c>
      <c r="B159">
        <v>14790.790039</v>
      </c>
      <c r="C159" s="7">
        <f t="shared" si="2"/>
        <v>2.3606775953883607E-2</v>
      </c>
      <c r="D159">
        <v>131.14231899999999</v>
      </c>
      <c r="E159" s="7">
        <f t="shared" si="3"/>
        <v>2.4327864289408696E-2</v>
      </c>
    </row>
    <row r="160" spans="1:5" x14ac:dyDescent="0.25">
      <c r="A160" s="35">
        <v>44767</v>
      </c>
      <c r="B160">
        <v>15327.709961</v>
      </c>
      <c r="C160" s="7">
        <f t="shared" ref="C160:C187" si="4">B160/B159-1</f>
        <v>3.6300963003616626E-2</v>
      </c>
      <c r="D160">
        <v>130.98361199999999</v>
      </c>
      <c r="E160" s="7">
        <f t="shared" ref="E160:E187" si="5">D160/D159-1</f>
        <v>-1.2101890618542166E-3</v>
      </c>
    </row>
    <row r="161" spans="1:5" x14ac:dyDescent="0.25">
      <c r="A161" s="35">
        <v>44774</v>
      </c>
      <c r="B161">
        <v>15273.230469</v>
      </c>
      <c r="C161" s="7">
        <f t="shared" si="4"/>
        <v>-3.5543138628417736E-3</v>
      </c>
      <c r="D161">
        <v>125.557777</v>
      </c>
      <c r="E161" s="7">
        <f t="shared" si="5"/>
        <v>-4.1423769868248805E-2</v>
      </c>
    </row>
    <row r="162" spans="1:5" x14ac:dyDescent="0.25">
      <c r="A162" s="35">
        <v>44781</v>
      </c>
      <c r="B162">
        <v>15804.379883</v>
      </c>
      <c r="C162" s="7">
        <f t="shared" si="4"/>
        <v>3.4776494408178538E-2</v>
      </c>
      <c r="D162">
        <v>131.15223700000001</v>
      </c>
      <c r="E162" s="7">
        <f t="shared" si="5"/>
        <v>4.4556857676765205E-2</v>
      </c>
    </row>
    <row r="163" spans="1:5" x14ac:dyDescent="0.25">
      <c r="A163" s="35">
        <v>44788</v>
      </c>
      <c r="B163">
        <v>15588.320313</v>
      </c>
      <c r="C163" s="7">
        <f t="shared" si="4"/>
        <v>-1.3670866658451075E-2</v>
      </c>
      <c r="D163">
        <v>136.505402</v>
      </c>
      <c r="E163" s="7">
        <f t="shared" si="5"/>
        <v>4.0816421606289399E-2</v>
      </c>
    </row>
    <row r="164" spans="1:5" x14ac:dyDescent="0.25">
      <c r="A164" s="35">
        <v>44795</v>
      </c>
      <c r="B164">
        <v>15178.209961</v>
      </c>
      <c r="C164" s="7">
        <f t="shared" si="4"/>
        <v>-2.6308822487948524E-2</v>
      </c>
      <c r="D164">
        <v>131.10575900000001</v>
      </c>
      <c r="E164" s="7">
        <f t="shared" si="5"/>
        <v>-3.9556258733262406E-2</v>
      </c>
    </row>
    <row r="165" spans="1:5" x14ac:dyDescent="0.25">
      <c r="A165" s="35">
        <v>44802</v>
      </c>
      <c r="B165">
        <v>14689.5</v>
      </c>
      <c r="C165" s="7">
        <f t="shared" si="4"/>
        <v>-3.2198128913470514E-2</v>
      </c>
      <c r="D165">
        <v>132.50050400000001</v>
      </c>
      <c r="E165" s="7">
        <f t="shared" si="5"/>
        <v>1.0638319862058765E-2</v>
      </c>
    </row>
    <row r="166" spans="1:5" x14ac:dyDescent="0.25">
      <c r="A166" s="35">
        <v>44809</v>
      </c>
      <c r="B166">
        <v>15190.790039</v>
      </c>
      <c r="C166" s="7">
        <f t="shared" si="4"/>
        <v>3.4125738724939625E-2</v>
      </c>
      <c r="D166">
        <v>136.32607999999999</v>
      </c>
      <c r="E166" s="7">
        <f t="shared" si="5"/>
        <v>2.8872161874946345E-2</v>
      </c>
    </row>
    <row r="167" spans="1:5" x14ac:dyDescent="0.25">
      <c r="A167" s="35">
        <v>44816</v>
      </c>
      <c r="B167">
        <v>14573.910156</v>
      </c>
      <c r="C167" s="7">
        <f t="shared" si="4"/>
        <v>-4.060880845671988E-2</v>
      </c>
      <c r="D167">
        <v>132.68978899999999</v>
      </c>
      <c r="E167" s="7">
        <f t="shared" si="5"/>
        <v>-2.6673480232102365E-2</v>
      </c>
    </row>
    <row r="168" spans="1:5" x14ac:dyDescent="0.25">
      <c r="A168" s="35">
        <v>44823</v>
      </c>
      <c r="B168">
        <v>13796.990234000001</v>
      </c>
      <c r="C168" s="7">
        <f t="shared" si="4"/>
        <v>-5.3308955090555776E-2</v>
      </c>
      <c r="D168">
        <v>129.57153299999999</v>
      </c>
      <c r="E168" s="7">
        <f t="shared" si="5"/>
        <v>-2.3500346360487478E-2</v>
      </c>
    </row>
    <row r="169" spans="1:5" x14ac:dyDescent="0.25">
      <c r="A169" s="35">
        <v>44830</v>
      </c>
      <c r="B169">
        <v>13472.179688</v>
      </c>
      <c r="C169" s="7">
        <f t="shared" si="4"/>
        <v>-2.3542130601757472E-2</v>
      </c>
      <c r="D169">
        <v>129.21289100000001</v>
      </c>
      <c r="E169" s="7">
        <f t="shared" si="5"/>
        <v>-2.7679073612564276E-3</v>
      </c>
    </row>
    <row r="170" spans="1:5" x14ac:dyDescent="0.25">
      <c r="A170" s="35">
        <v>44837</v>
      </c>
      <c r="B170">
        <v>13798.259765999999</v>
      </c>
      <c r="C170" s="7">
        <f t="shared" si="4"/>
        <v>2.4203958494589228E-2</v>
      </c>
      <c r="D170">
        <v>128.077179</v>
      </c>
      <c r="E170" s="7">
        <f t="shared" si="5"/>
        <v>-8.7894635837845181E-3</v>
      </c>
    </row>
    <row r="171" spans="1:5" x14ac:dyDescent="0.25">
      <c r="A171" s="35">
        <v>44844</v>
      </c>
      <c r="B171">
        <v>13607.309569999999</v>
      </c>
      <c r="C171" s="7">
        <f t="shared" si="4"/>
        <v>-1.3838715840856719E-2</v>
      </c>
      <c r="D171">
        <v>129.94014000000001</v>
      </c>
      <c r="E171" s="7">
        <f t="shared" si="5"/>
        <v>1.4545612376425154E-2</v>
      </c>
    </row>
    <row r="172" spans="1:5" x14ac:dyDescent="0.25">
      <c r="A172" s="35">
        <v>44851</v>
      </c>
      <c r="B172">
        <v>14144.049805000001</v>
      </c>
      <c r="C172" s="7">
        <f t="shared" si="4"/>
        <v>3.944499331325213E-2</v>
      </c>
      <c r="D172">
        <v>136.28623999999999</v>
      </c>
      <c r="E172" s="7">
        <f t="shared" si="5"/>
        <v>4.8838642162460255E-2</v>
      </c>
    </row>
    <row r="173" spans="1:5" x14ac:dyDescent="0.25">
      <c r="A173" s="35">
        <v>44858</v>
      </c>
      <c r="B173">
        <v>14795.629883</v>
      </c>
      <c r="C173" s="7">
        <f t="shared" si="4"/>
        <v>4.6067433796058932E-2</v>
      </c>
      <c r="D173">
        <v>141.97477699999999</v>
      </c>
      <c r="E173" s="7">
        <f t="shared" si="5"/>
        <v>4.1739628299966247E-2</v>
      </c>
    </row>
    <row r="174" spans="1:5" x14ac:dyDescent="0.25">
      <c r="A174" s="35">
        <v>44865</v>
      </c>
      <c r="B174">
        <v>14702.769531</v>
      </c>
      <c r="C174" s="7">
        <f t="shared" si="4"/>
        <v>-6.2762013333880207E-3</v>
      </c>
      <c r="D174">
        <v>140.44056699999999</v>
      </c>
      <c r="E174" s="7">
        <f t="shared" si="5"/>
        <v>-1.0806215247656237E-2</v>
      </c>
    </row>
    <row r="175" spans="1:5" x14ac:dyDescent="0.25">
      <c r="A175" s="35">
        <v>44872</v>
      </c>
      <c r="B175">
        <v>15352.690430000001</v>
      </c>
      <c r="C175" s="7">
        <f t="shared" si="4"/>
        <v>4.4203977871630107E-2</v>
      </c>
      <c r="D175">
        <v>142.04452499999999</v>
      </c>
      <c r="E175" s="7">
        <f t="shared" si="5"/>
        <v>1.142090233799764E-2</v>
      </c>
    </row>
    <row r="176" spans="1:5" x14ac:dyDescent="0.25">
      <c r="A176" s="35">
        <v>44879</v>
      </c>
      <c r="B176">
        <v>15309.769531</v>
      </c>
      <c r="C176" s="7">
        <f t="shared" si="4"/>
        <v>-2.7956597702335495E-3</v>
      </c>
      <c r="D176">
        <v>149.66578699999999</v>
      </c>
      <c r="E176" s="7">
        <f t="shared" si="5"/>
        <v>5.3654035592008986E-2</v>
      </c>
    </row>
    <row r="177" spans="1:5" x14ac:dyDescent="0.25">
      <c r="A177" s="35">
        <v>44886</v>
      </c>
      <c r="B177">
        <v>15605.669921999999</v>
      </c>
      <c r="C177" s="7">
        <f t="shared" si="4"/>
        <v>1.9327553586018675E-2</v>
      </c>
      <c r="D177">
        <v>152.49513200000001</v>
      </c>
      <c r="E177" s="7">
        <f t="shared" si="5"/>
        <v>1.8904420687675394E-2</v>
      </c>
    </row>
    <row r="178" spans="1:5" x14ac:dyDescent="0.25">
      <c r="A178" s="35">
        <v>44893</v>
      </c>
      <c r="B178">
        <v>15767.019531</v>
      </c>
      <c r="C178" s="7">
        <f t="shared" si="4"/>
        <v>1.033916581642802E-2</v>
      </c>
      <c r="D178">
        <v>152.64456200000001</v>
      </c>
      <c r="E178" s="7">
        <f t="shared" si="5"/>
        <v>9.7990013215620841E-4</v>
      </c>
    </row>
    <row r="179" spans="1:5" x14ac:dyDescent="0.25">
      <c r="A179" s="35">
        <v>44900</v>
      </c>
      <c r="B179">
        <v>15291.049805000001</v>
      </c>
      <c r="C179" s="7">
        <f t="shared" si="4"/>
        <v>-3.0187679102203213E-2</v>
      </c>
      <c r="D179">
        <v>144.76426699999999</v>
      </c>
      <c r="E179" s="7">
        <f t="shared" si="5"/>
        <v>-5.1625127660951398E-2</v>
      </c>
    </row>
    <row r="180" spans="1:5" x14ac:dyDescent="0.25">
      <c r="A180" s="35">
        <v>44907</v>
      </c>
      <c r="B180">
        <v>15018.169921999999</v>
      </c>
      <c r="C180" s="7">
        <f t="shared" si="4"/>
        <v>-1.7845725864470863E-2</v>
      </c>
      <c r="D180">
        <v>142.75</v>
      </c>
      <c r="E180" s="7">
        <f t="shared" si="5"/>
        <v>-1.3914117356046085E-2</v>
      </c>
    </row>
    <row r="181" spans="1:5" x14ac:dyDescent="0.25">
      <c r="A181" s="35">
        <v>44914</v>
      </c>
      <c r="B181">
        <v>15188.450194999999</v>
      </c>
      <c r="C181" s="7">
        <f t="shared" si="4"/>
        <v>1.1338283817827755E-2</v>
      </c>
      <c r="D181">
        <v>143.770004</v>
      </c>
      <c r="E181" s="7">
        <f t="shared" si="5"/>
        <v>7.1453870402802266E-3</v>
      </c>
    </row>
    <row r="182" spans="1:5" x14ac:dyDescent="0.25">
      <c r="A182" s="35">
        <v>44921</v>
      </c>
      <c r="B182">
        <v>15184.309569999999</v>
      </c>
      <c r="C182" s="7">
        <f t="shared" si="4"/>
        <v>-2.7261668878919565E-4</v>
      </c>
      <c r="D182">
        <v>141.78999300000001</v>
      </c>
      <c r="E182" s="7">
        <f t="shared" si="5"/>
        <v>-1.3772073067480739E-2</v>
      </c>
    </row>
    <row r="183" spans="1:5" x14ac:dyDescent="0.25">
      <c r="A183" s="35">
        <v>44928</v>
      </c>
      <c r="B183">
        <v>15539.740234000001</v>
      </c>
      <c r="C183" s="7">
        <f t="shared" si="4"/>
        <v>2.3407759329553857E-2</v>
      </c>
      <c r="D183">
        <v>146.779999</v>
      </c>
      <c r="E183" s="7">
        <f t="shared" si="5"/>
        <v>3.5192934948519161E-2</v>
      </c>
    </row>
    <row r="184" spans="1:5" x14ac:dyDescent="0.25">
      <c r="A184" s="35">
        <v>44935</v>
      </c>
      <c r="B184">
        <v>15918.370117</v>
      </c>
      <c r="C184" s="7">
        <f t="shared" si="4"/>
        <v>2.436526462466726E-2</v>
      </c>
      <c r="D184">
        <v>145.28999300000001</v>
      </c>
      <c r="E184" s="7">
        <f t="shared" si="5"/>
        <v>-1.0151287710527868E-2</v>
      </c>
    </row>
    <row r="185" spans="1:5" x14ac:dyDescent="0.25">
      <c r="A185" s="35">
        <v>44942</v>
      </c>
      <c r="B185">
        <v>15777.549805000001</v>
      </c>
      <c r="C185" s="7">
        <f t="shared" si="4"/>
        <v>-8.8464026759631498E-3</v>
      </c>
      <c r="D185">
        <v>140.53999300000001</v>
      </c>
      <c r="E185" s="7">
        <f t="shared" si="5"/>
        <v>-3.2693235796356634E-2</v>
      </c>
    </row>
    <row r="186" spans="1:5" x14ac:dyDescent="0.25">
      <c r="A186" s="35">
        <v>44949</v>
      </c>
      <c r="B186">
        <v>15889.269531</v>
      </c>
      <c r="C186" s="7">
        <f t="shared" si="4"/>
        <v>7.0809300164336175E-3</v>
      </c>
      <c r="D186">
        <v>142.33999600000001</v>
      </c>
      <c r="E186" s="7">
        <f t="shared" si="5"/>
        <v>1.2807763552400431E-2</v>
      </c>
    </row>
    <row r="187" spans="1:5" x14ac:dyDescent="0.25">
      <c r="A187" s="35">
        <v>44951</v>
      </c>
      <c r="B187">
        <v>15889.274414</v>
      </c>
      <c r="C187" s="7">
        <f t="shared" si="4"/>
        <v>3.0731431621688898E-7</v>
      </c>
      <c r="D187">
        <v>142.33999600000001</v>
      </c>
      <c r="E187" s="7">
        <f t="shared" si="5"/>
        <v>0</v>
      </c>
    </row>
  </sheetData>
  <mergeCells count="2">
    <mergeCell ref="A3:F3"/>
    <mergeCell ref="A11:F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209C-5F28-4892-ADE2-B1BD743FF244}">
  <sheetPr>
    <tabColor theme="7" tint="-0.249977111117893"/>
  </sheetPr>
  <dimension ref="A1:G28"/>
  <sheetViews>
    <sheetView showGridLines="0" topLeftCell="A7" workbookViewId="0">
      <selection activeCell="E24" sqref="E24"/>
    </sheetView>
  </sheetViews>
  <sheetFormatPr defaultRowHeight="15" x14ac:dyDescent="0.25"/>
  <cols>
    <col min="1" max="1" width="38.140625" customWidth="1"/>
  </cols>
  <sheetData>
    <row r="1" spans="1: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25">
      <c r="C2" s="5">
        <v>2023</v>
      </c>
      <c r="D2" s="5">
        <v>2024</v>
      </c>
      <c r="E2" s="5">
        <v>2025</v>
      </c>
      <c r="F2" s="5">
        <v>2026</v>
      </c>
      <c r="G2" s="5">
        <v>2027</v>
      </c>
    </row>
    <row r="3" spans="1:7" x14ac:dyDescent="0.25">
      <c r="A3" t="s">
        <v>84</v>
      </c>
      <c r="C3">
        <f>'Income Statement'!J17</f>
        <v>24883.587196432843</v>
      </c>
      <c r="D3">
        <f>'Income Statement'!K17</f>
        <v>24963.354987893894</v>
      </c>
      <c r="E3">
        <f>'Income Statement'!L17</f>
        <v>25549.243823285953</v>
      </c>
      <c r="F3">
        <f>'Income Statement'!M17</f>
        <v>25955.123078927827</v>
      </c>
      <c r="G3">
        <f>'Income Statement'!N17</f>
        <v>26751.241771471749</v>
      </c>
    </row>
    <row r="4" spans="1:7" x14ac:dyDescent="0.25">
      <c r="A4" s="2" t="s">
        <v>85</v>
      </c>
      <c r="B4" s="2"/>
      <c r="C4" s="59">
        <f>-'Income Statement'!J26*'DCF Factor'!C3</f>
        <v>-7517.4368911485171</v>
      </c>
      <c r="D4" s="59">
        <f>-'Income Statement'!K26*'DCF Factor'!D3</f>
        <v>-7539.1460306157351</v>
      </c>
      <c r="E4" s="59">
        <f>-'Income Statement'!L26*'DCF Factor'!E3</f>
        <v>-7706.8750037483069</v>
      </c>
      <c r="F4" s="59">
        <f>-'Income Statement'!M26*'DCF Factor'!F3</f>
        <v>-7518.2253510906594</v>
      </c>
      <c r="G4" s="59">
        <f>-'Income Statement'!N26*'DCF Factor'!G3</f>
        <v>-7950.9349679091338</v>
      </c>
    </row>
    <row r="5" spans="1:7" x14ac:dyDescent="0.25">
      <c r="A5" s="5" t="s">
        <v>86</v>
      </c>
      <c r="C5">
        <f>SUM(C3:C4)</f>
        <v>17366.150305284325</v>
      </c>
      <c r="D5">
        <f t="shared" ref="D5:G5" si="0">SUM(D3:D4)</f>
        <v>17424.208957278159</v>
      </c>
      <c r="E5">
        <f t="shared" si="0"/>
        <v>17842.368819537645</v>
      </c>
      <c r="F5">
        <f t="shared" si="0"/>
        <v>18436.897727837168</v>
      </c>
      <c r="G5">
        <f t="shared" si="0"/>
        <v>18800.306803562613</v>
      </c>
    </row>
    <row r="6" spans="1:7" x14ac:dyDescent="0.25">
      <c r="A6" t="s">
        <v>87</v>
      </c>
      <c r="C6" s="17">
        <f>'Income Statement'!J13</f>
        <v>28034.297480169917</v>
      </c>
      <c r="D6" s="17">
        <f>'Income Statement'!K13</f>
        <v>25792.398972633608</v>
      </c>
      <c r="E6" s="17">
        <f>'Income Statement'!L13</f>
        <v>24450.177793298539</v>
      </c>
      <c r="F6" s="17">
        <f>'Income Statement'!M13</f>
        <v>24125.522651533807</v>
      </c>
      <c r="G6" s="17">
        <f>'Income Statement'!N13</f>
        <v>24092.169102139866</v>
      </c>
    </row>
    <row r="7" spans="1:7" x14ac:dyDescent="0.25">
      <c r="A7" t="s">
        <v>88</v>
      </c>
      <c r="C7" s="17">
        <f>'Working Capital'!J17</f>
        <v>106274.77680681853</v>
      </c>
      <c r="D7" s="17">
        <f>'Working Capital'!K17</f>
        <v>1729.6473941607692</v>
      </c>
      <c r="E7" s="17">
        <f>'Working Capital'!L17</f>
        <v>3324.9603502062237</v>
      </c>
      <c r="F7" s="17">
        <f>'Working Capital'!M17</f>
        <v>-2086.8405728170328</v>
      </c>
      <c r="G7" s="17">
        <f>'Working Capital'!N17</f>
        <v>2477.4421227864223</v>
      </c>
    </row>
    <row r="8" spans="1:7" x14ac:dyDescent="0.25">
      <c r="A8" s="2" t="s">
        <v>89</v>
      </c>
      <c r="B8" s="2"/>
      <c r="C8" s="19">
        <f>-'Fixed Asset Schedule'!J6</f>
        <v>-195497.05265874276</v>
      </c>
      <c r="D8" s="19">
        <f>-'Fixed Asset Schedule'!K6</f>
        <v>-26283.567536907911</v>
      </c>
      <c r="E8" s="19">
        <f>-'Fixed Asset Schedule'!L6</f>
        <v>-26539.242890933587</v>
      </c>
      <c r="F8" s="19">
        <f>-'Fixed Asset Schedule'!M6</f>
        <v>-26768.868022796989</v>
      </c>
      <c r="G8" s="19">
        <f>-'Fixed Asset Schedule'!N6</f>
        <v>-27671.062150301936</v>
      </c>
    </row>
    <row r="9" spans="1:7" x14ac:dyDescent="0.25">
      <c r="A9" t="s">
        <v>90</v>
      </c>
      <c r="C9">
        <f>SUM(C5:C8)</f>
        <v>-43821.828066469985</v>
      </c>
      <c r="D9">
        <f t="shared" ref="D9:G9" si="1">SUM(D5:D8)</f>
        <v>18662.687787164628</v>
      </c>
      <c r="E9">
        <f t="shared" si="1"/>
        <v>19078.264072108825</v>
      </c>
      <c r="F9">
        <f t="shared" si="1"/>
        <v>13706.711783756953</v>
      </c>
      <c r="G9">
        <f t="shared" si="1"/>
        <v>17698.855878186965</v>
      </c>
    </row>
    <row r="10" spans="1:7" x14ac:dyDescent="0.25">
      <c r="A10" t="s">
        <v>91</v>
      </c>
      <c r="C10" s="15">
        <f ca="1">1/(1+'Discount Rate'!$K$6)^('DCF Factor'!C1-0.5)</f>
        <v>0.96531093798125223</v>
      </c>
      <c r="D10" s="15">
        <f ca="1">1/(1+'Discount Rate'!$K$6)^('DCF Factor'!D1-0.5)</f>
        <v>0.89950106459046641</v>
      </c>
      <c r="E10" s="15">
        <f ca="1">1/(1+'Discount Rate'!$K$6)^('DCF Factor'!E1-0.5)</f>
        <v>0.83817776569635893</v>
      </c>
      <c r="F10" s="15">
        <f ca="1">1/(1+'Discount Rate'!$K$6)^('DCF Factor'!F1-0.5)</f>
        <v>0.78103517001127787</v>
      </c>
      <c r="G10" s="15">
        <f ca="1">1/(1+'Discount Rate'!$K$6)^('DCF Factor'!G1-0.5)</f>
        <v>0.72778825895929589</v>
      </c>
    </row>
    <row r="13" spans="1:7" x14ac:dyDescent="0.25">
      <c r="A13" t="s">
        <v>92</v>
      </c>
      <c r="C13">
        <f ca="1">SUMPRODUCT(C10:G10,C9:G9)</f>
        <v>14062.837804581452</v>
      </c>
    </row>
    <row r="15" spans="1:7" x14ac:dyDescent="0.25">
      <c r="A15" t="s">
        <v>93</v>
      </c>
    </row>
    <row r="16" spans="1:7" x14ac:dyDescent="0.25">
      <c r="A16" t="s">
        <v>94</v>
      </c>
      <c r="C16">
        <v>16.850000000000001</v>
      </c>
    </row>
    <row r="17" spans="1:4" x14ac:dyDescent="0.25">
      <c r="A17" t="s">
        <v>95</v>
      </c>
      <c r="C17" s="17">
        <f>G3+G6</f>
        <v>50843.410873611618</v>
      </c>
    </row>
    <row r="18" spans="1:4" x14ac:dyDescent="0.25">
      <c r="A18" t="s">
        <v>96</v>
      </c>
      <c r="C18">
        <f>C16*C17</f>
        <v>856711.47322035581</v>
      </c>
    </row>
    <row r="19" spans="1:4" x14ac:dyDescent="0.25">
      <c r="A19" s="5" t="s">
        <v>97</v>
      </c>
      <c r="C19">
        <f ca="1">C18/(1+'Discount Rate'!K6)^'DCF Factor'!G1</f>
        <v>601875.76346865669</v>
      </c>
    </row>
    <row r="21" spans="1:4" x14ac:dyDescent="0.25">
      <c r="A21" s="5" t="s">
        <v>98</v>
      </c>
      <c r="C21">
        <f ca="1">C13+C19</f>
        <v>615938.60127323819</v>
      </c>
    </row>
    <row r="22" spans="1:4" x14ac:dyDescent="0.25">
      <c r="A22" s="2" t="s">
        <v>99</v>
      </c>
      <c r="B22" s="2"/>
      <c r="C22" s="2">
        <f>14760+2545</f>
        <v>17305</v>
      </c>
    </row>
    <row r="23" spans="1:4" x14ac:dyDescent="0.25">
      <c r="A23" t="s">
        <v>100</v>
      </c>
      <c r="C23">
        <f ca="1">C21+C22</f>
        <v>633243.60127323819</v>
      </c>
    </row>
    <row r="24" spans="1:4" x14ac:dyDescent="0.25">
      <c r="A24" t="s">
        <v>101</v>
      </c>
      <c r="C24" s="6">
        <f>-'Discount Rate'!H36</f>
        <v>-34864</v>
      </c>
    </row>
    <row r="25" spans="1:4" x14ac:dyDescent="0.25">
      <c r="A25" s="2" t="s">
        <v>102</v>
      </c>
      <c r="B25" s="2"/>
      <c r="C25" s="2">
        <v>-8638</v>
      </c>
    </row>
    <row r="26" spans="1:4" x14ac:dyDescent="0.25">
      <c r="A26" t="s">
        <v>103</v>
      </c>
      <c r="C26">
        <f ca="1">SUM(C23:C25)</f>
        <v>589741.60127323819</v>
      </c>
    </row>
    <row r="27" spans="1:4" x14ac:dyDescent="0.25">
      <c r="A27" t="s">
        <v>104</v>
      </c>
      <c r="C27" s="6">
        <f>'Discount Rate'!H30</f>
        <v>2751.7796290000001</v>
      </c>
    </row>
    <row r="28" spans="1:4" x14ac:dyDescent="0.25">
      <c r="A28" s="62" t="s">
        <v>105</v>
      </c>
      <c r="B28" s="63"/>
      <c r="C28" s="64">
        <f ca="1">C26/C27</f>
        <v>214.31280145334566</v>
      </c>
      <c r="D28" s="65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Working Capital</vt:lpstr>
      <vt:lpstr>Debt Schedule</vt:lpstr>
      <vt:lpstr>Fixed Asset Schedule</vt:lpstr>
      <vt:lpstr>Discount Rate</vt:lpstr>
      <vt:lpstr>DCF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Sukhavasi</dc:creator>
  <cp:lastModifiedBy>Shivani Sukhavasi</cp:lastModifiedBy>
  <dcterms:created xsi:type="dcterms:W3CDTF">2023-01-23T15:35:06Z</dcterms:created>
  <dcterms:modified xsi:type="dcterms:W3CDTF">2023-01-26T10:16:00Z</dcterms:modified>
</cp:coreProperties>
</file>